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Olympic 2112\General Rate Filing\2023\Non Confidential\"/>
    </mc:Choice>
  </mc:AlternateContent>
  <xr:revisionPtr revIDLastSave="0" documentId="13_ncr:1_{8D87EC95-C40F-4489-941D-E847940D5D1E}" xr6:coauthVersionLast="47" xr6:coauthVersionMax="47" xr10:uidLastSave="{00000000-0000-0000-0000-000000000000}"/>
  <bookViews>
    <workbookView xWindow="28680" yWindow="-120" windowWidth="29040" windowHeight="15840" tabRatio="690" firstSheet="2" xr2:uid="{2EDF1B16-5616-4000-BAF8-78A8F9A189AD}"/>
  </bookViews>
  <sheets>
    <sheet name="Summary" sheetId="7" r:id="rId1"/>
    <sheet name="FAR Dep Summary" sheetId="13" r:id="rId2"/>
    <sheet name="FAR 7.31.23" sheetId="14" r:id="rId3"/>
    <sheet name="MRF Capital Repairs" sheetId="16" r:id="rId4"/>
    <sheet name="Bud Capital Input" sheetId="15" r:id="rId5"/>
    <sheet name="2112 Trks" sheetId="8" r:id="rId6"/>
    <sheet name="2112 Cont" sheetId="1" r:id="rId7"/>
    <sheet name="2112 Other" sheetId="4" r:id="rId8"/>
    <sheet name="2112 Trks - Orig." sheetId="9" r:id="rId9"/>
    <sheet name="2112 Cont- Orig." sheetId="10" r:id="rId10"/>
    <sheet name="2112 Other - Orig.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ACT1">[1]Hidden!#REF!</definedName>
    <definedName name="_ACT2">[1]Hidden!#REF!</definedName>
    <definedName name="_ACT3">[1]Hidden!#REF!</definedName>
    <definedName name="_xlnm._FilterDatabase" localSheetId="6" hidden="1">'2112 Cont'!$A$10:$S$266</definedName>
    <definedName name="_xlnm._FilterDatabase" localSheetId="7" hidden="1">'2112 Other'!$A$10:$T$92</definedName>
    <definedName name="_xlnm._FilterDatabase" localSheetId="5" hidden="1">'2112 Trks'!$E$11:$S$88</definedName>
    <definedName name="_xlnm._FilterDatabase" localSheetId="2" hidden="1">'FAR 7.31.23'!$A$13:$AU$686</definedName>
    <definedName name="ACCT">[1]Hidden!#REF!</definedName>
    <definedName name="ACT_CUR">[1]Hidden!#REF!</definedName>
    <definedName name="ACT_YTD">[1]Hidden!#REF!</definedName>
    <definedName name="BREMAIR_COST_of_SERVICE_STUDY">#REF!</definedName>
    <definedName name="BUD_CUR">[1]Hidden!#REF!</definedName>
    <definedName name="BUD_YTD">[1]Hidden!#REF!</definedName>
    <definedName name="CheckTotals">#REF!</definedName>
    <definedName name="CRCTable">#REF!</definedName>
    <definedName name="CRCTableOLD">#REF!</definedName>
    <definedName name="CriteriaType">[2]ControlPanel!$Z$2:$Z$5</definedName>
    <definedName name="_xlnm.Database">#REF!</definedName>
    <definedName name="Database1">#REF!</definedName>
    <definedName name="DEPT">[1]Hidden!#REF!</definedName>
    <definedName name="DetailBudYear">'Bud Capital Input'!$H$24</definedName>
    <definedName name="DetailDistrict">'Bud Capital Input'!$H$23</definedName>
    <definedName name="DistrictNum">#REF!</definedName>
    <definedName name="End">#REF!</definedName>
    <definedName name="FBTable">#REF!</definedName>
    <definedName name="FBTableOld">#REF!</definedName>
    <definedName name="IncomeStmnt">#REF!</definedName>
    <definedName name="INPUT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lllllllllllllllllllll">#REF!</definedName>
    <definedName name="master_def">#REF!</definedName>
    <definedName name="NewOnlyOrg">#N/A</definedName>
    <definedName name="NOTES" localSheetId="9">'2112 Cont- Orig.'!#REF!</definedName>
    <definedName name="NOTES" localSheetId="10">'2112 Cont'!#REF!</definedName>
    <definedName name="NOTES" localSheetId="8">'[3]2112 Cont'!#REF!</definedName>
    <definedName name="NOTES" localSheetId="4">#REF!</definedName>
    <definedName name="NOTES">'2112 Cont'!#REF!</definedName>
    <definedName name="OfficerSalary">#N/A</definedName>
    <definedName name="Org11_13">#N/A</definedName>
    <definedName name="Org7_10">#N/A</definedName>
    <definedName name="PAGE_1" localSheetId="9">'2112 Cont- Orig.'!$B$1:$AB$11</definedName>
    <definedName name="PAGE_1" localSheetId="4">#REF!</definedName>
    <definedName name="PAGE_1">'2112 Cont'!$C$1:$S$10</definedName>
    <definedName name="Period">#REF!</definedName>
    <definedName name="_xlnm.Print_Area" localSheetId="6">'2112 Cont'!$C$1:$S$240</definedName>
    <definedName name="_xlnm.Print_Area" localSheetId="9">'2112 Cont- Orig.'!$B$1:$AB$198</definedName>
    <definedName name="_xlnm.Print_Area" localSheetId="7">'2112 Other'!$A$1:$S$90</definedName>
    <definedName name="_xlnm.Print_Area" localSheetId="10">'2112 Other - Orig.'!$A$1:$AB$93</definedName>
    <definedName name="_xlnm.Print_Area" localSheetId="5">'2112 Trks'!$D$1:$S$92</definedName>
    <definedName name="_xlnm.Print_Area" localSheetId="8">'2112 Trks - Orig.'!$D$1:$AC$84</definedName>
    <definedName name="_xlnm.Print_Area" localSheetId="4">'Bud Capital Input'!$E$22:$AN$56</definedName>
    <definedName name="_xlnm.Print_Area">#REF!</definedName>
    <definedName name="Print_Area_MI" localSheetId="6">'2112 Cont'!$C$1:$S$10</definedName>
    <definedName name="Print_Area_MI" localSheetId="9">'2112 Cont- Orig.'!$B$1:$AB$11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RCW_81.04.080">#N/A</definedName>
    <definedName name="RecyDisposal">#N/A</definedName>
    <definedName name="RelatedSalary">#N/A</definedName>
    <definedName name="ReportNames">[4]ControlPanel!$S$2:$S$16</definedName>
    <definedName name="RetainedEarnings">#REF!</definedName>
    <definedName name="RevCust">[5]RevenuesCust!#REF!</definedName>
    <definedName name="sortcol">#REF!</definedName>
    <definedName name="SubtypeToTruckType">[6]TruckCenterReference!$C$37:$D$87</definedName>
    <definedName name="SWDisposal">#N/A</definedName>
    <definedName name="TheTable">#REF!</definedName>
    <definedName name="TheTableOLD">#REF!</definedName>
    <definedName name="variable">Table1[#Headers]</definedName>
    <definedName name="WTable">#REF!</definedName>
    <definedName name="WTableOld">#REF!</definedName>
    <definedName name="xtabin">[1]Hidden!#REF!</definedName>
    <definedName name="xx">#REF!</definedName>
    <definedName name="YWMedWasteDisp">#N/A</definedName>
  </definedNames>
  <calcPr calcId="191029" iterate="1"/>
  <pivotCaches>
    <pivotCache cacheId="0" r:id="rId2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6" l="1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P32" i="16" s="1"/>
  <c r="K34" i="16"/>
  <c r="AC45" i="7"/>
  <c r="AC55" i="7" s="1"/>
  <c r="AG39" i="7"/>
  <c r="AD39" i="7"/>
  <c r="AC39" i="7"/>
  <c r="AG24" i="7"/>
  <c r="AD24" i="7"/>
  <c r="L32" i="16"/>
  <c r="M32" i="16" s="1"/>
  <c r="N32" i="16" s="1"/>
  <c r="K32" i="16"/>
  <c r="I32" i="16"/>
  <c r="L31" i="16"/>
  <c r="M31" i="16" s="1"/>
  <c r="N31" i="16" s="1"/>
  <c r="K31" i="16"/>
  <c r="I31" i="16"/>
  <c r="K30" i="16"/>
  <c r="L30" i="16" s="1"/>
  <c r="M30" i="16" s="1"/>
  <c r="N30" i="16" s="1"/>
  <c r="I30" i="16"/>
  <c r="K29" i="16"/>
  <c r="L29" i="16" s="1"/>
  <c r="M29" i="16" s="1"/>
  <c r="N29" i="16" s="1"/>
  <c r="I29" i="16"/>
  <c r="K28" i="16"/>
  <c r="L28" i="16" s="1"/>
  <c r="M28" i="16" s="1"/>
  <c r="N28" i="16" s="1"/>
  <c r="I28" i="16"/>
  <c r="M27" i="16"/>
  <c r="N27" i="16" s="1"/>
  <c r="L27" i="16"/>
  <c r="K27" i="16"/>
  <c r="I27" i="16"/>
  <c r="K26" i="16"/>
  <c r="L26" i="16" s="1"/>
  <c r="M26" i="16" s="1"/>
  <c r="N26" i="16" s="1"/>
  <c r="I26" i="16"/>
  <c r="K25" i="16"/>
  <c r="I25" i="16"/>
  <c r="K24" i="16"/>
  <c r="L24" i="16" s="1"/>
  <c r="M24" i="16" s="1"/>
  <c r="N24" i="16" s="1"/>
  <c r="I24" i="16"/>
  <c r="K23" i="16"/>
  <c r="L23" i="16" s="1"/>
  <c r="M23" i="16" s="1"/>
  <c r="N23" i="16" s="1"/>
  <c r="I23" i="16"/>
  <c r="K22" i="16"/>
  <c r="L22" i="16" s="1"/>
  <c r="M22" i="16" s="1"/>
  <c r="N22" i="16" s="1"/>
  <c r="I22" i="16"/>
  <c r="M21" i="16"/>
  <c r="N21" i="16" s="1"/>
  <c r="L21" i="16"/>
  <c r="K21" i="16"/>
  <c r="I21" i="16"/>
  <c r="K20" i="16"/>
  <c r="L20" i="16" s="1"/>
  <c r="M20" i="16" s="1"/>
  <c r="N20" i="16" s="1"/>
  <c r="O20" i="16"/>
  <c r="I20" i="16"/>
  <c r="K19" i="16"/>
  <c r="I19" i="16"/>
  <c r="K18" i="16"/>
  <c r="L18" i="16" s="1"/>
  <c r="M18" i="16" s="1"/>
  <c r="N18" i="16" s="1"/>
  <c r="I18" i="16"/>
  <c r="K17" i="16"/>
  <c r="L17" i="16" s="1"/>
  <c r="M17" i="16" s="1"/>
  <c r="N17" i="16" s="1"/>
  <c r="I17" i="16"/>
  <c r="K16" i="16"/>
  <c r="L16" i="16" s="1"/>
  <c r="M16" i="16" s="1"/>
  <c r="N16" i="16" s="1"/>
  <c r="I16" i="16"/>
  <c r="L15" i="16"/>
  <c r="M15" i="16" s="1"/>
  <c r="N15" i="16" s="1"/>
  <c r="K15" i="16"/>
  <c r="I15" i="16"/>
  <c r="K14" i="16"/>
  <c r="L14" i="16" s="1"/>
  <c r="M14" i="16" s="1"/>
  <c r="N14" i="16" s="1"/>
  <c r="I14" i="16"/>
  <c r="K13" i="16"/>
  <c r="I13" i="16"/>
  <c r="K12" i="16"/>
  <c r="L12" i="16" s="1"/>
  <c r="M12" i="16" s="1"/>
  <c r="N12" i="16" s="1"/>
  <c r="I12" i="16"/>
  <c r="K11" i="16"/>
  <c r="L11" i="16" s="1"/>
  <c r="M11" i="16" s="1"/>
  <c r="N11" i="16" s="1"/>
  <c r="I11" i="16"/>
  <c r="K10" i="16"/>
  <c r="L10" i="16" s="1"/>
  <c r="I10" i="16"/>
  <c r="J10" i="16" s="1"/>
  <c r="J7" i="16"/>
  <c r="J6" i="16"/>
  <c r="M71" i="8"/>
  <c r="N71" i="8" s="1"/>
  <c r="O71" i="8" s="1"/>
  <c r="J71" i="8"/>
  <c r="K71" i="8" s="1"/>
  <c r="L212" i="8"/>
  <c r="M212" i="8" s="1"/>
  <c r="N212" i="8" s="1"/>
  <c r="O212" i="8" s="1"/>
  <c r="J212" i="8"/>
  <c r="K212" i="8" s="1"/>
  <c r="L211" i="8"/>
  <c r="M211" i="8" s="1"/>
  <c r="N211" i="8" s="1"/>
  <c r="O211" i="8" s="1"/>
  <c r="J211" i="8"/>
  <c r="K211" i="8" s="1"/>
  <c r="L210" i="8"/>
  <c r="J210" i="8"/>
  <c r="K210" i="8" s="1"/>
  <c r="M209" i="8"/>
  <c r="N209" i="8" s="1"/>
  <c r="O209" i="8" s="1"/>
  <c r="J209" i="8"/>
  <c r="K209" i="8" s="1"/>
  <c r="L208" i="8"/>
  <c r="M208" i="8" s="1"/>
  <c r="N208" i="8" s="1"/>
  <c r="O208" i="8" s="1"/>
  <c r="J208" i="8"/>
  <c r="K208" i="8" s="1"/>
  <c r="M201" i="8"/>
  <c r="N201" i="8" s="1"/>
  <c r="O201" i="8" s="1"/>
  <c r="J201" i="8"/>
  <c r="K201" i="8" s="1"/>
  <c r="L203" i="8"/>
  <c r="J203" i="8"/>
  <c r="K203" i="8" s="1"/>
  <c r="AC56" i="7" l="1"/>
  <c r="AE45" i="7"/>
  <c r="AD55" i="7"/>
  <c r="AF39" i="7"/>
  <c r="AE24" i="7"/>
  <c r="AI24" i="7"/>
  <c r="AH24" i="7"/>
  <c r="AH39" i="7"/>
  <c r="AF24" i="7"/>
  <c r="AC24" i="7"/>
  <c r="P10" i="16"/>
  <c r="P30" i="16"/>
  <c r="O30" i="16"/>
  <c r="P21" i="16"/>
  <c r="O21" i="16"/>
  <c r="Q21" i="16" s="1"/>
  <c r="R21" i="16" s="1"/>
  <c r="O11" i="16"/>
  <c r="P11" i="16"/>
  <c r="Q16" i="16"/>
  <c r="R16" i="16" s="1"/>
  <c r="O16" i="16"/>
  <c r="P16" i="16"/>
  <c r="O26" i="16"/>
  <c r="Q26" i="16" s="1"/>
  <c r="R26" i="16" s="1"/>
  <c r="P15" i="16"/>
  <c r="O15" i="16"/>
  <c r="Q15" i="16" s="1"/>
  <c r="R15" i="16" s="1"/>
  <c r="M10" i="16"/>
  <c r="P12" i="16"/>
  <c r="O12" i="16"/>
  <c r="P17" i="16"/>
  <c r="O17" i="16"/>
  <c r="Q17" i="16" s="1"/>
  <c r="R17" i="16" s="1"/>
  <c r="P27" i="16"/>
  <c r="O27" i="16"/>
  <c r="Q27" i="16" s="1"/>
  <c r="R27" i="16" s="1"/>
  <c r="O13" i="16"/>
  <c r="P18" i="16"/>
  <c r="Q18" i="16" s="1"/>
  <c r="R18" i="16" s="1"/>
  <c r="O18" i="16"/>
  <c r="P23" i="16"/>
  <c r="O23" i="16"/>
  <c r="Q23" i="16" s="1"/>
  <c r="R23" i="16" s="1"/>
  <c r="O19" i="16"/>
  <c r="O28" i="16"/>
  <c r="P28" i="16"/>
  <c r="Q29" i="16"/>
  <c r="R29" i="16" s="1"/>
  <c r="P29" i="16"/>
  <c r="O29" i="16"/>
  <c r="P22" i="16"/>
  <c r="O22" i="16"/>
  <c r="O14" i="16"/>
  <c r="P24" i="16"/>
  <c r="O24" i="16"/>
  <c r="Q24" i="16" s="1"/>
  <c r="R24" i="16" s="1"/>
  <c r="L19" i="16"/>
  <c r="M19" i="16" s="1"/>
  <c r="N19" i="16" s="1"/>
  <c r="P31" i="16"/>
  <c r="L13" i="16"/>
  <c r="M13" i="16" s="1"/>
  <c r="N13" i="16" s="1"/>
  <c r="L25" i="16"/>
  <c r="M25" i="16" s="1"/>
  <c r="N25" i="16" s="1"/>
  <c r="O25" i="16" s="1"/>
  <c r="P14" i="16"/>
  <c r="O31" i="16"/>
  <c r="Q31" i="16" s="1"/>
  <c r="R31" i="16" s="1"/>
  <c r="O32" i="16"/>
  <c r="Q32" i="16" s="1"/>
  <c r="R32" i="16" s="1"/>
  <c r="P20" i="16"/>
  <c r="Q20" i="16" s="1"/>
  <c r="R20" i="16" s="1"/>
  <c r="P26" i="16"/>
  <c r="M210" i="8"/>
  <c r="N210" i="8" s="1"/>
  <c r="O210" i="8" s="1"/>
  <c r="M203" i="8"/>
  <c r="N203" i="8" s="1"/>
  <c r="O203" i="8" s="1"/>
  <c r="Q22" i="16" l="1"/>
  <c r="R22" i="16" s="1"/>
  <c r="Q30" i="16"/>
  <c r="R30" i="16" s="1"/>
  <c r="Q28" i="16"/>
  <c r="R28" i="16" s="1"/>
  <c r="Q14" i="16"/>
  <c r="R14" i="16" s="1"/>
  <c r="Q12" i="16"/>
  <c r="R12" i="16" s="1"/>
  <c r="Q11" i="16"/>
  <c r="R11" i="16" s="1"/>
  <c r="AI39" i="7"/>
  <c r="AE39" i="7"/>
  <c r="AF25" i="7"/>
  <c r="AI25" i="7"/>
  <c r="AE55" i="7"/>
  <c r="AE25" i="7"/>
  <c r="P19" i="16"/>
  <c r="Q19" i="16" s="1"/>
  <c r="R19" i="16" s="1"/>
  <c r="M34" i="16"/>
  <c r="N10" i="16"/>
  <c r="L34" i="16"/>
  <c r="P25" i="16"/>
  <c r="Q25" i="16" s="1"/>
  <c r="R25" i="16" s="1"/>
  <c r="P13" i="16"/>
  <c r="P34" i="16" s="1"/>
  <c r="AG45" i="7" s="1"/>
  <c r="A35" i="7"/>
  <c r="AG55" i="7" l="1"/>
  <c r="N34" i="16"/>
  <c r="O10" i="16"/>
  <c r="Q13" i="16"/>
  <c r="R13" i="16" s="1"/>
  <c r="L92" i="4"/>
  <c r="W45" i="7"/>
  <c r="Y45" i="7" s="1"/>
  <c r="T45" i="7"/>
  <c r="Q45" i="7"/>
  <c r="P45" i="7"/>
  <c r="O45" i="7"/>
  <c r="N45" i="7"/>
  <c r="M45" i="7"/>
  <c r="K45" i="7"/>
  <c r="D45" i="7"/>
  <c r="B45" i="7"/>
  <c r="L48" i="4"/>
  <c r="M92" i="4"/>
  <c r="N92" i="4"/>
  <c r="O92" i="4"/>
  <c r="L54" i="4"/>
  <c r="M52" i="4"/>
  <c r="N52" i="4" s="1"/>
  <c r="O52" i="4" s="1"/>
  <c r="J52" i="4"/>
  <c r="K52" i="4" s="1"/>
  <c r="M51" i="4"/>
  <c r="N51" i="4" s="1"/>
  <c r="O51" i="4" s="1"/>
  <c r="J51" i="4"/>
  <c r="K51" i="4" s="1"/>
  <c r="AG108" i="11"/>
  <c r="AE108" i="11"/>
  <c r="AC108" i="11"/>
  <c r="R108" i="11"/>
  <c r="P108" i="11"/>
  <c r="O108" i="11"/>
  <c r="J108" i="11"/>
  <c r="AG107" i="11"/>
  <c r="AE107" i="11"/>
  <c r="AC107" i="11"/>
  <c r="R107" i="11"/>
  <c r="P107" i="11"/>
  <c r="O107" i="11"/>
  <c r="J107" i="11"/>
  <c r="AG106" i="11"/>
  <c r="AE106" i="11"/>
  <c r="AC106" i="11"/>
  <c r="R106" i="11"/>
  <c r="P106" i="11"/>
  <c r="O106" i="11"/>
  <c r="J106" i="11"/>
  <c r="AG105" i="11"/>
  <c r="AE105" i="11"/>
  <c r="AC105" i="11"/>
  <c r="R105" i="11"/>
  <c r="P105" i="11"/>
  <c r="O105" i="11"/>
  <c r="J105" i="11"/>
  <c r="AP92" i="11"/>
  <c r="AN92" i="11"/>
  <c r="AL92" i="11"/>
  <c r="AJ92" i="11"/>
  <c r="V92" i="11"/>
  <c r="P92" i="11"/>
  <c r="O92" i="11"/>
  <c r="M92" i="11"/>
  <c r="AG90" i="11"/>
  <c r="AE90" i="11"/>
  <c r="AC90" i="11"/>
  <c r="R90" i="11"/>
  <c r="P90" i="11"/>
  <c r="O90" i="11"/>
  <c r="J90" i="11"/>
  <c r="AG89" i="11"/>
  <c r="AE89" i="11"/>
  <c r="AC89" i="11"/>
  <c r="R89" i="11"/>
  <c r="P89" i="11"/>
  <c r="O89" i="11"/>
  <c r="J89" i="11"/>
  <c r="AG88" i="11"/>
  <c r="AE88" i="11"/>
  <c r="AC88" i="11"/>
  <c r="R88" i="11"/>
  <c r="P88" i="11"/>
  <c r="O88" i="11"/>
  <c r="J88" i="11"/>
  <c r="AG87" i="11"/>
  <c r="AE87" i="11"/>
  <c r="AC87" i="11"/>
  <c r="R87" i="11"/>
  <c r="P87" i="11"/>
  <c r="O87" i="11"/>
  <c r="J87" i="11"/>
  <c r="AG86" i="11"/>
  <c r="AE86" i="11"/>
  <c r="AC86" i="11"/>
  <c r="R86" i="11"/>
  <c r="P86" i="11"/>
  <c r="O86" i="11"/>
  <c r="J86" i="11"/>
  <c r="AG85" i="11"/>
  <c r="AE85" i="11"/>
  <c r="AC85" i="11"/>
  <c r="R85" i="11"/>
  <c r="P85" i="11"/>
  <c r="O85" i="11"/>
  <c r="J85" i="11"/>
  <c r="AG84" i="11"/>
  <c r="AE84" i="11"/>
  <c r="AC84" i="11"/>
  <c r="R84" i="11"/>
  <c r="P84" i="11"/>
  <c r="O84" i="11"/>
  <c r="J84" i="11"/>
  <c r="AG83" i="11"/>
  <c r="AE83" i="11"/>
  <c r="AC83" i="11"/>
  <c r="R83" i="11"/>
  <c r="P83" i="11"/>
  <c r="O83" i="11"/>
  <c r="J83" i="11"/>
  <c r="AG82" i="11"/>
  <c r="AE82" i="11"/>
  <c r="AC82" i="11"/>
  <c r="R82" i="11"/>
  <c r="P82" i="11"/>
  <c r="O82" i="11"/>
  <c r="J82" i="11"/>
  <c r="AP79" i="11"/>
  <c r="AN79" i="11"/>
  <c r="AL79" i="11"/>
  <c r="AJ79" i="11"/>
  <c r="P79" i="11"/>
  <c r="O79" i="11"/>
  <c r="M79" i="11"/>
  <c r="AG76" i="11"/>
  <c r="AE76" i="11"/>
  <c r="AC76" i="11"/>
  <c r="R76" i="11"/>
  <c r="P76" i="11"/>
  <c r="O76" i="11"/>
  <c r="J76" i="11"/>
  <c r="AG75" i="11"/>
  <c r="AE75" i="11"/>
  <c r="AC75" i="11"/>
  <c r="R75" i="11"/>
  <c r="P75" i="11"/>
  <c r="O75" i="11"/>
  <c r="J75" i="11"/>
  <c r="AG74" i="11"/>
  <c r="AE74" i="11"/>
  <c r="AC74" i="11"/>
  <c r="R74" i="11"/>
  <c r="P74" i="11"/>
  <c r="O74" i="11"/>
  <c r="J74" i="11"/>
  <c r="AQ73" i="11"/>
  <c r="AO73" i="11"/>
  <c r="AM73" i="11"/>
  <c r="AK73" i="11"/>
  <c r="AI73" i="11"/>
  <c r="AG72" i="11"/>
  <c r="AE72" i="11"/>
  <c r="AC72" i="11"/>
  <c r="R72" i="11"/>
  <c r="P72" i="11"/>
  <c r="O72" i="11"/>
  <c r="J72" i="11"/>
  <c r="AG71" i="11"/>
  <c r="AE71" i="11"/>
  <c r="AC71" i="11"/>
  <c r="R71" i="11"/>
  <c r="P71" i="11"/>
  <c r="O71" i="11"/>
  <c r="M71" i="11"/>
  <c r="J71" i="11"/>
  <c r="AQ70" i="11"/>
  <c r="AO70" i="11"/>
  <c r="AM70" i="11"/>
  <c r="AK70" i="11"/>
  <c r="AI70" i="11"/>
  <c r="AG69" i="11"/>
  <c r="AE69" i="11"/>
  <c r="AC69" i="11"/>
  <c r="R69" i="11"/>
  <c r="P69" i="11"/>
  <c r="O69" i="11"/>
  <c r="J69" i="11"/>
  <c r="AG68" i="11"/>
  <c r="AE68" i="11"/>
  <c r="AC68" i="11"/>
  <c r="R68" i="11"/>
  <c r="P68" i="11"/>
  <c r="O68" i="11"/>
  <c r="J68" i="11"/>
  <c r="AG67" i="11"/>
  <c r="AE67" i="11"/>
  <c r="AC67" i="11"/>
  <c r="R67" i="11"/>
  <c r="P67" i="11"/>
  <c r="O67" i="11"/>
  <c r="M67" i="11"/>
  <c r="J67" i="11"/>
  <c r="AG66" i="11"/>
  <c r="AE66" i="11"/>
  <c r="AC66" i="11"/>
  <c r="R66" i="11"/>
  <c r="P66" i="11"/>
  <c r="O66" i="11"/>
  <c r="J66" i="11"/>
  <c r="AG65" i="11"/>
  <c r="AE65" i="11"/>
  <c r="AC65" i="11"/>
  <c r="R65" i="11"/>
  <c r="P65" i="11"/>
  <c r="O65" i="11"/>
  <c r="J65" i="11"/>
  <c r="AG64" i="11"/>
  <c r="AE64" i="11"/>
  <c r="AC64" i="11"/>
  <c r="R64" i="11"/>
  <c r="P64" i="11"/>
  <c r="O64" i="11"/>
  <c r="J64" i="11"/>
  <c r="AG63" i="11"/>
  <c r="AE63" i="11"/>
  <c r="AC63" i="11"/>
  <c r="R63" i="11"/>
  <c r="P63" i="11"/>
  <c r="O63" i="11"/>
  <c r="J63" i="11"/>
  <c r="AG62" i="11"/>
  <c r="AE62" i="11"/>
  <c r="AC62" i="11"/>
  <c r="R62" i="11"/>
  <c r="P62" i="11"/>
  <c r="O62" i="11"/>
  <c r="J62" i="11"/>
  <c r="AG61" i="11"/>
  <c r="AE61" i="11"/>
  <c r="AC61" i="11"/>
  <c r="R61" i="11"/>
  <c r="P61" i="11"/>
  <c r="O61" i="11"/>
  <c r="J61" i="11"/>
  <c r="AG60" i="11"/>
  <c r="AE60" i="11"/>
  <c r="AC60" i="11"/>
  <c r="R60" i="11"/>
  <c r="P60" i="11"/>
  <c r="O60" i="11"/>
  <c r="J60" i="11"/>
  <c r="AG59" i="11"/>
  <c r="AE59" i="11"/>
  <c r="AC59" i="11"/>
  <c r="R59" i="11"/>
  <c r="P59" i="11"/>
  <c r="O59" i="11"/>
  <c r="J59" i="11"/>
  <c r="AG58" i="11"/>
  <c r="AE58" i="11"/>
  <c r="AC58" i="11"/>
  <c r="R58" i="11"/>
  <c r="P58" i="11"/>
  <c r="O58" i="11"/>
  <c r="J58" i="11"/>
  <c r="AG57" i="11"/>
  <c r="AE57" i="11"/>
  <c r="AC57" i="11"/>
  <c r="R57" i="11"/>
  <c r="P57" i="11"/>
  <c r="O57" i="11"/>
  <c r="J57" i="11"/>
  <c r="AG56" i="11"/>
  <c r="AE56" i="11"/>
  <c r="AC56" i="11"/>
  <c r="R56" i="11"/>
  <c r="P56" i="11"/>
  <c r="O56" i="11"/>
  <c r="J56" i="11"/>
  <c r="AG55" i="11"/>
  <c r="AE55" i="11"/>
  <c r="AC55" i="11"/>
  <c r="R55" i="11"/>
  <c r="P55" i="11"/>
  <c r="O55" i="11"/>
  <c r="J55" i="11"/>
  <c r="AP52" i="11"/>
  <c r="AN52" i="11"/>
  <c r="AL52" i="11"/>
  <c r="AJ52" i="11"/>
  <c r="P52" i="11"/>
  <c r="O52" i="11"/>
  <c r="M52" i="11"/>
  <c r="AE50" i="11"/>
  <c r="AC50" i="11"/>
  <c r="R50" i="11"/>
  <c r="P50" i="11"/>
  <c r="O50" i="11"/>
  <c r="J50" i="11"/>
  <c r="AG49" i="11"/>
  <c r="AE49" i="11"/>
  <c r="AC49" i="11"/>
  <c r="R49" i="11"/>
  <c r="P49" i="11"/>
  <c r="O49" i="11"/>
  <c r="J49" i="11"/>
  <c r="AG48" i="11"/>
  <c r="AE48" i="11"/>
  <c r="AC48" i="11"/>
  <c r="R48" i="11"/>
  <c r="P48" i="11"/>
  <c r="O48" i="11"/>
  <c r="J48" i="11"/>
  <c r="AG47" i="11"/>
  <c r="AE47" i="11"/>
  <c r="AC47" i="11"/>
  <c r="R47" i="11"/>
  <c r="P47" i="11"/>
  <c r="O47" i="11"/>
  <c r="J47" i="11"/>
  <c r="AG46" i="11"/>
  <c r="AE46" i="11"/>
  <c r="AC46" i="11"/>
  <c r="R46" i="11"/>
  <c r="P46" i="11"/>
  <c r="O46" i="11"/>
  <c r="J46" i="11"/>
  <c r="AG45" i="11"/>
  <c r="AE45" i="11"/>
  <c r="AC45" i="11"/>
  <c r="R45" i="11"/>
  <c r="P45" i="11"/>
  <c r="O45" i="11"/>
  <c r="J45" i="11"/>
  <c r="AP41" i="11"/>
  <c r="AN41" i="11"/>
  <c r="AL41" i="11"/>
  <c r="AJ41" i="11"/>
  <c r="P41" i="11"/>
  <c r="O41" i="11"/>
  <c r="M41" i="11"/>
  <c r="AG39" i="11"/>
  <c r="AE39" i="11"/>
  <c r="AC39" i="11"/>
  <c r="R39" i="11"/>
  <c r="P39" i="11"/>
  <c r="O39" i="11"/>
  <c r="M39" i="11"/>
  <c r="J39" i="11"/>
  <c r="AG38" i="11"/>
  <c r="AE38" i="11"/>
  <c r="AC38" i="11"/>
  <c r="R38" i="11"/>
  <c r="P38" i="11"/>
  <c r="O38" i="11"/>
  <c r="J38" i="11"/>
  <c r="AG37" i="11"/>
  <c r="AE37" i="11"/>
  <c r="AC37" i="11"/>
  <c r="R37" i="11"/>
  <c r="P37" i="11"/>
  <c r="O37" i="11"/>
  <c r="J37" i="11"/>
  <c r="AG36" i="11"/>
  <c r="AE36" i="11"/>
  <c r="AC36" i="11"/>
  <c r="R36" i="11"/>
  <c r="P36" i="11"/>
  <c r="O36" i="11"/>
  <c r="J36" i="11"/>
  <c r="AG35" i="11"/>
  <c r="AE35" i="11"/>
  <c r="AC35" i="11"/>
  <c r="R35" i="11"/>
  <c r="P35" i="11"/>
  <c r="O35" i="11"/>
  <c r="J35" i="11"/>
  <c r="AG34" i="11"/>
  <c r="AE34" i="11"/>
  <c r="AC34" i="11"/>
  <c r="R34" i="11"/>
  <c r="P34" i="11"/>
  <c r="O34" i="11"/>
  <c r="J34" i="11"/>
  <c r="AG33" i="11"/>
  <c r="AE33" i="11"/>
  <c r="AC33" i="11"/>
  <c r="R33" i="11"/>
  <c r="P33" i="11"/>
  <c r="O33" i="11"/>
  <c r="M33" i="11"/>
  <c r="J33" i="11"/>
  <c r="AG32" i="11"/>
  <c r="AE32" i="11"/>
  <c r="AC32" i="11"/>
  <c r="R32" i="11"/>
  <c r="P32" i="11"/>
  <c r="O32" i="11"/>
  <c r="J32" i="11"/>
  <c r="AG31" i="11"/>
  <c r="AE31" i="11"/>
  <c r="AC31" i="11"/>
  <c r="R31" i="11"/>
  <c r="P31" i="11"/>
  <c r="O31" i="11"/>
  <c r="J31" i="11"/>
  <c r="AG30" i="11"/>
  <c r="AE30" i="11"/>
  <c r="AC30" i="11"/>
  <c r="R30" i="11"/>
  <c r="P30" i="11"/>
  <c r="O30" i="11"/>
  <c r="J30" i="11"/>
  <c r="AG29" i="11"/>
  <c r="AE29" i="11"/>
  <c r="AC29" i="11"/>
  <c r="R29" i="11"/>
  <c r="P29" i="11"/>
  <c r="O29" i="11"/>
  <c r="J29" i="11"/>
  <c r="AG28" i="11"/>
  <c r="AE28" i="11"/>
  <c r="AC28" i="11"/>
  <c r="R28" i="11"/>
  <c r="P28" i="11"/>
  <c r="O28" i="11"/>
  <c r="M28" i="11"/>
  <c r="J28" i="11"/>
  <c r="AG27" i="11"/>
  <c r="AE27" i="11"/>
  <c r="AC27" i="11"/>
  <c r="R27" i="11"/>
  <c r="P27" i="11"/>
  <c r="O27" i="11"/>
  <c r="J27" i="11"/>
  <c r="AG26" i="11"/>
  <c r="AE26" i="11"/>
  <c r="AC26" i="11"/>
  <c r="R26" i="11"/>
  <c r="P26" i="11"/>
  <c r="O26" i="11"/>
  <c r="J26" i="11"/>
  <c r="AG25" i="11"/>
  <c r="AE25" i="11"/>
  <c r="AC25" i="11"/>
  <c r="R25" i="11"/>
  <c r="P25" i="11"/>
  <c r="O25" i="11"/>
  <c r="J25" i="11"/>
  <c r="AG24" i="11"/>
  <c r="AE24" i="11"/>
  <c r="AC24" i="11"/>
  <c r="R24" i="11"/>
  <c r="P24" i="11"/>
  <c r="O24" i="11"/>
  <c r="J24" i="11"/>
  <c r="AP20" i="11"/>
  <c r="AN20" i="11"/>
  <c r="AL20" i="11"/>
  <c r="AJ20" i="11"/>
  <c r="P20" i="11"/>
  <c r="O20" i="11"/>
  <c r="M20" i="11"/>
  <c r="AG18" i="11"/>
  <c r="AE18" i="11"/>
  <c r="AC18" i="11"/>
  <c r="R18" i="11"/>
  <c r="P18" i="11"/>
  <c r="O18" i="11"/>
  <c r="J18" i="11"/>
  <c r="AQ17" i="11"/>
  <c r="AO17" i="11"/>
  <c r="AM17" i="11"/>
  <c r="AK17" i="11"/>
  <c r="AI17" i="11"/>
  <c r="AG16" i="11"/>
  <c r="AE16" i="11"/>
  <c r="AC16" i="11"/>
  <c r="R16" i="11"/>
  <c r="P16" i="11"/>
  <c r="O16" i="11"/>
  <c r="J16" i="11"/>
  <c r="AG15" i="11"/>
  <c r="AE15" i="11"/>
  <c r="AC15" i="11"/>
  <c r="R15" i="11"/>
  <c r="P15" i="11"/>
  <c r="O15" i="11"/>
  <c r="J15" i="11"/>
  <c r="AG14" i="11"/>
  <c r="AE14" i="11"/>
  <c r="AC14" i="11"/>
  <c r="R14" i="11"/>
  <c r="P14" i="11"/>
  <c r="O14" i="11"/>
  <c r="J14" i="11"/>
  <c r="AG13" i="11"/>
  <c r="AE13" i="11"/>
  <c r="AC13" i="11"/>
  <c r="R13" i="11"/>
  <c r="P13" i="11"/>
  <c r="O13" i="11"/>
  <c r="M13" i="11"/>
  <c r="J13" i="11"/>
  <c r="W11" i="11"/>
  <c r="Z11" i="11" s="1"/>
  <c r="O5" i="11"/>
  <c r="O4" i="11"/>
  <c r="O3" i="11"/>
  <c r="O2" i="11"/>
  <c r="AG238" i="10"/>
  <c r="AE238" i="10"/>
  <c r="AC238" i="10"/>
  <c r="R238" i="10"/>
  <c r="P238" i="10"/>
  <c r="O238" i="10"/>
  <c r="J238" i="10"/>
  <c r="AG237" i="10"/>
  <c r="AE237" i="10"/>
  <c r="AC237" i="10"/>
  <c r="R237" i="10"/>
  <c r="P237" i="10"/>
  <c r="O237" i="10"/>
  <c r="J237" i="10"/>
  <c r="AG233" i="10"/>
  <c r="AE233" i="10"/>
  <c r="AC233" i="10"/>
  <c r="R233" i="10"/>
  <c r="P233" i="10"/>
  <c r="O233" i="10"/>
  <c r="J233" i="10"/>
  <c r="AG232" i="10"/>
  <c r="AE232" i="10"/>
  <c r="AC232" i="10"/>
  <c r="R232" i="10"/>
  <c r="P232" i="10"/>
  <c r="O232" i="10"/>
  <c r="J232" i="10"/>
  <c r="AG231" i="10"/>
  <c r="AE231" i="10"/>
  <c r="AC231" i="10"/>
  <c r="R231" i="10"/>
  <c r="P231" i="10"/>
  <c r="O231" i="10"/>
  <c r="J231" i="10"/>
  <c r="AG230" i="10"/>
  <c r="AE230" i="10"/>
  <c r="AC230" i="10"/>
  <c r="R230" i="10"/>
  <c r="P230" i="10"/>
  <c r="O230" i="10"/>
  <c r="M230" i="10"/>
  <c r="J230" i="10"/>
  <c r="AG229" i="10"/>
  <c r="AE229" i="10"/>
  <c r="AC229" i="10"/>
  <c r="R229" i="10"/>
  <c r="P229" i="10"/>
  <c r="O229" i="10"/>
  <c r="J229" i="10"/>
  <c r="AG228" i="10"/>
  <c r="AE228" i="10"/>
  <c r="AC228" i="10"/>
  <c r="R228" i="10"/>
  <c r="P228" i="10"/>
  <c r="O228" i="10"/>
  <c r="J228" i="10"/>
  <c r="AG227" i="10"/>
  <c r="AE227" i="10"/>
  <c r="AC227" i="10"/>
  <c r="R227" i="10"/>
  <c r="P227" i="10"/>
  <c r="O227" i="10"/>
  <c r="J227" i="10"/>
  <c r="AG226" i="10"/>
  <c r="AE226" i="10"/>
  <c r="AC226" i="10"/>
  <c r="R226" i="10"/>
  <c r="P226" i="10"/>
  <c r="O226" i="10"/>
  <c r="J226" i="10"/>
  <c r="AG225" i="10"/>
  <c r="AE225" i="10"/>
  <c r="AC225" i="10"/>
  <c r="R225" i="10"/>
  <c r="P225" i="10"/>
  <c r="O225" i="10"/>
  <c r="M225" i="10"/>
  <c r="J225" i="10"/>
  <c r="AG219" i="10"/>
  <c r="AE219" i="10"/>
  <c r="AC219" i="10"/>
  <c r="R219" i="10"/>
  <c r="P219" i="10"/>
  <c r="O219" i="10"/>
  <c r="J219" i="10"/>
  <c r="AG218" i="10"/>
  <c r="AE218" i="10"/>
  <c r="AC218" i="10"/>
  <c r="R218" i="10"/>
  <c r="P218" i="10"/>
  <c r="O218" i="10"/>
  <c r="J218" i="10"/>
  <c r="AG217" i="10"/>
  <c r="AE217" i="10"/>
  <c r="AC217" i="10"/>
  <c r="R217" i="10"/>
  <c r="P217" i="10"/>
  <c r="O217" i="10"/>
  <c r="J217" i="10"/>
  <c r="AG212" i="10"/>
  <c r="AE212" i="10"/>
  <c r="AC212" i="10"/>
  <c r="R212" i="10"/>
  <c r="P212" i="10"/>
  <c r="O212" i="10"/>
  <c r="J212" i="10"/>
  <c r="AG211" i="10"/>
  <c r="AE211" i="10"/>
  <c r="AC211" i="10"/>
  <c r="R211" i="10"/>
  <c r="P211" i="10"/>
  <c r="O211" i="10"/>
  <c r="J211" i="10"/>
  <c r="AG210" i="10"/>
  <c r="AE210" i="10"/>
  <c r="AC210" i="10"/>
  <c r="R210" i="10"/>
  <c r="P210" i="10"/>
  <c r="O210" i="10"/>
  <c r="M210" i="10"/>
  <c r="J210" i="10"/>
  <c r="P200" i="10"/>
  <c r="O200" i="10"/>
  <c r="M200" i="10"/>
  <c r="P198" i="10"/>
  <c r="O198" i="10"/>
  <c r="M198" i="10"/>
  <c r="B198" i="10"/>
  <c r="AG196" i="10"/>
  <c r="AE196" i="10"/>
  <c r="AC196" i="10"/>
  <c r="R196" i="10"/>
  <c r="P196" i="10"/>
  <c r="O196" i="10"/>
  <c r="J196" i="10"/>
  <c r="AG195" i="10"/>
  <c r="AE195" i="10"/>
  <c r="AC195" i="10"/>
  <c r="R195" i="10"/>
  <c r="P195" i="10"/>
  <c r="O195" i="10"/>
  <c r="J195" i="10"/>
  <c r="AG194" i="10"/>
  <c r="AE194" i="10"/>
  <c r="AC194" i="10"/>
  <c r="R194" i="10"/>
  <c r="P194" i="10"/>
  <c r="O194" i="10"/>
  <c r="J194" i="10"/>
  <c r="AG193" i="10"/>
  <c r="AE193" i="10"/>
  <c r="AC193" i="10"/>
  <c r="R193" i="10"/>
  <c r="P193" i="10"/>
  <c r="O193" i="10"/>
  <c r="J193" i="10"/>
  <c r="AG192" i="10"/>
  <c r="AE192" i="10"/>
  <c r="AC192" i="10"/>
  <c r="R192" i="10"/>
  <c r="P192" i="10"/>
  <c r="O192" i="10"/>
  <c r="J192" i="10"/>
  <c r="AG191" i="10"/>
  <c r="AE191" i="10"/>
  <c r="AC191" i="10"/>
  <c r="R191" i="10"/>
  <c r="P191" i="10"/>
  <c r="O191" i="10"/>
  <c r="J191" i="10"/>
  <c r="AG190" i="10"/>
  <c r="AE190" i="10"/>
  <c r="AC190" i="10"/>
  <c r="R190" i="10"/>
  <c r="P190" i="10"/>
  <c r="O190" i="10"/>
  <c r="J190" i="10"/>
  <c r="AG188" i="10"/>
  <c r="AE188" i="10"/>
  <c r="AC188" i="10"/>
  <c r="R188" i="10"/>
  <c r="P188" i="10"/>
  <c r="O188" i="10"/>
  <c r="J188" i="10"/>
  <c r="AG186" i="10"/>
  <c r="AE186" i="10"/>
  <c r="AC186" i="10"/>
  <c r="R186" i="10"/>
  <c r="P186" i="10"/>
  <c r="O186" i="10"/>
  <c r="J186" i="10"/>
  <c r="AG185" i="10"/>
  <c r="AE185" i="10"/>
  <c r="AC185" i="10"/>
  <c r="R185" i="10"/>
  <c r="P185" i="10"/>
  <c r="O185" i="10"/>
  <c r="J185" i="10"/>
  <c r="AG184" i="10"/>
  <c r="AE184" i="10"/>
  <c r="AC184" i="10"/>
  <c r="R184" i="10"/>
  <c r="P184" i="10"/>
  <c r="O184" i="10"/>
  <c r="J184" i="10"/>
  <c r="AG183" i="10"/>
  <c r="AE183" i="10"/>
  <c r="AC183" i="10"/>
  <c r="R183" i="10"/>
  <c r="P183" i="10"/>
  <c r="O183" i="10"/>
  <c r="J183" i="10"/>
  <c r="AG182" i="10"/>
  <c r="AE182" i="10"/>
  <c r="AC182" i="10"/>
  <c r="R182" i="10"/>
  <c r="P182" i="10"/>
  <c r="O182" i="10"/>
  <c r="M182" i="10"/>
  <c r="J182" i="10"/>
  <c r="AG181" i="10"/>
  <c r="AE181" i="10"/>
  <c r="AC181" i="10"/>
  <c r="R181" i="10"/>
  <c r="P181" i="10"/>
  <c r="O181" i="10"/>
  <c r="J181" i="10"/>
  <c r="P176" i="10"/>
  <c r="O176" i="10"/>
  <c r="M176" i="10"/>
  <c r="B176" i="10"/>
  <c r="AG172" i="10"/>
  <c r="AE172" i="10"/>
  <c r="AC172" i="10"/>
  <c r="R172" i="10"/>
  <c r="P172" i="10"/>
  <c r="O172" i="10"/>
  <c r="J172" i="10"/>
  <c r="AG171" i="10"/>
  <c r="AE171" i="10"/>
  <c r="AC171" i="10"/>
  <c r="R171" i="10"/>
  <c r="P171" i="10"/>
  <c r="O171" i="10"/>
  <c r="J171" i="10"/>
  <c r="AG170" i="10"/>
  <c r="AE170" i="10"/>
  <c r="AC170" i="10"/>
  <c r="R170" i="10"/>
  <c r="P170" i="10"/>
  <c r="O170" i="10"/>
  <c r="J170" i="10"/>
  <c r="AG169" i="10"/>
  <c r="AE169" i="10"/>
  <c r="AC169" i="10"/>
  <c r="R169" i="10"/>
  <c r="P169" i="10"/>
  <c r="O169" i="10"/>
  <c r="J169" i="10"/>
  <c r="AG168" i="10"/>
  <c r="AE168" i="10"/>
  <c r="AC168" i="10"/>
  <c r="R168" i="10"/>
  <c r="P168" i="10"/>
  <c r="O168" i="10"/>
  <c r="J168" i="10"/>
  <c r="AG167" i="10"/>
  <c r="AE167" i="10"/>
  <c r="AC167" i="10"/>
  <c r="R167" i="10"/>
  <c r="P167" i="10"/>
  <c r="O167" i="10"/>
  <c r="J167" i="10"/>
  <c r="AG165" i="10"/>
  <c r="AE165" i="10"/>
  <c r="AC165" i="10"/>
  <c r="R165" i="10"/>
  <c r="P165" i="10"/>
  <c r="O165" i="10"/>
  <c r="J165" i="10"/>
  <c r="AG164" i="10"/>
  <c r="AE164" i="10"/>
  <c r="AC164" i="10"/>
  <c r="R164" i="10"/>
  <c r="P164" i="10"/>
  <c r="O164" i="10"/>
  <c r="J164" i="10"/>
  <c r="AG163" i="10"/>
  <c r="AE163" i="10"/>
  <c r="AC163" i="10"/>
  <c r="R163" i="10"/>
  <c r="P163" i="10"/>
  <c r="O163" i="10"/>
  <c r="J163" i="10"/>
  <c r="AC162" i="10"/>
  <c r="AG161" i="10"/>
  <c r="AE161" i="10"/>
  <c r="AC161" i="10"/>
  <c r="R161" i="10"/>
  <c r="P161" i="10"/>
  <c r="O161" i="10"/>
  <c r="J161" i="10"/>
  <c r="AG159" i="10"/>
  <c r="AE159" i="10"/>
  <c r="AC159" i="10"/>
  <c r="R159" i="10"/>
  <c r="P159" i="10"/>
  <c r="O159" i="10"/>
  <c r="J159" i="10"/>
  <c r="AG158" i="10"/>
  <c r="AE158" i="10"/>
  <c r="AC158" i="10"/>
  <c r="R158" i="10"/>
  <c r="P158" i="10"/>
  <c r="O158" i="10"/>
  <c r="J158" i="10"/>
  <c r="AG157" i="10"/>
  <c r="AE157" i="10"/>
  <c r="AC157" i="10"/>
  <c r="R157" i="10"/>
  <c r="P157" i="10"/>
  <c r="O157" i="10"/>
  <c r="J157" i="10"/>
  <c r="AG156" i="10"/>
  <c r="AE156" i="10"/>
  <c r="AC156" i="10"/>
  <c r="R156" i="10"/>
  <c r="P156" i="10"/>
  <c r="O156" i="10"/>
  <c r="J156" i="10"/>
  <c r="AG155" i="10"/>
  <c r="AE155" i="10"/>
  <c r="AC155" i="10"/>
  <c r="R155" i="10"/>
  <c r="P155" i="10"/>
  <c r="O155" i="10"/>
  <c r="J155" i="10"/>
  <c r="AG154" i="10"/>
  <c r="AE154" i="10"/>
  <c r="AC154" i="10"/>
  <c r="R154" i="10"/>
  <c r="P154" i="10"/>
  <c r="O154" i="10"/>
  <c r="J154" i="10"/>
  <c r="AG153" i="10"/>
  <c r="AE153" i="10"/>
  <c r="AC153" i="10"/>
  <c r="R153" i="10"/>
  <c r="P153" i="10"/>
  <c r="O153" i="10"/>
  <c r="J153" i="10"/>
  <c r="AG152" i="10"/>
  <c r="AE152" i="10"/>
  <c r="AC152" i="10"/>
  <c r="R152" i="10"/>
  <c r="P152" i="10"/>
  <c r="O152" i="10"/>
  <c r="J152" i="10"/>
  <c r="AG151" i="10"/>
  <c r="AE151" i="10"/>
  <c r="AC151" i="10"/>
  <c r="R151" i="10"/>
  <c r="P151" i="10"/>
  <c r="O151" i="10"/>
  <c r="J151" i="10"/>
  <c r="AG150" i="10"/>
  <c r="AE150" i="10"/>
  <c r="AC150" i="10"/>
  <c r="R150" i="10"/>
  <c r="P150" i="10"/>
  <c r="O150" i="10"/>
  <c r="J150" i="10"/>
  <c r="AG149" i="10"/>
  <c r="AE149" i="10"/>
  <c r="AC149" i="10"/>
  <c r="R149" i="10"/>
  <c r="P149" i="10"/>
  <c r="O149" i="10"/>
  <c r="J149" i="10"/>
  <c r="AG148" i="10"/>
  <c r="AE148" i="10"/>
  <c r="AC148" i="10"/>
  <c r="R148" i="10"/>
  <c r="P148" i="10"/>
  <c r="O148" i="10"/>
  <c r="J148" i="10"/>
  <c r="AG147" i="10"/>
  <c r="AE147" i="10"/>
  <c r="AC147" i="10"/>
  <c r="R147" i="10"/>
  <c r="P147" i="10"/>
  <c r="O147" i="10"/>
  <c r="J147" i="10"/>
  <c r="AG146" i="10"/>
  <c r="AE146" i="10"/>
  <c r="AC146" i="10"/>
  <c r="R146" i="10"/>
  <c r="P146" i="10"/>
  <c r="O146" i="10"/>
  <c r="J146" i="10"/>
  <c r="AG145" i="10"/>
  <c r="AE145" i="10"/>
  <c r="AC145" i="10"/>
  <c r="R145" i="10"/>
  <c r="P145" i="10"/>
  <c r="O145" i="10"/>
  <c r="J145" i="10"/>
  <c r="AG144" i="10"/>
  <c r="AE144" i="10"/>
  <c r="AC144" i="10"/>
  <c r="R144" i="10"/>
  <c r="P144" i="10"/>
  <c r="O144" i="10"/>
  <c r="J144" i="10"/>
  <c r="AG143" i="10"/>
  <c r="AE143" i="10"/>
  <c r="AC143" i="10"/>
  <c r="R143" i="10"/>
  <c r="P143" i="10"/>
  <c r="O143" i="10"/>
  <c r="J143" i="10"/>
  <c r="AG142" i="10"/>
  <c r="AE142" i="10"/>
  <c r="AC142" i="10"/>
  <c r="R142" i="10"/>
  <c r="P142" i="10"/>
  <c r="O142" i="10"/>
  <c r="J142" i="10"/>
  <c r="AG141" i="10"/>
  <c r="AE141" i="10"/>
  <c r="AC141" i="10"/>
  <c r="R141" i="10"/>
  <c r="P141" i="10"/>
  <c r="O141" i="10"/>
  <c r="J141" i="10"/>
  <c r="AG140" i="10"/>
  <c r="AE140" i="10"/>
  <c r="AC140" i="10"/>
  <c r="R140" i="10"/>
  <c r="P140" i="10"/>
  <c r="O140" i="10"/>
  <c r="J140" i="10"/>
  <c r="AG139" i="10"/>
  <c r="AE139" i="10"/>
  <c r="AC139" i="10"/>
  <c r="R139" i="10"/>
  <c r="P139" i="10"/>
  <c r="O139" i="10"/>
  <c r="J139" i="10"/>
  <c r="AG138" i="10"/>
  <c r="AE138" i="10"/>
  <c r="AC138" i="10"/>
  <c r="R138" i="10"/>
  <c r="P138" i="10"/>
  <c r="O138" i="10"/>
  <c r="J138" i="10"/>
  <c r="AG137" i="10"/>
  <c r="AE137" i="10"/>
  <c r="AC137" i="10"/>
  <c r="R137" i="10"/>
  <c r="P137" i="10"/>
  <c r="O137" i="10"/>
  <c r="J137" i="10"/>
  <c r="AG136" i="10"/>
  <c r="AE136" i="10"/>
  <c r="AC136" i="10"/>
  <c r="R136" i="10"/>
  <c r="P136" i="10"/>
  <c r="O136" i="10"/>
  <c r="J136" i="10"/>
  <c r="AG135" i="10"/>
  <c r="AE135" i="10"/>
  <c r="AC135" i="10"/>
  <c r="R135" i="10"/>
  <c r="P135" i="10"/>
  <c r="O135" i="10"/>
  <c r="J135" i="10"/>
  <c r="AG134" i="10"/>
  <c r="AE134" i="10"/>
  <c r="AC134" i="10"/>
  <c r="R134" i="10"/>
  <c r="P134" i="10"/>
  <c r="O134" i="10"/>
  <c r="J134" i="10"/>
  <c r="P131" i="10"/>
  <c r="O131" i="10"/>
  <c r="M131" i="10"/>
  <c r="B131" i="10"/>
  <c r="AG129" i="10"/>
  <c r="AE129" i="10"/>
  <c r="AC129" i="10"/>
  <c r="R129" i="10"/>
  <c r="P129" i="10"/>
  <c r="O129" i="10"/>
  <c r="J129" i="10"/>
  <c r="AG128" i="10"/>
  <c r="AE128" i="10"/>
  <c r="AC128" i="10"/>
  <c r="R128" i="10"/>
  <c r="P128" i="10"/>
  <c r="O128" i="10"/>
  <c r="J128" i="10"/>
  <c r="AG126" i="10"/>
  <c r="AE126" i="10"/>
  <c r="AC126" i="10"/>
  <c r="R126" i="10"/>
  <c r="P126" i="10"/>
  <c r="O126" i="10"/>
  <c r="J126" i="10"/>
  <c r="AG125" i="10"/>
  <c r="AE125" i="10"/>
  <c r="AC125" i="10"/>
  <c r="R125" i="10"/>
  <c r="P125" i="10"/>
  <c r="O125" i="10"/>
  <c r="J125" i="10"/>
  <c r="AG124" i="10"/>
  <c r="AE124" i="10"/>
  <c r="AC124" i="10"/>
  <c r="R124" i="10"/>
  <c r="P124" i="10"/>
  <c r="O124" i="10"/>
  <c r="J124" i="10"/>
  <c r="AG123" i="10"/>
  <c r="AE123" i="10"/>
  <c r="AC123" i="10"/>
  <c r="R123" i="10"/>
  <c r="P123" i="10"/>
  <c r="O123" i="10"/>
  <c r="J123" i="10"/>
  <c r="AG122" i="10"/>
  <c r="AE122" i="10"/>
  <c r="AC122" i="10"/>
  <c r="R122" i="10"/>
  <c r="P122" i="10"/>
  <c r="O122" i="10"/>
  <c r="J122" i="10"/>
  <c r="AG121" i="10"/>
  <c r="AE121" i="10"/>
  <c r="AC121" i="10"/>
  <c r="R121" i="10"/>
  <c r="P121" i="10"/>
  <c r="O121" i="10"/>
  <c r="J121" i="10"/>
  <c r="AG119" i="10"/>
  <c r="AE119" i="10"/>
  <c r="AC119" i="10"/>
  <c r="R119" i="10"/>
  <c r="P119" i="10"/>
  <c r="O119" i="10"/>
  <c r="J119" i="10"/>
  <c r="AG118" i="10"/>
  <c r="AE118" i="10"/>
  <c r="AC118" i="10"/>
  <c r="R118" i="10"/>
  <c r="P118" i="10"/>
  <c r="O118" i="10"/>
  <c r="J118" i="10"/>
  <c r="AG117" i="10"/>
  <c r="AE117" i="10"/>
  <c r="AC117" i="10"/>
  <c r="R117" i="10"/>
  <c r="P117" i="10"/>
  <c r="O117" i="10"/>
  <c r="J117" i="10"/>
  <c r="AG116" i="10"/>
  <c r="AE116" i="10"/>
  <c r="AC116" i="10"/>
  <c r="R116" i="10"/>
  <c r="P116" i="10"/>
  <c r="O116" i="10"/>
  <c r="J116" i="10"/>
  <c r="AG115" i="10"/>
  <c r="AE115" i="10"/>
  <c r="AC115" i="10"/>
  <c r="R115" i="10"/>
  <c r="P115" i="10"/>
  <c r="O115" i="10"/>
  <c r="J115" i="10"/>
  <c r="AG114" i="10"/>
  <c r="AE114" i="10"/>
  <c r="AC114" i="10"/>
  <c r="R114" i="10"/>
  <c r="P114" i="10"/>
  <c r="O114" i="10"/>
  <c r="J114" i="10"/>
  <c r="AG113" i="10"/>
  <c r="AE113" i="10"/>
  <c r="AC113" i="10"/>
  <c r="R113" i="10"/>
  <c r="P113" i="10"/>
  <c r="O113" i="10"/>
  <c r="J113" i="10"/>
  <c r="AG112" i="10"/>
  <c r="AE112" i="10"/>
  <c r="AC112" i="10"/>
  <c r="R112" i="10"/>
  <c r="P112" i="10"/>
  <c r="O112" i="10"/>
  <c r="J112" i="10"/>
  <c r="AG111" i="10"/>
  <c r="AE111" i="10"/>
  <c r="AC111" i="10"/>
  <c r="R111" i="10"/>
  <c r="P111" i="10"/>
  <c r="O111" i="10"/>
  <c r="J111" i="10"/>
  <c r="AG110" i="10"/>
  <c r="AE110" i="10"/>
  <c r="AC110" i="10"/>
  <c r="R110" i="10"/>
  <c r="P110" i="10"/>
  <c r="O110" i="10"/>
  <c r="M110" i="10"/>
  <c r="J110" i="10"/>
  <c r="AG109" i="10"/>
  <c r="AE109" i="10"/>
  <c r="AC109" i="10"/>
  <c r="R109" i="10"/>
  <c r="P109" i="10"/>
  <c r="O109" i="10"/>
  <c r="J109" i="10"/>
  <c r="AG108" i="10"/>
  <c r="AE108" i="10"/>
  <c r="AC108" i="10"/>
  <c r="R108" i="10"/>
  <c r="P108" i="10"/>
  <c r="O108" i="10"/>
  <c r="J108" i="10"/>
  <c r="AG107" i="10"/>
  <c r="AE107" i="10"/>
  <c r="AC107" i="10"/>
  <c r="R107" i="10"/>
  <c r="P107" i="10"/>
  <c r="O107" i="10"/>
  <c r="J107" i="10"/>
  <c r="AG106" i="10"/>
  <c r="AE106" i="10"/>
  <c r="AC106" i="10"/>
  <c r="R106" i="10"/>
  <c r="P106" i="10"/>
  <c r="O106" i="10"/>
  <c r="J106" i="10"/>
  <c r="AG105" i="10"/>
  <c r="AE105" i="10"/>
  <c r="AC105" i="10"/>
  <c r="R105" i="10"/>
  <c r="P105" i="10"/>
  <c r="O105" i="10"/>
  <c r="J105" i="10"/>
  <c r="AG104" i="10"/>
  <c r="AE104" i="10"/>
  <c r="AC104" i="10"/>
  <c r="R104" i="10"/>
  <c r="P104" i="10"/>
  <c r="O104" i="10"/>
  <c r="J104" i="10"/>
  <c r="AG103" i="10"/>
  <c r="AE103" i="10"/>
  <c r="AC103" i="10"/>
  <c r="R103" i="10"/>
  <c r="P103" i="10"/>
  <c r="O103" i="10"/>
  <c r="J103" i="10"/>
  <c r="AG102" i="10"/>
  <c r="AE102" i="10"/>
  <c r="AC102" i="10"/>
  <c r="R102" i="10"/>
  <c r="P102" i="10"/>
  <c r="O102" i="10"/>
  <c r="J102" i="10"/>
  <c r="AG101" i="10"/>
  <c r="AE101" i="10"/>
  <c r="AC101" i="10"/>
  <c r="R101" i="10"/>
  <c r="P101" i="10"/>
  <c r="O101" i="10"/>
  <c r="M101" i="10"/>
  <c r="J101" i="10"/>
  <c r="B101" i="10"/>
  <c r="P98" i="10"/>
  <c r="O98" i="10"/>
  <c r="M98" i="10"/>
  <c r="AG96" i="10"/>
  <c r="AE96" i="10"/>
  <c r="AC96" i="10"/>
  <c r="R96" i="10"/>
  <c r="P96" i="10"/>
  <c r="O96" i="10"/>
  <c r="J96" i="10"/>
  <c r="AG95" i="10"/>
  <c r="AE95" i="10"/>
  <c r="AC95" i="10"/>
  <c r="R95" i="10"/>
  <c r="P95" i="10"/>
  <c r="O95" i="10"/>
  <c r="J95" i="10"/>
  <c r="AG94" i="10"/>
  <c r="AE94" i="10"/>
  <c r="AC94" i="10"/>
  <c r="R94" i="10"/>
  <c r="P94" i="10"/>
  <c r="O94" i="10"/>
  <c r="J94" i="10"/>
  <c r="AG93" i="10"/>
  <c r="AE93" i="10"/>
  <c r="AC93" i="10"/>
  <c r="R93" i="10"/>
  <c r="P93" i="10"/>
  <c r="O93" i="10"/>
  <c r="J93" i="10"/>
  <c r="AG92" i="10"/>
  <c r="AE92" i="10"/>
  <c r="AC92" i="10"/>
  <c r="R92" i="10"/>
  <c r="P92" i="10"/>
  <c r="O92" i="10"/>
  <c r="J92" i="10"/>
  <c r="AG91" i="10"/>
  <c r="AE91" i="10"/>
  <c r="AC91" i="10"/>
  <c r="R91" i="10"/>
  <c r="P91" i="10"/>
  <c r="O91" i="10"/>
  <c r="J91" i="10"/>
  <c r="AG89" i="10"/>
  <c r="AE89" i="10"/>
  <c r="AC89" i="10"/>
  <c r="R89" i="10"/>
  <c r="P89" i="10"/>
  <c r="O89" i="10"/>
  <c r="J89" i="10"/>
  <c r="AG88" i="10"/>
  <c r="AE88" i="10"/>
  <c r="AC88" i="10"/>
  <c r="R88" i="10"/>
  <c r="P88" i="10"/>
  <c r="O88" i="10"/>
  <c r="J88" i="10"/>
  <c r="AG87" i="10"/>
  <c r="AE87" i="10"/>
  <c r="AC87" i="10"/>
  <c r="R87" i="10"/>
  <c r="P87" i="10"/>
  <c r="O87" i="10"/>
  <c r="J87" i="10"/>
  <c r="AG86" i="10"/>
  <c r="AE86" i="10"/>
  <c r="AC86" i="10"/>
  <c r="R86" i="10"/>
  <c r="P86" i="10"/>
  <c r="O86" i="10"/>
  <c r="J86" i="10"/>
  <c r="AG85" i="10"/>
  <c r="AE85" i="10"/>
  <c r="AC85" i="10"/>
  <c r="R85" i="10"/>
  <c r="P85" i="10"/>
  <c r="O85" i="10"/>
  <c r="J85" i="10"/>
  <c r="AG84" i="10"/>
  <c r="AE84" i="10"/>
  <c r="AC84" i="10"/>
  <c r="R84" i="10"/>
  <c r="P84" i="10"/>
  <c r="O84" i="10"/>
  <c r="J84" i="10"/>
  <c r="AG83" i="10"/>
  <c r="AE83" i="10"/>
  <c r="AC83" i="10"/>
  <c r="R83" i="10"/>
  <c r="P83" i="10"/>
  <c r="O83" i="10"/>
  <c r="J83" i="10"/>
  <c r="AG82" i="10"/>
  <c r="AE82" i="10"/>
  <c r="AC82" i="10"/>
  <c r="R82" i="10"/>
  <c r="P82" i="10"/>
  <c r="O82" i="10"/>
  <c r="J82" i="10"/>
  <c r="AG81" i="10"/>
  <c r="AE81" i="10"/>
  <c r="AC81" i="10"/>
  <c r="R81" i="10"/>
  <c r="P81" i="10"/>
  <c r="O81" i="10"/>
  <c r="J81" i="10"/>
  <c r="AG80" i="10"/>
  <c r="AE80" i="10"/>
  <c r="AC80" i="10"/>
  <c r="R80" i="10"/>
  <c r="P80" i="10"/>
  <c r="O80" i="10"/>
  <c r="J80" i="10"/>
  <c r="AG78" i="10"/>
  <c r="AE78" i="10"/>
  <c r="AC78" i="10"/>
  <c r="R78" i="10"/>
  <c r="P78" i="10"/>
  <c r="O78" i="10"/>
  <c r="J78" i="10"/>
  <c r="AG77" i="10"/>
  <c r="AE77" i="10"/>
  <c r="AC77" i="10"/>
  <c r="R77" i="10"/>
  <c r="P77" i="10"/>
  <c r="O77" i="10"/>
  <c r="J77" i="10"/>
  <c r="AG76" i="10"/>
  <c r="AE76" i="10"/>
  <c r="AC76" i="10"/>
  <c r="R76" i="10"/>
  <c r="P76" i="10"/>
  <c r="O76" i="10"/>
  <c r="J76" i="10"/>
  <c r="AG75" i="10"/>
  <c r="AE75" i="10"/>
  <c r="AC75" i="10"/>
  <c r="R75" i="10"/>
  <c r="P75" i="10"/>
  <c r="O75" i="10"/>
  <c r="J75" i="10"/>
  <c r="AG74" i="10"/>
  <c r="AE74" i="10"/>
  <c r="AC74" i="10"/>
  <c r="R74" i="10"/>
  <c r="P74" i="10"/>
  <c r="O74" i="10"/>
  <c r="J74" i="10"/>
  <c r="AG73" i="10"/>
  <c r="AE73" i="10"/>
  <c r="AC73" i="10"/>
  <c r="R73" i="10"/>
  <c r="P73" i="10"/>
  <c r="O73" i="10"/>
  <c r="J73" i="10"/>
  <c r="AG72" i="10"/>
  <c r="AE72" i="10"/>
  <c r="AC72" i="10"/>
  <c r="R72" i="10"/>
  <c r="P72" i="10"/>
  <c r="O72" i="10"/>
  <c r="J72" i="10"/>
  <c r="AG71" i="10"/>
  <c r="AE71" i="10"/>
  <c r="AC71" i="10"/>
  <c r="R71" i="10"/>
  <c r="P71" i="10"/>
  <c r="O71" i="10"/>
  <c r="J71" i="10"/>
  <c r="AG70" i="10"/>
  <c r="AE70" i="10"/>
  <c r="AC70" i="10"/>
  <c r="R70" i="10"/>
  <c r="P70" i="10"/>
  <c r="O70" i="10"/>
  <c r="M70" i="10"/>
  <c r="J70" i="10"/>
  <c r="AG69" i="10"/>
  <c r="AE69" i="10"/>
  <c r="AC69" i="10"/>
  <c r="R69" i="10"/>
  <c r="P69" i="10"/>
  <c r="O69" i="10"/>
  <c r="J69" i="10"/>
  <c r="AG68" i="10"/>
  <c r="AE68" i="10"/>
  <c r="AC68" i="10"/>
  <c r="R68" i="10"/>
  <c r="P68" i="10"/>
  <c r="O68" i="10"/>
  <c r="J68" i="10"/>
  <c r="AG67" i="10"/>
  <c r="AE67" i="10"/>
  <c r="AC67" i="10"/>
  <c r="R67" i="10"/>
  <c r="P67" i="10"/>
  <c r="O67" i="10"/>
  <c r="J67" i="10"/>
  <c r="AG66" i="10"/>
  <c r="AE66" i="10"/>
  <c r="AC66" i="10"/>
  <c r="R66" i="10"/>
  <c r="P66" i="10"/>
  <c r="O66" i="10"/>
  <c r="J66" i="10"/>
  <c r="AG65" i="10"/>
  <c r="AE65" i="10"/>
  <c r="AC65" i="10"/>
  <c r="R65" i="10"/>
  <c r="P65" i="10"/>
  <c r="O65" i="10"/>
  <c r="J65" i="10"/>
  <c r="AG64" i="10"/>
  <c r="AE64" i="10"/>
  <c r="AC64" i="10"/>
  <c r="R64" i="10"/>
  <c r="P64" i="10"/>
  <c r="O64" i="10"/>
  <c r="J64" i="10"/>
  <c r="AG63" i="10"/>
  <c r="AE63" i="10"/>
  <c r="AC63" i="10"/>
  <c r="R63" i="10"/>
  <c r="P63" i="10"/>
  <c r="O63" i="10"/>
  <c r="J63" i="10"/>
  <c r="AG62" i="10"/>
  <c r="AE62" i="10"/>
  <c r="AC62" i="10"/>
  <c r="R62" i="10"/>
  <c r="P62" i="10"/>
  <c r="O62" i="10"/>
  <c r="J62" i="10"/>
  <c r="AG61" i="10"/>
  <c r="AE61" i="10"/>
  <c r="AC61" i="10"/>
  <c r="R61" i="10"/>
  <c r="P61" i="10"/>
  <c r="O61" i="10"/>
  <c r="J61" i="10"/>
  <c r="AG60" i="10"/>
  <c r="AE60" i="10"/>
  <c r="AC60" i="10"/>
  <c r="R60" i="10"/>
  <c r="P60" i="10"/>
  <c r="O60" i="10"/>
  <c r="J60" i="10"/>
  <c r="AG59" i="10"/>
  <c r="AE59" i="10"/>
  <c r="AC59" i="10"/>
  <c r="R59" i="10"/>
  <c r="P59" i="10"/>
  <c r="O59" i="10"/>
  <c r="J59" i="10"/>
  <c r="AG58" i="10"/>
  <c r="AE58" i="10"/>
  <c r="AC58" i="10"/>
  <c r="R58" i="10"/>
  <c r="P58" i="10"/>
  <c r="O58" i="10"/>
  <c r="J58" i="10"/>
  <c r="AG57" i="10"/>
  <c r="AE57" i="10"/>
  <c r="AC57" i="10"/>
  <c r="R57" i="10"/>
  <c r="P57" i="10"/>
  <c r="O57" i="10"/>
  <c r="J57" i="10"/>
  <c r="AG56" i="10"/>
  <c r="AE56" i="10"/>
  <c r="AC56" i="10"/>
  <c r="R56" i="10"/>
  <c r="P56" i="10"/>
  <c r="O56" i="10"/>
  <c r="J56" i="10"/>
  <c r="AG55" i="10"/>
  <c r="AE55" i="10"/>
  <c r="AC55" i="10"/>
  <c r="R55" i="10"/>
  <c r="P55" i="10"/>
  <c r="O55" i="10"/>
  <c r="J55" i="10"/>
  <c r="AG54" i="10"/>
  <c r="AE54" i="10"/>
  <c r="AC54" i="10"/>
  <c r="R54" i="10"/>
  <c r="P54" i="10"/>
  <c r="O54" i="10"/>
  <c r="J54" i="10"/>
  <c r="AG53" i="10"/>
  <c r="AE53" i="10"/>
  <c r="AC53" i="10"/>
  <c r="R53" i="10"/>
  <c r="P53" i="10"/>
  <c r="O53" i="10"/>
  <c r="J53" i="10"/>
  <c r="AG52" i="10"/>
  <c r="AE52" i="10"/>
  <c r="AC52" i="10"/>
  <c r="R52" i="10"/>
  <c r="P52" i="10"/>
  <c r="O52" i="10"/>
  <c r="J52" i="10"/>
  <c r="AG51" i="10"/>
  <c r="AE51" i="10"/>
  <c r="AC51" i="10"/>
  <c r="R51" i="10"/>
  <c r="P51" i="10"/>
  <c r="O51" i="10"/>
  <c r="J51" i="10"/>
  <c r="AG50" i="10"/>
  <c r="AE50" i="10"/>
  <c r="AC50" i="10"/>
  <c r="R50" i="10"/>
  <c r="P50" i="10"/>
  <c r="O50" i="10"/>
  <c r="J50" i="10"/>
  <c r="AG49" i="10"/>
  <c r="AE49" i="10"/>
  <c r="AC49" i="10"/>
  <c r="R49" i="10"/>
  <c r="P49" i="10"/>
  <c r="O49" i="10"/>
  <c r="J49" i="10"/>
  <c r="AG48" i="10"/>
  <c r="AE48" i="10"/>
  <c r="AC48" i="10"/>
  <c r="R48" i="10"/>
  <c r="P48" i="10"/>
  <c r="O48" i="10"/>
  <c r="J48" i="10"/>
  <c r="AG47" i="10"/>
  <c r="AE47" i="10"/>
  <c r="AC47" i="10"/>
  <c r="R47" i="10"/>
  <c r="P47" i="10"/>
  <c r="O47" i="10"/>
  <c r="J47" i="10"/>
  <c r="AG46" i="10"/>
  <c r="AE46" i="10"/>
  <c r="AC46" i="10"/>
  <c r="R46" i="10"/>
  <c r="P46" i="10"/>
  <c r="O46" i="10"/>
  <c r="J46" i="10"/>
  <c r="AG45" i="10"/>
  <c r="AE45" i="10"/>
  <c r="AC45" i="10"/>
  <c r="R45" i="10"/>
  <c r="P45" i="10"/>
  <c r="O45" i="10"/>
  <c r="J45" i="10"/>
  <c r="AG44" i="10"/>
  <c r="AE44" i="10"/>
  <c r="AC44" i="10"/>
  <c r="R44" i="10"/>
  <c r="P44" i="10"/>
  <c r="O44" i="10"/>
  <c r="J44" i="10"/>
  <c r="AG43" i="10"/>
  <c r="AE43" i="10"/>
  <c r="AC43" i="10"/>
  <c r="R43" i="10"/>
  <c r="P43" i="10"/>
  <c r="O43" i="10"/>
  <c r="J43" i="10"/>
  <c r="AG42" i="10"/>
  <c r="AE42" i="10"/>
  <c r="AC42" i="10"/>
  <c r="R42" i="10"/>
  <c r="P42" i="10"/>
  <c r="O42" i="10"/>
  <c r="J42" i="10"/>
  <c r="AG41" i="10"/>
  <c r="AE41" i="10"/>
  <c r="AC41" i="10"/>
  <c r="R41" i="10"/>
  <c r="P41" i="10"/>
  <c r="O41" i="10"/>
  <c r="J41" i="10"/>
  <c r="AG40" i="10"/>
  <c r="AE40" i="10"/>
  <c r="AC40" i="10"/>
  <c r="R40" i="10"/>
  <c r="P40" i="10"/>
  <c r="O40" i="10"/>
  <c r="J40" i="10"/>
  <c r="AG39" i="10"/>
  <c r="AE39" i="10"/>
  <c r="AC39" i="10"/>
  <c r="R39" i="10"/>
  <c r="P39" i="10"/>
  <c r="O39" i="10"/>
  <c r="J39" i="10"/>
  <c r="AG38" i="10"/>
  <c r="AE38" i="10"/>
  <c r="AC38" i="10"/>
  <c r="R38" i="10"/>
  <c r="P38" i="10"/>
  <c r="O38" i="10"/>
  <c r="J38" i="10"/>
  <c r="AG37" i="10"/>
  <c r="AE37" i="10"/>
  <c r="AC37" i="10"/>
  <c r="R37" i="10"/>
  <c r="P37" i="10"/>
  <c r="O37" i="10"/>
  <c r="J37" i="10"/>
  <c r="AG36" i="10"/>
  <c r="AE36" i="10"/>
  <c r="AC36" i="10"/>
  <c r="R36" i="10"/>
  <c r="P36" i="10"/>
  <c r="O36" i="10"/>
  <c r="J36" i="10"/>
  <c r="AG35" i="10"/>
  <c r="AE35" i="10"/>
  <c r="AC35" i="10"/>
  <c r="R35" i="10"/>
  <c r="P35" i="10"/>
  <c r="O35" i="10"/>
  <c r="J35" i="10"/>
  <c r="AG34" i="10"/>
  <c r="AE34" i="10"/>
  <c r="AC34" i="10"/>
  <c r="R34" i="10"/>
  <c r="P34" i="10"/>
  <c r="O34" i="10"/>
  <c r="J34" i="10"/>
  <c r="AG33" i="10"/>
  <c r="AE33" i="10"/>
  <c r="AC33" i="10"/>
  <c r="R33" i="10"/>
  <c r="P33" i="10"/>
  <c r="O33" i="10"/>
  <c r="J33" i="10"/>
  <c r="AG32" i="10"/>
  <c r="AE32" i="10"/>
  <c r="AC32" i="10"/>
  <c r="R32" i="10"/>
  <c r="P32" i="10"/>
  <c r="O32" i="10"/>
  <c r="M32" i="10"/>
  <c r="J32" i="10"/>
  <c r="B32" i="10"/>
  <c r="AG31" i="10"/>
  <c r="AE31" i="10"/>
  <c r="AC31" i="10"/>
  <c r="R31" i="10"/>
  <c r="P31" i="10"/>
  <c r="O31" i="10"/>
  <c r="J31" i="10"/>
  <c r="AG30" i="10"/>
  <c r="AE30" i="10"/>
  <c r="AC30" i="10"/>
  <c r="R30" i="10"/>
  <c r="P30" i="10"/>
  <c r="O30" i="10"/>
  <c r="J30" i="10"/>
  <c r="AG29" i="10"/>
  <c r="AE29" i="10"/>
  <c r="AC29" i="10"/>
  <c r="R29" i="10"/>
  <c r="P29" i="10"/>
  <c r="O29" i="10"/>
  <c r="J29" i="10"/>
  <c r="AG28" i="10"/>
  <c r="AE28" i="10"/>
  <c r="AC28" i="10"/>
  <c r="R28" i="10"/>
  <c r="P28" i="10"/>
  <c r="O28" i="10"/>
  <c r="J28" i="10"/>
  <c r="AG27" i="10"/>
  <c r="AE27" i="10"/>
  <c r="AC27" i="10"/>
  <c r="R27" i="10"/>
  <c r="P27" i="10"/>
  <c r="O27" i="10"/>
  <c r="J27" i="10"/>
  <c r="AG26" i="10"/>
  <c r="AE26" i="10"/>
  <c r="AC26" i="10"/>
  <c r="R26" i="10"/>
  <c r="P26" i="10"/>
  <c r="O26" i="10"/>
  <c r="J26" i="10"/>
  <c r="AG25" i="10"/>
  <c r="AE25" i="10"/>
  <c r="AC25" i="10"/>
  <c r="R25" i="10"/>
  <c r="P25" i="10"/>
  <c r="O25" i="10"/>
  <c r="J25" i="10"/>
  <c r="AG24" i="10"/>
  <c r="AE24" i="10"/>
  <c r="AC24" i="10"/>
  <c r="R24" i="10"/>
  <c r="P24" i="10"/>
  <c r="O24" i="10"/>
  <c r="J24" i="10"/>
  <c r="AG23" i="10"/>
  <c r="AE23" i="10"/>
  <c r="AC23" i="10"/>
  <c r="R23" i="10"/>
  <c r="P23" i="10"/>
  <c r="O23" i="10"/>
  <c r="J23" i="10"/>
  <c r="AG22" i="10"/>
  <c r="AE22" i="10"/>
  <c r="AC22" i="10"/>
  <c r="R22" i="10"/>
  <c r="P22" i="10"/>
  <c r="O22" i="10"/>
  <c r="J22" i="10"/>
  <c r="AG21" i="10"/>
  <c r="AE21" i="10"/>
  <c r="AC21" i="10"/>
  <c r="R21" i="10"/>
  <c r="P21" i="10"/>
  <c r="O21" i="10"/>
  <c r="J21" i="10"/>
  <c r="AG20" i="10"/>
  <c r="AE20" i="10"/>
  <c r="AC20" i="10"/>
  <c r="R20" i="10"/>
  <c r="P20" i="10"/>
  <c r="O20" i="10"/>
  <c r="J20" i="10"/>
  <c r="AG19" i="10"/>
  <c r="AE19" i="10"/>
  <c r="AC19" i="10"/>
  <c r="R19" i="10"/>
  <c r="P19" i="10"/>
  <c r="O19" i="10"/>
  <c r="J19" i="10"/>
  <c r="AG18" i="10"/>
  <c r="AE18" i="10"/>
  <c r="AC18" i="10"/>
  <c r="R18" i="10"/>
  <c r="P18" i="10"/>
  <c r="O18" i="10"/>
  <c r="J18" i="10"/>
  <c r="AG17" i="10"/>
  <c r="AE17" i="10"/>
  <c r="AC17" i="10"/>
  <c r="R17" i="10"/>
  <c r="P17" i="10"/>
  <c r="O17" i="10"/>
  <c r="J17" i="10"/>
  <c r="AG16" i="10"/>
  <c r="AE16" i="10"/>
  <c r="AC16" i="10"/>
  <c r="R16" i="10"/>
  <c r="P16" i="10"/>
  <c r="O16" i="10"/>
  <c r="J16" i="10"/>
  <c r="AG15" i="10"/>
  <c r="AE15" i="10"/>
  <c r="AC15" i="10"/>
  <c r="R15" i="10"/>
  <c r="P15" i="10"/>
  <c r="O15" i="10"/>
  <c r="J15" i="10"/>
  <c r="AG14" i="10"/>
  <c r="AE14" i="10"/>
  <c r="AC14" i="10"/>
  <c r="R14" i="10"/>
  <c r="P14" i="10"/>
  <c r="O14" i="10"/>
  <c r="J14" i="10"/>
  <c r="R13" i="10"/>
  <c r="W11" i="10"/>
  <c r="Z11" i="10" s="1"/>
  <c r="O5" i="10"/>
  <c r="O4" i="10"/>
  <c r="O3" i="10"/>
  <c r="O2" i="10"/>
  <c r="AR158" i="9"/>
  <c r="AP158" i="9"/>
  <c r="AN158" i="9"/>
  <c r="AL158" i="9"/>
  <c r="AJ158" i="9"/>
  <c r="AH158" i="9"/>
  <c r="AG158" i="9"/>
  <c r="AF158" i="9"/>
  <c r="AE158" i="9"/>
  <c r="AD158" i="9"/>
  <c r="AC158" i="9"/>
  <c r="AB158" i="9"/>
  <c r="AA158" i="9"/>
  <c r="Y158" i="9"/>
  <c r="X158" i="9"/>
  <c r="V158" i="9"/>
  <c r="T158" i="9"/>
  <c r="S158" i="9"/>
  <c r="R158" i="9"/>
  <c r="Q158" i="9"/>
  <c r="P158" i="9"/>
  <c r="K158" i="9"/>
  <c r="AR157" i="9"/>
  <c r="AP157" i="9"/>
  <c r="AN157" i="9"/>
  <c r="AL157" i="9"/>
  <c r="AJ157" i="9"/>
  <c r="AF157" i="9"/>
  <c r="AE157" i="9"/>
  <c r="AD157" i="9"/>
  <c r="AC157" i="9"/>
  <c r="AB157" i="9"/>
  <c r="AA157" i="9"/>
  <c r="Y157" i="9"/>
  <c r="X157" i="9"/>
  <c r="V157" i="9"/>
  <c r="T157" i="9"/>
  <c r="S157" i="9"/>
  <c r="R157" i="9"/>
  <c r="Q157" i="9"/>
  <c r="P157" i="9"/>
  <c r="N157" i="9"/>
  <c r="K157" i="9"/>
  <c r="AR156" i="9"/>
  <c r="AP156" i="9"/>
  <c r="AN156" i="9"/>
  <c r="AL156" i="9"/>
  <c r="AJ156" i="9"/>
  <c r="AH156" i="9"/>
  <c r="AG156" i="9"/>
  <c r="AF156" i="9"/>
  <c r="AE156" i="9"/>
  <c r="AD156" i="9"/>
  <c r="AC156" i="9"/>
  <c r="AB156" i="9"/>
  <c r="AA156" i="9"/>
  <c r="Y156" i="9"/>
  <c r="X156" i="9"/>
  <c r="V156" i="9"/>
  <c r="T156" i="9"/>
  <c r="S156" i="9"/>
  <c r="R156" i="9"/>
  <c r="Q156" i="9"/>
  <c r="P156" i="9"/>
  <c r="K156" i="9"/>
  <c r="AR155" i="9"/>
  <c r="AP155" i="9"/>
  <c r="AN155" i="9"/>
  <c r="AL155" i="9"/>
  <c r="AJ155" i="9"/>
  <c r="AH155" i="9"/>
  <c r="AG155" i="9"/>
  <c r="AF155" i="9"/>
  <c r="AE155" i="9"/>
  <c r="AD155" i="9"/>
  <c r="AC155" i="9"/>
  <c r="AB155" i="9"/>
  <c r="AA155" i="9"/>
  <c r="Y155" i="9"/>
  <c r="X155" i="9"/>
  <c r="V155" i="9"/>
  <c r="T155" i="9"/>
  <c r="S155" i="9"/>
  <c r="R155" i="9"/>
  <c r="Q155" i="9"/>
  <c r="P155" i="9"/>
  <c r="N155" i="9"/>
  <c r="K155" i="9"/>
  <c r="AR154" i="9"/>
  <c r="AP154" i="9"/>
  <c r="AN154" i="9"/>
  <c r="AL154" i="9"/>
  <c r="AJ154" i="9"/>
  <c r="AH154" i="9"/>
  <c r="AG154" i="9"/>
  <c r="AF154" i="9"/>
  <c r="AE154" i="9"/>
  <c r="AD154" i="9"/>
  <c r="AC154" i="9"/>
  <c r="AB154" i="9"/>
  <c r="AA154" i="9"/>
  <c r="Y154" i="9"/>
  <c r="X154" i="9"/>
  <c r="V154" i="9"/>
  <c r="T154" i="9"/>
  <c r="S154" i="9"/>
  <c r="R154" i="9"/>
  <c r="Q154" i="9"/>
  <c r="P154" i="9"/>
  <c r="K154" i="9"/>
  <c r="AR153" i="9"/>
  <c r="AP153" i="9"/>
  <c r="AN153" i="9"/>
  <c r="AL153" i="9"/>
  <c r="AJ153" i="9"/>
  <c r="AH153" i="9"/>
  <c r="AG153" i="9"/>
  <c r="AF153" i="9"/>
  <c r="AE153" i="9"/>
  <c r="AD153" i="9"/>
  <c r="AC153" i="9"/>
  <c r="AB153" i="9"/>
  <c r="AA153" i="9"/>
  <c r="Y153" i="9"/>
  <c r="X153" i="9"/>
  <c r="V153" i="9"/>
  <c r="T153" i="9"/>
  <c r="S153" i="9"/>
  <c r="R153" i="9"/>
  <c r="Q153" i="9"/>
  <c r="P153" i="9"/>
  <c r="N153" i="9"/>
  <c r="K153" i="9"/>
  <c r="AR152" i="9"/>
  <c r="AP152" i="9"/>
  <c r="AN152" i="9"/>
  <c r="AL152" i="9"/>
  <c r="AJ152" i="9"/>
  <c r="AH148" i="9"/>
  <c r="AG148" i="9"/>
  <c r="AF148" i="9"/>
  <c r="AE148" i="9"/>
  <c r="AD148" i="9"/>
  <c r="AC148" i="9"/>
  <c r="AB148" i="9"/>
  <c r="AA148" i="9"/>
  <c r="Y148" i="9"/>
  <c r="X148" i="9"/>
  <c r="V148" i="9"/>
  <c r="T148" i="9"/>
  <c r="S148" i="9"/>
  <c r="R148" i="9"/>
  <c r="Q148" i="9"/>
  <c r="P148" i="9"/>
  <c r="K148" i="9"/>
  <c r="AH147" i="9"/>
  <c r="AG147" i="9"/>
  <c r="AF147" i="9"/>
  <c r="AE147" i="9"/>
  <c r="AD147" i="9"/>
  <c r="AC147" i="9"/>
  <c r="AB147" i="9"/>
  <c r="AA147" i="9"/>
  <c r="Y147" i="9"/>
  <c r="X147" i="9"/>
  <c r="V147" i="9"/>
  <c r="T147" i="9"/>
  <c r="S147" i="9"/>
  <c r="R147" i="9"/>
  <c r="Q147" i="9"/>
  <c r="P147" i="9"/>
  <c r="N147" i="9"/>
  <c r="K147" i="9"/>
  <c r="AH141" i="9"/>
  <c r="AG141" i="9"/>
  <c r="AF141" i="9"/>
  <c r="AE141" i="9"/>
  <c r="AD141" i="9"/>
  <c r="AC141" i="9"/>
  <c r="AB141" i="9"/>
  <c r="AA141" i="9"/>
  <c r="Y141" i="9"/>
  <c r="X141" i="9"/>
  <c r="V141" i="9"/>
  <c r="T141" i="9"/>
  <c r="S141" i="9"/>
  <c r="R141" i="9"/>
  <c r="Q141" i="9"/>
  <c r="P141" i="9"/>
  <c r="K141" i="9"/>
  <c r="AH137" i="9"/>
  <c r="AG137" i="9"/>
  <c r="AF137" i="9"/>
  <c r="AE137" i="9"/>
  <c r="AD137" i="9"/>
  <c r="AC137" i="9"/>
  <c r="AB137" i="9"/>
  <c r="AA137" i="9"/>
  <c r="Y137" i="9"/>
  <c r="X137" i="9"/>
  <c r="V137" i="9"/>
  <c r="T137" i="9"/>
  <c r="S137" i="9"/>
  <c r="R137" i="9"/>
  <c r="Q137" i="9"/>
  <c r="P137" i="9"/>
  <c r="K137" i="9"/>
  <c r="AH136" i="9"/>
  <c r="AG136" i="9"/>
  <c r="AF136" i="9"/>
  <c r="AE136" i="9"/>
  <c r="AD136" i="9"/>
  <c r="AC136" i="9"/>
  <c r="AB136" i="9"/>
  <c r="AA136" i="9"/>
  <c r="Y136" i="9"/>
  <c r="X136" i="9"/>
  <c r="V136" i="9"/>
  <c r="T136" i="9"/>
  <c r="S136" i="9"/>
  <c r="R136" i="9"/>
  <c r="Q136" i="9"/>
  <c r="P136" i="9"/>
  <c r="N136" i="9"/>
  <c r="K136" i="9"/>
  <c r="AH135" i="9"/>
  <c r="AG135" i="9"/>
  <c r="AF135" i="9"/>
  <c r="AE135" i="9"/>
  <c r="AD135" i="9"/>
  <c r="AC135" i="9"/>
  <c r="AB135" i="9"/>
  <c r="AA135" i="9"/>
  <c r="Y135" i="9"/>
  <c r="X135" i="9"/>
  <c r="V135" i="9"/>
  <c r="T135" i="9"/>
  <c r="S135" i="9"/>
  <c r="R135" i="9"/>
  <c r="Q135" i="9"/>
  <c r="P135" i="9"/>
  <c r="N135" i="9"/>
  <c r="K135" i="9"/>
  <c r="K134" i="9"/>
  <c r="AH133" i="9"/>
  <c r="AG133" i="9"/>
  <c r="AF133" i="9"/>
  <c r="AE133" i="9"/>
  <c r="AD133" i="9"/>
  <c r="AC133" i="9"/>
  <c r="AB133" i="9"/>
  <c r="AA133" i="9"/>
  <c r="Y133" i="9"/>
  <c r="X133" i="9"/>
  <c r="V133" i="9"/>
  <c r="T133" i="9"/>
  <c r="S133" i="9"/>
  <c r="R133" i="9"/>
  <c r="Q133" i="9"/>
  <c r="P133" i="9"/>
  <c r="K133" i="9"/>
  <c r="AH132" i="9"/>
  <c r="AG132" i="9"/>
  <c r="AF132" i="9"/>
  <c r="AE132" i="9"/>
  <c r="AD132" i="9"/>
  <c r="AC132" i="9"/>
  <c r="AB132" i="9"/>
  <c r="AA132" i="9"/>
  <c r="Y132" i="9"/>
  <c r="X132" i="9"/>
  <c r="V132" i="9"/>
  <c r="T132" i="9"/>
  <c r="S132" i="9"/>
  <c r="R132" i="9"/>
  <c r="Q132" i="9"/>
  <c r="P132" i="9"/>
  <c r="N132" i="9"/>
  <c r="K132" i="9"/>
  <c r="AH131" i="9"/>
  <c r="AG131" i="9"/>
  <c r="AF131" i="9"/>
  <c r="AE131" i="9"/>
  <c r="AD131" i="9"/>
  <c r="AC131" i="9"/>
  <c r="AB131" i="9"/>
  <c r="AA131" i="9"/>
  <c r="Y131" i="9"/>
  <c r="X131" i="9"/>
  <c r="V131" i="9"/>
  <c r="T131" i="9"/>
  <c r="S131" i="9"/>
  <c r="R131" i="9"/>
  <c r="Q131" i="9"/>
  <c r="P131" i="9"/>
  <c r="K131" i="9"/>
  <c r="AH129" i="9"/>
  <c r="AG129" i="9"/>
  <c r="AF129" i="9"/>
  <c r="AE129" i="9"/>
  <c r="AD129" i="9"/>
  <c r="AC129" i="9"/>
  <c r="AB129" i="9"/>
  <c r="AA129" i="9"/>
  <c r="Y129" i="9"/>
  <c r="X129" i="9"/>
  <c r="V129" i="9"/>
  <c r="T129" i="9"/>
  <c r="S129" i="9"/>
  <c r="R129" i="9"/>
  <c r="Q129" i="9"/>
  <c r="P129" i="9"/>
  <c r="K129" i="9"/>
  <c r="AH128" i="9"/>
  <c r="AG128" i="9"/>
  <c r="AF128" i="9"/>
  <c r="AE128" i="9"/>
  <c r="AD128" i="9"/>
  <c r="AC128" i="9"/>
  <c r="AB128" i="9"/>
  <c r="AA128" i="9"/>
  <c r="Y128" i="9"/>
  <c r="X128" i="9"/>
  <c r="V128" i="9"/>
  <c r="T128" i="9"/>
  <c r="S128" i="9"/>
  <c r="R128" i="9"/>
  <c r="Q128" i="9"/>
  <c r="P128" i="9"/>
  <c r="K128" i="9"/>
  <c r="AH126" i="9"/>
  <c r="AG126" i="9"/>
  <c r="AF126" i="9"/>
  <c r="AE126" i="9"/>
  <c r="AD126" i="9"/>
  <c r="AC126" i="9"/>
  <c r="AB126" i="9"/>
  <c r="AA126" i="9"/>
  <c r="Y126" i="9"/>
  <c r="X126" i="9"/>
  <c r="V126" i="9"/>
  <c r="T126" i="9"/>
  <c r="S126" i="9"/>
  <c r="R126" i="9"/>
  <c r="Q126" i="9"/>
  <c r="P126" i="9"/>
  <c r="N126" i="9"/>
  <c r="K126" i="9"/>
  <c r="AH124" i="9"/>
  <c r="AG124" i="9"/>
  <c r="AF124" i="9"/>
  <c r="AE124" i="9"/>
  <c r="AD124" i="9"/>
  <c r="AC124" i="9"/>
  <c r="AB124" i="9"/>
  <c r="AA124" i="9"/>
  <c r="Y124" i="9"/>
  <c r="X124" i="9"/>
  <c r="V124" i="9"/>
  <c r="T124" i="9"/>
  <c r="S124" i="9"/>
  <c r="R124" i="9"/>
  <c r="Q124" i="9"/>
  <c r="P124" i="9"/>
  <c r="N124" i="9"/>
  <c r="K124" i="9"/>
  <c r="AH123" i="9"/>
  <c r="AG123" i="9"/>
  <c r="AF123" i="9"/>
  <c r="AE123" i="9"/>
  <c r="AD123" i="9"/>
  <c r="AC123" i="9"/>
  <c r="AB123" i="9"/>
  <c r="AA123" i="9"/>
  <c r="Y123" i="9"/>
  <c r="X123" i="9"/>
  <c r="V123" i="9"/>
  <c r="T123" i="9"/>
  <c r="S123" i="9"/>
  <c r="R123" i="9"/>
  <c r="Q123" i="9"/>
  <c r="P123" i="9"/>
  <c r="N123" i="9"/>
  <c r="K123" i="9"/>
  <c r="AH122" i="9"/>
  <c r="AG122" i="9"/>
  <c r="AF122" i="9"/>
  <c r="AE122" i="9"/>
  <c r="AD122" i="9"/>
  <c r="AC122" i="9"/>
  <c r="AB122" i="9"/>
  <c r="AA122" i="9"/>
  <c r="Y122" i="9"/>
  <c r="X122" i="9"/>
  <c r="V122" i="9"/>
  <c r="T122" i="9"/>
  <c r="S122" i="9"/>
  <c r="R122" i="9"/>
  <c r="Q122" i="9"/>
  <c r="P122" i="9"/>
  <c r="K122" i="9"/>
  <c r="AH121" i="9"/>
  <c r="AG121" i="9"/>
  <c r="AF121" i="9"/>
  <c r="AE121" i="9"/>
  <c r="AD121" i="9"/>
  <c r="AC121" i="9"/>
  <c r="AB121" i="9"/>
  <c r="AA121" i="9"/>
  <c r="Y121" i="9"/>
  <c r="X121" i="9"/>
  <c r="V121" i="9"/>
  <c r="T121" i="9"/>
  <c r="S121" i="9"/>
  <c r="R121" i="9"/>
  <c r="Q121" i="9"/>
  <c r="P121" i="9"/>
  <c r="K121" i="9"/>
  <c r="AH120" i="9"/>
  <c r="AG120" i="9"/>
  <c r="AF120" i="9"/>
  <c r="AE120" i="9"/>
  <c r="AD120" i="9"/>
  <c r="AC120" i="9"/>
  <c r="AB120" i="9"/>
  <c r="AA120" i="9"/>
  <c r="Y120" i="9"/>
  <c r="X120" i="9"/>
  <c r="V120" i="9"/>
  <c r="T120" i="9"/>
  <c r="S120" i="9"/>
  <c r="R120" i="9"/>
  <c r="Q120" i="9"/>
  <c r="P120" i="9"/>
  <c r="N120" i="9"/>
  <c r="K120" i="9"/>
  <c r="AH119" i="9"/>
  <c r="AG119" i="9"/>
  <c r="AF119" i="9"/>
  <c r="AE119" i="9"/>
  <c r="AD119" i="9"/>
  <c r="AC119" i="9"/>
  <c r="AB119" i="9"/>
  <c r="AA119" i="9"/>
  <c r="Y119" i="9"/>
  <c r="X119" i="9"/>
  <c r="V119" i="9"/>
  <c r="T119" i="9"/>
  <c r="S119" i="9"/>
  <c r="R119" i="9"/>
  <c r="Q119" i="9"/>
  <c r="P119" i="9"/>
  <c r="K119" i="9"/>
  <c r="AH118" i="9"/>
  <c r="AG118" i="9"/>
  <c r="AF118" i="9"/>
  <c r="AE118" i="9"/>
  <c r="AD118" i="9"/>
  <c r="AC118" i="9"/>
  <c r="AB118" i="9"/>
  <c r="AA118" i="9"/>
  <c r="Y118" i="9"/>
  <c r="X118" i="9"/>
  <c r="V118" i="9"/>
  <c r="T118" i="9"/>
  <c r="S118" i="9"/>
  <c r="R118" i="9"/>
  <c r="Q118" i="9"/>
  <c r="P118" i="9"/>
  <c r="K118" i="9"/>
  <c r="AH117" i="9"/>
  <c r="AG117" i="9"/>
  <c r="AF117" i="9"/>
  <c r="AE117" i="9"/>
  <c r="AD117" i="9"/>
  <c r="AC117" i="9"/>
  <c r="AB117" i="9"/>
  <c r="AA117" i="9"/>
  <c r="Y117" i="9"/>
  <c r="X117" i="9"/>
  <c r="V117" i="9"/>
  <c r="T117" i="9"/>
  <c r="S117" i="9"/>
  <c r="R117" i="9"/>
  <c r="Q117" i="9"/>
  <c r="P117" i="9"/>
  <c r="K117" i="9"/>
  <c r="AH116" i="9"/>
  <c r="AG116" i="9"/>
  <c r="AF116" i="9"/>
  <c r="AE116" i="9"/>
  <c r="AD116" i="9"/>
  <c r="AC116" i="9"/>
  <c r="AB116" i="9"/>
  <c r="AA116" i="9"/>
  <c r="Y116" i="9"/>
  <c r="X116" i="9"/>
  <c r="V116" i="9"/>
  <c r="T116" i="9"/>
  <c r="S116" i="9"/>
  <c r="R116" i="9"/>
  <c r="Q116" i="9"/>
  <c r="P116" i="9"/>
  <c r="K116" i="9"/>
  <c r="AH115" i="9"/>
  <c r="AG115" i="9"/>
  <c r="AF115" i="9"/>
  <c r="AE115" i="9"/>
  <c r="AD115" i="9"/>
  <c r="AC115" i="9"/>
  <c r="AB115" i="9"/>
  <c r="AA115" i="9"/>
  <c r="Y115" i="9"/>
  <c r="X115" i="9"/>
  <c r="V115" i="9"/>
  <c r="T115" i="9"/>
  <c r="S115" i="9"/>
  <c r="R115" i="9"/>
  <c r="Q115" i="9"/>
  <c r="P115" i="9"/>
  <c r="K115" i="9"/>
  <c r="AH114" i="9"/>
  <c r="AG114" i="9"/>
  <c r="AF114" i="9"/>
  <c r="AE114" i="9"/>
  <c r="AD114" i="9"/>
  <c r="AC114" i="9"/>
  <c r="AB114" i="9"/>
  <c r="AA114" i="9"/>
  <c r="Y114" i="9"/>
  <c r="X114" i="9"/>
  <c r="V114" i="9"/>
  <c r="T114" i="9"/>
  <c r="S114" i="9"/>
  <c r="R114" i="9"/>
  <c r="Q114" i="9"/>
  <c r="P114" i="9"/>
  <c r="K114" i="9"/>
  <c r="AH113" i="9"/>
  <c r="AG113" i="9"/>
  <c r="AF113" i="9"/>
  <c r="AE113" i="9"/>
  <c r="AD113" i="9"/>
  <c r="AC113" i="9"/>
  <c r="AB113" i="9"/>
  <c r="AA113" i="9"/>
  <c r="Y113" i="9"/>
  <c r="X113" i="9"/>
  <c r="V113" i="9"/>
  <c r="T113" i="9"/>
  <c r="S113" i="9"/>
  <c r="R113" i="9"/>
  <c r="Q113" i="9"/>
  <c r="P113" i="9"/>
  <c r="K113" i="9"/>
  <c r="AH112" i="9"/>
  <c r="AG112" i="9"/>
  <c r="AF112" i="9"/>
  <c r="AE112" i="9"/>
  <c r="AD112" i="9"/>
  <c r="AC112" i="9"/>
  <c r="AB112" i="9"/>
  <c r="AA112" i="9"/>
  <c r="Y112" i="9"/>
  <c r="X112" i="9"/>
  <c r="V112" i="9"/>
  <c r="T112" i="9"/>
  <c r="S112" i="9"/>
  <c r="R112" i="9"/>
  <c r="Q112" i="9"/>
  <c r="P112" i="9"/>
  <c r="K112" i="9"/>
  <c r="AH111" i="9"/>
  <c r="AG111" i="9"/>
  <c r="AF111" i="9"/>
  <c r="AE111" i="9"/>
  <c r="AD111" i="9"/>
  <c r="AC111" i="9"/>
  <c r="AB111" i="9"/>
  <c r="AA111" i="9"/>
  <c r="Y111" i="9"/>
  <c r="X111" i="9"/>
  <c r="V111" i="9"/>
  <c r="T111" i="9"/>
  <c r="S111" i="9"/>
  <c r="R111" i="9"/>
  <c r="Q111" i="9"/>
  <c r="P111" i="9"/>
  <c r="K111" i="9"/>
  <c r="AH110" i="9"/>
  <c r="AG110" i="9"/>
  <c r="AF110" i="9"/>
  <c r="AE110" i="9"/>
  <c r="AD110" i="9"/>
  <c r="AC110" i="9"/>
  <c r="AB110" i="9"/>
  <c r="AA110" i="9"/>
  <c r="Y110" i="9"/>
  <c r="X110" i="9"/>
  <c r="V110" i="9"/>
  <c r="T110" i="9"/>
  <c r="S110" i="9"/>
  <c r="R110" i="9"/>
  <c r="Q110" i="9"/>
  <c r="P110" i="9"/>
  <c r="K110" i="9"/>
  <c r="AH109" i="9"/>
  <c r="AG109" i="9"/>
  <c r="AF109" i="9"/>
  <c r="AE109" i="9"/>
  <c r="AD109" i="9"/>
  <c r="AC109" i="9"/>
  <c r="AB109" i="9"/>
  <c r="AA109" i="9"/>
  <c r="Y109" i="9"/>
  <c r="X109" i="9"/>
  <c r="V109" i="9"/>
  <c r="T109" i="9"/>
  <c r="S109" i="9"/>
  <c r="R109" i="9"/>
  <c r="Q109" i="9"/>
  <c r="P109" i="9"/>
  <c r="K109" i="9"/>
  <c r="AH108" i="9"/>
  <c r="AG108" i="9"/>
  <c r="AF108" i="9"/>
  <c r="AE108" i="9"/>
  <c r="AD108" i="9"/>
  <c r="AC108" i="9"/>
  <c r="AB108" i="9"/>
  <c r="AA108" i="9"/>
  <c r="Y108" i="9"/>
  <c r="X108" i="9"/>
  <c r="V108" i="9"/>
  <c r="T108" i="9"/>
  <c r="S108" i="9"/>
  <c r="R108" i="9"/>
  <c r="Q108" i="9"/>
  <c r="P108" i="9"/>
  <c r="K108" i="9"/>
  <c r="AH107" i="9"/>
  <c r="AG107" i="9"/>
  <c r="AF107" i="9"/>
  <c r="AE107" i="9"/>
  <c r="AD107" i="9"/>
  <c r="AC107" i="9"/>
  <c r="AB107" i="9"/>
  <c r="AA107" i="9"/>
  <c r="Y107" i="9"/>
  <c r="X107" i="9"/>
  <c r="V107" i="9"/>
  <c r="T107" i="9"/>
  <c r="S107" i="9"/>
  <c r="R107" i="9"/>
  <c r="Q107" i="9"/>
  <c r="P107" i="9"/>
  <c r="K107" i="9"/>
  <c r="AH106" i="9"/>
  <c r="AG106" i="9"/>
  <c r="AF106" i="9"/>
  <c r="AE106" i="9"/>
  <c r="AD106" i="9"/>
  <c r="AC106" i="9"/>
  <c r="AB106" i="9"/>
  <c r="AA106" i="9"/>
  <c r="Y106" i="9"/>
  <c r="X106" i="9"/>
  <c r="V106" i="9"/>
  <c r="T106" i="9"/>
  <c r="S106" i="9"/>
  <c r="R106" i="9"/>
  <c r="Q106" i="9"/>
  <c r="P106" i="9"/>
  <c r="N106" i="9"/>
  <c r="K106" i="9"/>
  <c r="AH105" i="9"/>
  <c r="AG105" i="9"/>
  <c r="AF105" i="9"/>
  <c r="AE105" i="9"/>
  <c r="AD105" i="9"/>
  <c r="AC105" i="9"/>
  <c r="AB105" i="9"/>
  <c r="AA105" i="9"/>
  <c r="Y105" i="9"/>
  <c r="X105" i="9"/>
  <c r="V105" i="9"/>
  <c r="T105" i="9"/>
  <c r="S105" i="9"/>
  <c r="R105" i="9"/>
  <c r="Q105" i="9"/>
  <c r="P105" i="9"/>
  <c r="K105" i="9"/>
  <c r="AH99" i="9"/>
  <c r="AG99" i="9"/>
  <c r="AF99" i="9"/>
  <c r="AE99" i="9"/>
  <c r="AD99" i="9"/>
  <c r="AC99" i="9"/>
  <c r="AB99" i="9"/>
  <c r="AA99" i="9"/>
  <c r="Y99" i="9"/>
  <c r="X99" i="9"/>
  <c r="V99" i="9"/>
  <c r="T99" i="9"/>
  <c r="S99" i="9"/>
  <c r="R99" i="9"/>
  <c r="Q99" i="9"/>
  <c r="P99" i="9"/>
  <c r="N99" i="9"/>
  <c r="K99" i="9"/>
  <c r="AH98" i="9"/>
  <c r="AG98" i="9"/>
  <c r="AF98" i="9"/>
  <c r="AE98" i="9"/>
  <c r="AD98" i="9"/>
  <c r="AC98" i="9"/>
  <c r="AB98" i="9"/>
  <c r="AA98" i="9"/>
  <c r="Y98" i="9"/>
  <c r="X98" i="9"/>
  <c r="V98" i="9"/>
  <c r="T98" i="9"/>
  <c r="S98" i="9"/>
  <c r="R98" i="9"/>
  <c r="Q98" i="9"/>
  <c r="P98" i="9"/>
  <c r="N98" i="9"/>
  <c r="K98" i="9"/>
  <c r="AQ84" i="9"/>
  <c r="AO84" i="9"/>
  <c r="AM84" i="9"/>
  <c r="AK84" i="9"/>
  <c r="Q84" i="9"/>
  <c r="P84" i="9"/>
  <c r="N84" i="9"/>
  <c r="AR82" i="9"/>
  <c r="AQ82" i="9"/>
  <c r="AP82" i="9"/>
  <c r="AO82" i="9"/>
  <c r="AN82" i="9"/>
  <c r="AM82" i="9"/>
  <c r="AL82" i="9"/>
  <c r="AK82" i="9"/>
  <c r="AJ82" i="9"/>
  <c r="AC82" i="9"/>
  <c r="AB82" i="9"/>
  <c r="AA82" i="9"/>
  <c r="Y82" i="9"/>
  <c r="X82" i="9"/>
  <c r="V82" i="9"/>
  <c r="T82" i="9"/>
  <c r="R82" i="9"/>
  <c r="Q82" i="9"/>
  <c r="P82" i="9"/>
  <c r="N82" i="9"/>
  <c r="AR80" i="9"/>
  <c r="AP80" i="9"/>
  <c r="AN80" i="9"/>
  <c r="AL80" i="9"/>
  <c r="AJ80" i="9"/>
  <c r="AH80" i="9"/>
  <c r="AG80" i="9"/>
  <c r="AF80" i="9"/>
  <c r="AE80" i="9"/>
  <c r="AD80" i="9"/>
  <c r="AC80" i="9"/>
  <c r="AB80" i="9"/>
  <c r="AA80" i="9"/>
  <c r="Y80" i="9"/>
  <c r="X80" i="9"/>
  <c r="V80" i="9"/>
  <c r="T80" i="9"/>
  <c r="S80" i="9"/>
  <c r="R80" i="9"/>
  <c r="Q80" i="9"/>
  <c r="P80" i="9"/>
  <c r="N80" i="9"/>
  <c r="K80" i="9"/>
  <c r="AR77" i="9"/>
  <c r="AQ77" i="9"/>
  <c r="AP77" i="9"/>
  <c r="AO77" i="9"/>
  <c r="AN77" i="9"/>
  <c r="AM77" i="9"/>
  <c r="AL77" i="9"/>
  <c r="AK77" i="9"/>
  <c r="AJ77" i="9"/>
  <c r="AC77" i="9"/>
  <c r="AB77" i="9"/>
  <c r="AA77" i="9"/>
  <c r="Y77" i="9"/>
  <c r="X77" i="9"/>
  <c r="V77" i="9"/>
  <c r="T77" i="9"/>
  <c r="S77" i="9"/>
  <c r="R77" i="9"/>
  <c r="Q77" i="9"/>
  <c r="P77" i="9"/>
  <c r="N77" i="9"/>
  <c r="AR75" i="9"/>
  <c r="AP75" i="9"/>
  <c r="AN75" i="9"/>
  <c r="AL75" i="9"/>
  <c r="AJ75" i="9"/>
  <c r="AH75" i="9"/>
  <c r="AG75" i="9"/>
  <c r="AF75" i="9"/>
  <c r="AE75" i="9"/>
  <c r="AD75" i="9"/>
  <c r="AC75" i="9"/>
  <c r="AB75" i="9"/>
  <c r="AA75" i="9"/>
  <c r="Y75" i="9"/>
  <c r="X75" i="9"/>
  <c r="V75" i="9"/>
  <c r="T75" i="9"/>
  <c r="S75" i="9"/>
  <c r="R75" i="9"/>
  <c r="Q75" i="9"/>
  <c r="P75" i="9"/>
  <c r="K75" i="9"/>
  <c r="AR74" i="9"/>
  <c r="AP74" i="9"/>
  <c r="AN74" i="9"/>
  <c r="AL74" i="9"/>
  <c r="AJ74" i="9"/>
  <c r="AH74" i="9"/>
  <c r="AG74" i="9"/>
  <c r="AF74" i="9"/>
  <c r="AE74" i="9"/>
  <c r="AD74" i="9"/>
  <c r="AC74" i="9"/>
  <c r="AB74" i="9"/>
  <c r="AA74" i="9"/>
  <c r="Y74" i="9"/>
  <c r="X74" i="9"/>
  <c r="V74" i="9"/>
  <c r="T74" i="9"/>
  <c r="S74" i="9"/>
  <c r="R74" i="9"/>
  <c r="Q74" i="9"/>
  <c r="P74" i="9"/>
  <c r="K74" i="9"/>
  <c r="AR73" i="9"/>
  <c r="AP73" i="9"/>
  <c r="AN73" i="9"/>
  <c r="AL73" i="9"/>
  <c r="AJ73" i="9"/>
  <c r="AH73" i="9"/>
  <c r="AG73" i="9"/>
  <c r="AF73" i="9"/>
  <c r="AE73" i="9"/>
  <c r="AD73" i="9"/>
  <c r="AC73" i="9"/>
  <c r="AB73" i="9"/>
  <c r="AA73" i="9"/>
  <c r="Y73" i="9"/>
  <c r="X73" i="9"/>
  <c r="V73" i="9"/>
  <c r="T73" i="9"/>
  <c r="S73" i="9"/>
  <c r="R73" i="9"/>
  <c r="Q73" i="9"/>
  <c r="P73" i="9"/>
  <c r="K73" i="9"/>
  <c r="AR72" i="9"/>
  <c r="AP72" i="9"/>
  <c r="AN72" i="9"/>
  <c r="AL72" i="9"/>
  <c r="AJ72" i="9"/>
  <c r="AH72" i="9"/>
  <c r="AG72" i="9"/>
  <c r="AF72" i="9"/>
  <c r="AE72" i="9"/>
  <c r="AD72" i="9"/>
  <c r="AC72" i="9"/>
  <c r="AB72" i="9"/>
  <c r="AA72" i="9"/>
  <c r="Y72" i="9"/>
  <c r="X72" i="9"/>
  <c r="V72" i="9"/>
  <c r="T72" i="9"/>
  <c r="S72" i="9"/>
  <c r="R72" i="9"/>
  <c r="Q72" i="9"/>
  <c r="P72" i="9"/>
  <c r="K72" i="9"/>
  <c r="AR71" i="9"/>
  <c r="AP71" i="9"/>
  <c r="AN71" i="9"/>
  <c r="AL71" i="9"/>
  <c r="AJ71" i="9"/>
  <c r="AR70" i="9"/>
  <c r="AP70" i="9"/>
  <c r="AN70" i="9"/>
  <c r="AL70" i="9"/>
  <c r="AJ70" i="9"/>
  <c r="AH70" i="9"/>
  <c r="AG70" i="9"/>
  <c r="AF70" i="9"/>
  <c r="AE70" i="9"/>
  <c r="AD70" i="9"/>
  <c r="AC70" i="9"/>
  <c r="AB70" i="9"/>
  <c r="AA70" i="9"/>
  <c r="Y70" i="9"/>
  <c r="X70" i="9"/>
  <c r="V70" i="9"/>
  <c r="T70" i="9"/>
  <c r="S70" i="9"/>
  <c r="R70" i="9"/>
  <c r="Q70" i="9"/>
  <c r="P70" i="9"/>
  <c r="K70" i="9"/>
  <c r="AR69" i="9"/>
  <c r="AP69" i="9"/>
  <c r="AN69" i="9"/>
  <c r="AL69" i="9"/>
  <c r="AJ69" i="9"/>
  <c r="AH69" i="9"/>
  <c r="AG69" i="9"/>
  <c r="AF69" i="9"/>
  <c r="AE69" i="9"/>
  <c r="AD69" i="9"/>
  <c r="AC69" i="9"/>
  <c r="AB69" i="9"/>
  <c r="AA69" i="9"/>
  <c r="Y69" i="9"/>
  <c r="X69" i="9"/>
  <c r="V69" i="9"/>
  <c r="T69" i="9"/>
  <c r="S69" i="9"/>
  <c r="R69" i="9"/>
  <c r="Q69" i="9"/>
  <c r="P69" i="9"/>
  <c r="K69" i="9"/>
  <c r="AR68" i="9"/>
  <c r="AP68" i="9"/>
  <c r="AN68" i="9"/>
  <c r="AL68" i="9"/>
  <c r="AJ68" i="9"/>
  <c r="AH68" i="9"/>
  <c r="AG68" i="9"/>
  <c r="AF68" i="9"/>
  <c r="AE68" i="9"/>
  <c r="AD68" i="9"/>
  <c r="AC68" i="9"/>
  <c r="AB68" i="9"/>
  <c r="AA68" i="9"/>
  <c r="Y68" i="9"/>
  <c r="X68" i="9"/>
  <c r="V68" i="9"/>
  <c r="T68" i="9"/>
  <c r="S68" i="9"/>
  <c r="R68" i="9"/>
  <c r="Q68" i="9"/>
  <c r="P68" i="9"/>
  <c r="N68" i="9"/>
  <c r="K68" i="9"/>
  <c r="AR65" i="9"/>
  <c r="AQ65" i="9"/>
  <c r="AP65" i="9"/>
  <c r="AO65" i="9"/>
  <c r="AN65" i="9"/>
  <c r="AM65" i="9"/>
  <c r="AL65" i="9"/>
  <c r="AK65" i="9"/>
  <c r="AJ65" i="9"/>
  <c r="AC65" i="9"/>
  <c r="AB65" i="9"/>
  <c r="AA65" i="9"/>
  <c r="Y65" i="9"/>
  <c r="X65" i="9"/>
  <c r="V65" i="9"/>
  <c r="T65" i="9"/>
  <c r="S65" i="9"/>
  <c r="R65" i="9"/>
  <c r="Q65" i="9"/>
  <c r="P65" i="9"/>
  <c r="N65" i="9"/>
  <c r="AR63" i="9"/>
  <c r="AP63" i="9"/>
  <c r="AN63" i="9"/>
  <c r="AL63" i="9"/>
  <c r="AJ63" i="9"/>
  <c r="AH63" i="9"/>
  <c r="AG63" i="9"/>
  <c r="AF63" i="9"/>
  <c r="AE63" i="9"/>
  <c r="AD63" i="9"/>
  <c r="AC63" i="9"/>
  <c r="AB63" i="9"/>
  <c r="AA63" i="9"/>
  <c r="Y63" i="9"/>
  <c r="X63" i="9"/>
  <c r="V63" i="9"/>
  <c r="T63" i="9"/>
  <c r="S63" i="9"/>
  <c r="R63" i="9"/>
  <c r="Q63" i="9"/>
  <c r="P63" i="9"/>
  <c r="K63" i="9"/>
  <c r="AR60" i="9"/>
  <c r="AQ60" i="9"/>
  <c r="AP60" i="9"/>
  <c r="AO60" i="9"/>
  <c r="AN60" i="9"/>
  <c r="AM60" i="9"/>
  <c r="AL60" i="9"/>
  <c r="AK60" i="9"/>
  <c r="AJ60" i="9"/>
  <c r="AC60" i="9"/>
  <c r="AB60" i="9"/>
  <c r="AA60" i="9"/>
  <c r="Y60" i="9"/>
  <c r="X60" i="9"/>
  <c r="V60" i="9"/>
  <c r="T60" i="9"/>
  <c r="S60" i="9"/>
  <c r="R60" i="9"/>
  <c r="Q60" i="9"/>
  <c r="P60" i="9"/>
  <c r="N60" i="9"/>
  <c r="AR58" i="9"/>
  <c r="AP58" i="9"/>
  <c r="AN58" i="9"/>
  <c r="AL58" i="9"/>
  <c r="AJ58" i="9"/>
  <c r="AH58" i="9"/>
  <c r="AG58" i="9"/>
  <c r="AF58" i="9"/>
  <c r="AE58" i="9"/>
  <c r="AD58" i="9"/>
  <c r="AC58" i="9"/>
  <c r="AB58" i="9"/>
  <c r="AA58" i="9"/>
  <c r="Y58" i="9"/>
  <c r="X58" i="9"/>
  <c r="V58" i="9"/>
  <c r="T58" i="9"/>
  <c r="S58" i="9"/>
  <c r="R58" i="9"/>
  <c r="Q58" i="9"/>
  <c r="P58" i="9"/>
  <c r="N58" i="9"/>
  <c r="K58" i="9"/>
  <c r="AR57" i="9"/>
  <c r="AP57" i="9"/>
  <c r="AN57" i="9"/>
  <c r="AL57" i="9"/>
  <c r="AJ57" i="9"/>
  <c r="AH57" i="9"/>
  <c r="AG57" i="9"/>
  <c r="AF57" i="9"/>
  <c r="AE57" i="9"/>
  <c r="AD57" i="9"/>
  <c r="AC57" i="9"/>
  <c r="AB57" i="9"/>
  <c r="AA57" i="9"/>
  <c r="Y57" i="9"/>
  <c r="X57" i="9"/>
  <c r="V57" i="9"/>
  <c r="T57" i="9"/>
  <c r="S57" i="9"/>
  <c r="R57" i="9"/>
  <c r="Q57" i="9"/>
  <c r="P57" i="9"/>
  <c r="K57" i="9"/>
  <c r="AR54" i="9"/>
  <c r="AQ54" i="9"/>
  <c r="AP54" i="9"/>
  <c r="AO54" i="9"/>
  <c r="AN54" i="9"/>
  <c r="AM54" i="9"/>
  <c r="AL54" i="9"/>
  <c r="AK54" i="9"/>
  <c r="AJ54" i="9"/>
  <c r="AC54" i="9"/>
  <c r="AB54" i="9"/>
  <c r="AA54" i="9"/>
  <c r="Y54" i="9"/>
  <c r="X54" i="9"/>
  <c r="V54" i="9"/>
  <c r="T54" i="9"/>
  <c r="S54" i="9"/>
  <c r="R54" i="9"/>
  <c r="Q54" i="9"/>
  <c r="P54" i="9"/>
  <c r="N54" i="9"/>
  <c r="AR51" i="9"/>
  <c r="AP51" i="9"/>
  <c r="AN51" i="9"/>
  <c r="AL51" i="9"/>
  <c r="AJ51" i="9"/>
  <c r="AH51" i="9"/>
  <c r="AG51" i="9"/>
  <c r="AF51" i="9"/>
  <c r="AE51" i="9"/>
  <c r="AD51" i="9"/>
  <c r="AC51" i="9"/>
  <c r="AB51" i="9"/>
  <c r="AA51" i="9"/>
  <c r="Y51" i="9"/>
  <c r="X51" i="9"/>
  <c r="V51" i="9"/>
  <c r="T51" i="9"/>
  <c r="S51" i="9"/>
  <c r="R51" i="9"/>
  <c r="Q51" i="9"/>
  <c r="P51" i="9"/>
  <c r="N51" i="9"/>
  <c r="K51" i="9"/>
  <c r="AR50" i="9"/>
  <c r="AP50" i="9"/>
  <c r="AN50" i="9"/>
  <c r="AL50" i="9"/>
  <c r="AJ50" i="9"/>
  <c r="AH50" i="9"/>
  <c r="AG50" i="9"/>
  <c r="AF50" i="9"/>
  <c r="AE50" i="9"/>
  <c r="AD50" i="9"/>
  <c r="AC50" i="9"/>
  <c r="AB50" i="9"/>
  <c r="AA50" i="9"/>
  <c r="Y50" i="9"/>
  <c r="X50" i="9"/>
  <c r="V50" i="9"/>
  <c r="T50" i="9"/>
  <c r="S50" i="9"/>
  <c r="R50" i="9"/>
  <c r="Q50" i="9"/>
  <c r="P50" i="9"/>
  <c r="K50" i="9"/>
  <c r="AR49" i="9"/>
  <c r="AP49" i="9"/>
  <c r="AN49" i="9"/>
  <c r="AL49" i="9"/>
  <c r="AJ49" i="9"/>
  <c r="AH49" i="9"/>
  <c r="AG49" i="9"/>
  <c r="AF49" i="9"/>
  <c r="AE49" i="9"/>
  <c r="AD49" i="9"/>
  <c r="AC49" i="9"/>
  <c r="AB49" i="9"/>
  <c r="AA49" i="9"/>
  <c r="Y49" i="9"/>
  <c r="X49" i="9"/>
  <c r="V49" i="9"/>
  <c r="T49" i="9"/>
  <c r="S49" i="9"/>
  <c r="R49" i="9"/>
  <c r="Q49" i="9"/>
  <c r="P49" i="9"/>
  <c r="K49" i="9"/>
  <c r="AR48" i="9"/>
  <c r="AP48" i="9"/>
  <c r="AN48" i="9"/>
  <c r="AL48" i="9"/>
  <c r="AJ48" i="9"/>
  <c r="AH48" i="9"/>
  <c r="AG48" i="9"/>
  <c r="AF48" i="9"/>
  <c r="AE48" i="9"/>
  <c r="AD48" i="9"/>
  <c r="AC48" i="9"/>
  <c r="AB48" i="9"/>
  <c r="AA48" i="9"/>
  <c r="Y48" i="9"/>
  <c r="X48" i="9"/>
  <c r="V48" i="9"/>
  <c r="T48" i="9"/>
  <c r="S48" i="9"/>
  <c r="R48" i="9"/>
  <c r="Q48" i="9"/>
  <c r="P48" i="9"/>
  <c r="K48" i="9"/>
  <c r="AR47" i="9"/>
  <c r="AP47" i="9"/>
  <c r="AN47" i="9"/>
  <c r="AL47" i="9"/>
  <c r="AJ47" i="9"/>
  <c r="AH47" i="9"/>
  <c r="AG47" i="9"/>
  <c r="AF47" i="9"/>
  <c r="AE47" i="9"/>
  <c r="AD47" i="9"/>
  <c r="AC47" i="9"/>
  <c r="AB47" i="9"/>
  <c r="AA47" i="9"/>
  <c r="Y47" i="9"/>
  <c r="X47" i="9"/>
  <c r="V47" i="9"/>
  <c r="T47" i="9"/>
  <c r="S47" i="9"/>
  <c r="R47" i="9"/>
  <c r="Q47" i="9"/>
  <c r="P47" i="9"/>
  <c r="K47" i="9"/>
  <c r="AR46" i="9"/>
  <c r="AP46" i="9"/>
  <c r="AN46" i="9"/>
  <c r="AL46" i="9"/>
  <c r="AJ46" i="9"/>
  <c r="AH46" i="9"/>
  <c r="AG46" i="9"/>
  <c r="AF46" i="9"/>
  <c r="AE46" i="9"/>
  <c r="AD46" i="9"/>
  <c r="AC46" i="9"/>
  <c r="AB46" i="9"/>
  <c r="AA46" i="9"/>
  <c r="Y46" i="9"/>
  <c r="X46" i="9"/>
  <c r="V46" i="9"/>
  <c r="T46" i="9"/>
  <c r="S46" i="9"/>
  <c r="R46" i="9"/>
  <c r="Q46" i="9"/>
  <c r="P46" i="9"/>
  <c r="K46" i="9"/>
  <c r="AR45" i="9"/>
  <c r="AP45" i="9"/>
  <c r="AN45" i="9"/>
  <c r="AL45" i="9"/>
  <c r="AJ45" i="9"/>
  <c r="AH45" i="9"/>
  <c r="AG45" i="9"/>
  <c r="AF45" i="9"/>
  <c r="AE45" i="9"/>
  <c r="AD45" i="9"/>
  <c r="AC45" i="9"/>
  <c r="AB45" i="9"/>
  <c r="AA45" i="9"/>
  <c r="Y45" i="9"/>
  <c r="X45" i="9"/>
  <c r="V45" i="9"/>
  <c r="T45" i="9"/>
  <c r="S45" i="9"/>
  <c r="R45" i="9"/>
  <c r="Q45" i="9"/>
  <c r="P45" i="9"/>
  <c r="K45" i="9"/>
  <c r="AR44" i="9"/>
  <c r="AP44" i="9"/>
  <c r="AN44" i="9"/>
  <c r="AL44" i="9"/>
  <c r="AJ44" i="9"/>
  <c r="AH44" i="9"/>
  <c r="AG44" i="9"/>
  <c r="AF44" i="9"/>
  <c r="AE44" i="9"/>
  <c r="AD44" i="9"/>
  <c r="AC44" i="9"/>
  <c r="AB44" i="9"/>
  <c r="AA44" i="9"/>
  <c r="Y44" i="9"/>
  <c r="X44" i="9"/>
  <c r="V44" i="9"/>
  <c r="T44" i="9"/>
  <c r="S44" i="9"/>
  <c r="R44" i="9"/>
  <c r="Q44" i="9"/>
  <c r="P44" i="9"/>
  <c r="N44" i="9"/>
  <c r="K44" i="9"/>
  <c r="AR43" i="9"/>
  <c r="AP43" i="9"/>
  <c r="AN43" i="9"/>
  <c r="AL43" i="9"/>
  <c r="AJ43" i="9"/>
  <c r="AH43" i="9"/>
  <c r="AG43" i="9"/>
  <c r="AF43" i="9"/>
  <c r="AE43" i="9"/>
  <c r="AD43" i="9"/>
  <c r="AC43" i="9"/>
  <c r="AB43" i="9"/>
  <c r="AA43" i="9"/>
  <c r="Y43" i="9"/>
  <c r="X43" i="9"/>
  <c r="V43" i="9"/>
  <c r="T43" i="9"/>
  <c r="S43" i="9"/>
  <c r="R43" i="9"/>
  <c r="Q43" i="9"/>
  <c r="P43" i="9"/>
  <c r="N43" i="9"/>
  <c r="K43" i="9"/>
  <c r="AR42" i="9"/>
  <c r="AP42" i="9"/>
  <c r="AN42" i="9"/>
  <c r="AL42" i="9"/>
  <c r="AJ42" i="9"/>
  <c r="AH42" i="9"/>
  <c r="AG42" i="9"/>
  <c r="AF42" i="9"/>
  <c r="AE42" i="9"/>
  <c r="AD42" i="9"/>
  <c r="AC42" i="9"/>
  <c r="AB42" i="9"/>
  <c r="AA42" i="9"/>
  <c r="Y42" i="9"/>
  <c r="X42" i="9"/>
  <c r="V42" i="9"/>
  <c r="T42" i="9"/>
  <c r="S42" i="9"/>
  <c r="R42" i="9"/>
  <c r="Q42" i="9"/>
  <c r="P42" i="9"/>
  <c r="K42" i="9"/>
  <c r="AR41" i="9"/>
  <c r="AP41" i="9"/>
  <c r="AN41" i="9"/>
  <c r="AL41" i="9"/>
  <c r="AJ41" i="9"/>
  <c r="AH41" i="9"/>
  <c r="AG41" i="9"/>
  <c r="AF41" i="9"/>
  <c r="AE41" i="9"/>
  <c r="AD41" i="9"/>
  <c r="AC41" i="9"/>
  <c r="AB41" i="9"/>
  <c r="AA41" i="9"/>
  <c r="Y41" i="9"/>
  <c r="X41" i="9"/>
  <c r="V41" i="9"/>
  <c r="T41" i="9"/>
  <c r="S41" i="9"/>
  <c r="R41" i="9"/>
  <c r="Q41" i="9"/>
  <c r="P41" i="9"/>
  <c r="K41" i="9"/>
  <c r="AR40" i="9"/>
  <c r="AP40" i="9"/>
  <c r="AN40" i="9"/>
  <c r="AL40" i="9"/>
  <c r="AJ40" i="9"/>
  <c r="AH40" i="9"/>
  <c r="AG40" i="9"/>
  <c r="AF40" i="9"/>
  <c r="AE40" i="9"/>
  <c r="AD40" i="9"/>
  <c r="AC40" i="9"/>
  <c r="AB40" i="9"/>
  <c r="AA40" i="9"/>
  <c r="Y40" i="9"/>
  <c r="X40" i="9"/>
  <c r="V40" i="9"/>
  <c r="T40" i="9"/>
  <c r="S40" i="9"/>
  <c r="R40" i="9"/>
  <c r="Q40" i="9"/>
  <c r="P40" i="9"/>
  <c r="N40" i="9"/>
  <c r="K40" i="9"/>
  <c r="AQ35" i="9"/>
  <c r="AO35" i="9"/>
  <c r="AM35" i="9"/>
  <c r="AK35" i="9"/>
  <c r="Q35" i="9"/>
  <c r="P35" i="9"/>
  <c r="N35" i="9"/>
  <c r="AR33" i="9"/>
  <c r="AP33" i="9"/>
  <c r="AN33" i="9"/>
  <c r="AL33" i="9"/>
  <c r="AJ33" i="9"/>
  <c r="AH33" i="9"/>
  <c r="AG33" i="9"/>
  <c r="AF33" i="9"/>
  <c r="AE33" i="9"/>
  <c r="AD33" i="9"/>
  <c r="AC33" i="9"/>
  <c r="AB33" i="9"/>
  <c r="AA33" i="9"/>
  <c r="Y33" i="9"/>
  <c r="X33" i="9"/>
  <c r="V33" i="9"/>
  <c r="T33" i="9"/>
  <c r="S33" i="9"/>
  <c r="R33" i="9"/>
  <c r="Q33" i="9"/>
  <c r="P33" i="9"/>
  <c r="N33" i="9"/>
  <c r="K33" i="9"/>
  <c r="AR32" i="9"/>
  <c r="AP32" i="9"/>
  <c r="AN32" i="9"/>
  <c r="AL32" i="9"/>
  <c r="AJ32" i="9"/>
  <c r="AH32" i="9"/>
  <c r="AG32" i="9"/>
  <c r="AF32" i="9"/>
  <c r="AE32" i="9"/>
  <c r="AD32" i="9"/>
  <c r="AC32" i="9"/>
  <c r="AB32" i="9"/>
  <c r="AA32" i="9"/>
  <c r="Y32" i="9"/>
  <c r="X32" i="9"/>
  <c r="V32" i="9"/>
  <c r="T32" i="9"/>
  <c r="S32" i="9"/>
  <c r="R32" i="9"/>
  <c r="Q32" i="9"/>
  <c r="P32" i="9"/>
  <c r="N32" i="9"/>
  <c r="K32" i="9"/>
  <c r="AR31" i="9"/>
  <c r="AP31" i="9"/>
  <c r="AN31" i="9"/>
  <c r="AL31" i="9"/>
  <c r="AJ31" i="9"/>
  <c r="AH31" i="9"/>
  <c r="AG31" i="9"/>
  <c r="AF31" i="9"/>
  <c r="AE31" i="9"/>
  <c r="AD31" i="9"/>
  <c r="AC31" i="9"/>
  <c r="AB31" i="9"/>
  <c r="AA31" i="9"/>
  <c r="Y31" i="9"/>
  <c r="X31" i="9"/>
  <c r="V31" i="9"/>
  <c r="T31" i="9"/>
  <c r="S31" i="9"/>
  <c r="R31" i="9"/>
  <c r="Q31" i="9"/>
  <c r="P31" i="9"/>
  <c r="K31" i="9"/>
  <c r="AR30" i="9"/>
  <c r="AP30" i="9"/>
  <c r="AN30" i="9"/>
  <c r="AL30" i="9"/>
  <c r="AJ30" i="9"/>
  <c r="AR29" i="9"/>
  <c r="AP29" i="9"/>
  <c r="AN29" i="9"/>
  <c r="AL29" i="9"/>
  <c r="AJ29" i="9"/>
  <c r="AH29" i="9"/>
  <c r="AG29" i="9"/>
  <c r="AF29" i="9"/>
  <c r="AE29" i="9"/>
  <c r="AD29" i="9"/>
  <c r="AC29" i="9"/>
  <c r="AB29" i="9"/>
  <c r="AA29" i="9"/>
  <c r="Y29" i="9"/>
  <c r="X29" i="9"/>
  <c r="V29" i="9"/>
  <c r="T29" i="9"/>
  <c r="S29" i="9"/>
  <c r="R29" i="9"/>
  <c r="Q29" i="9"/>
  <c r="P29" i="9"/>
  <c r="K29" i="9"/>
  <c r="AR28" i="9"/>
  <c r="AP28" i="9"/>
  <c r="AN28" i="9"/>
  <c r="AL28" i="9"/>
  <c r="AJ28" i="9"/>
  <c r="AH28" i="9"/>
  <c r="AG28" i="9"/>
  <c r="AF28" i="9"/>
  <c r="AE28" i="9"/>
  <c r="AD28" i="9"/>
  <c r="AC28" i="9"/>
  <c r="AB28" i="9"/>
  <c r="AA28" i="9"/>
  <c r="Y28" i="9"/>
  <c r="X28" i="9"/>
  <c r="V28" i="9"/>
  <c r="T28" i="9"/>
  <c r="S28" i="9"/>
  <c r="R28" i="9"/>
  <c r="Q28" i="9"/>
  <c r="P28" i="9"/>
  <c r="K28" i="9"/>
  <c r="AR27" i="9"/>
  <c r="AP27" i="9"/>
  <c r="AN27" i="9"/>
  <c r="AL27" i="9"/>
  <c r="AJ27" i="9"/>
  <c r="AH27" i="9"/>
  <c r="AG27" i="9"/>
  <c r="AF27" i="9"/>
  <c r="AE27" i="9"/>
  <c r="AD27" i="9"/>
  <c r="AC27" i="9"/>
  <c r="AB27" i="9"/>
  <c r="AA27" i="9"/>
  <c r="Y27" i="9"/>
  <c r="X27" i="9"/>
  <c r="V27" i="9"/>
  <c r="T27" i="9"/>
  <c r="S27" i="9"/>
  <c r="R27" i="9"/>
  <c r="Q27" i="9"/>
  <c r="P27" i="9"/>
  <c r="K27" i="9"/>
  <c r="AR26" i="9"/>
  <c r="AP26" i="9"/>
  <c r="AN26" i="9"/>
  <c r="AL26" i="9"/>
  <c r="AJ26" i="9"/>
  <c r="AH26" i="9"/>
  <c r="AG26" i="9"/>
  <c r="AF26" i="9"/>
  <c r="AE26" i="9"/>
  <c r="AD26" i="9"/>
  <c r="AC26" i="9"/>
  <c r="AB26" i="9"/>
  <c r="AA26" i="9"/>
  <c r="Y26" i="9"/>
  <c r="X26" i="9"/>
  <c r="V26" i="9"/>
  <c r="T26" i="9"/>
  <c r="S26" i="9"/>
  <c r="R26" i="9"/>
  <c r="Q26" i="9"/>
  <c r="P26" i="9"/>
  <c r="N26" i="9"/>
  <c r="K26" i="9"/>
  <c r="AR25" i="9"/>
  <c r="AP25" i="9"/>
  <c r="AN25" i="9"/>
  <c r="AL25" i="9"/>
  <c r="AJ25" i="9"/>
  <c r="AH25" i="9"/>
  <c r="AG25" i="9"/>
  <c r="AF25" i="9"/>
  <c r="AE25" i="9"/>
  <c r="AD25" i="9"/>
  <c r="AC25" i="9"/>
  <c r="AB25" i="9"/>
  <c r="AA25" i="9"/>
  <c r="Y25" i="9"/>
  <c r="X25" i="9"/>
  <c r="V25" i="9"/>
  <c r="T25" i="9"/>
  <c r="S25" i="9"/>
  <c r="R25" i="9"/>
  <c r="Q25" i="9"/>
  <c r="P25" i="9"/>
  <c r="K25" i="9"/>
  <c r="AR24" i="9"/>
  <c r="AP24" i="9"/>
  <c r="AN24" i="9"/>
  <c r="AL24" i="9"/>
  <c r="AJ24" i="9"/>
  <c r="AH24" i="9"/>
  <c r="AG24" i="9"/>
  <c r="AF24" i="9"/>
  <c r="AE24" i="9"/>
  <c r="AD24" i="9"/>
  <c r="AC24" i="9"/>
  <c r="AB24" i="9"/>
  <c r="AA24" i="9"/>
  <c r="Y24" i="9"/>
  <c r="X24" i="9"/>
  <c r="V24" i="9"/>
  <c r="T24" i="9"/>
  <c r="S24" i="9"/>
  <c r="R24" i="9"/>
  <c r="Q24" i="9"/>
  <c r="P24" i="9"/>
  <c r="K24" i="9"/>
  <c r="AR23" i="9"/>
  <c r="AP23" i="9"/>
  <c r="AN23" i="9"/>
  <c r="AL23" i="9"/>
  <c r="AJ23" i="9"/>
  <c r="AH23" i="9"/>
  <c r="AG23" i="9"/>
  <c r="AF23" i="9"/>
  <c r="AE23" i="9"/>
  <c r="AD23" i="9"/>
  <c r="AC23" i="9"/>
  <c r="AB23" i="9"/>
  <c r="AA23" i="9"/>
  <c r="Y23" i="9"/>
  <c r="X23" i="9"/>
  <c r="V23" i="9"/>
  <c r="T23" i="9"/>
  <c r="S23" i="9"/>
  <c r="R23" i="9"/>
  <c r="Q23" i="9"/>
  <c r="P23" i="9"/>
  <c r="K23" i="9"/>
  <c r="AR22" i="9"/>
  <c r="AP22" i="9"/>
  <c r="AN22" i="9"/>
  <c r="AL22" i="9"/>
  <c r="AJ22" i="9"/>
  <c r="AH22" i="9"/>
  <c r="AG22" i="9"/>
  <c r="AF22" i="9"/>
  <c r="AE22" i="9"/>
  <c r="AD22" i="9"/>
  <c r="AC22" i="9"/>
  <c r="AB22" i="9"/>
  <c r="AA22" i="9"/>
  <c r="Y22" i="9"/>
  <c r="X22" i="9"/>
  <c r="V22" i="9"/>
  <c r="T22" i="9"/>
  <c r="S22" i="9"/>
  <c r="R22" i="9"/>
  <c r="Q22" i="9"/>
  <c r="P22" i="9"/>
  <c r="K22" i="9"/>
  <c r="AR21" i="9"/>
  <c r="AP21" i="9"/>
  <c r="AN21" i="9"/>
  <c r="AL21" i="9"/>
  <c r="AJ21" i="9"/>
  <c r="AH21" i="9"/>
  <c r="AG21" i="9"/>
  <c r="AF21" i="9"/>
  <c r="AE21" i="9"/>
  <c r="AD21" i="9"/>
  <c r="AC21" i="9"/>
  <c r="AB21" i="9"/>
  <c r="AA21" i="9"/>
  <c r="Y21" i="9"/>
  <c r="X21" i="9"/>
  <c r="V21" i="9"/>
  <c r="T21" i="9"/>
  <c r="S21" i="9"/>
  <c r="R21" i="9"/>
  <c r="Q21" i="9"/>
  <c r="P21" i="9"/>
  <c r="K21" i="9"/>
  <c r="AR20" i="9"/>
  <c r="AP20" i="9"/>
  <c r="AN20" i="9"/>
  <c r="AL20" i="9"/>
  <c r="AJ20" i="9"/>
  <c r="AH20" i="9"/>
  <c r="AG20" i="9"/>
  <c r="AF20" i="9"/>
  <c r="AE20" i="9"/>
  <c r="AD20" i="9"/>
  <c r="AC20" i="9"/>
  <c r="AB20" i="9"/>
  <c r="AA20" i="9"/>
  <c r="Y20" i="9"/>
  <c r="X20" i="9"/>
  <c r="V20" i="9"/>
  <c r="T20" i="9"/>
  <c r="S20" i="9"/>
  <c r="R20" i="9"/>
  <c r="Q20" i="9"/>
  <c r="P20" i="9"/>
  <c r="K20" i="9"/>
  <c r="AR19" i="9"/>
  <c r="AP19" i="9"/>
  <c r="AN19" i="9"/>
  <c r="AL19" i="9"/>
  <c r="AJ19" i="9"/>
  <c r="AH19" i="9"/>
  <c r="AG19" i="9"/>
  <c r="AF19" i="9"/>
  <c r="AE19" i="9"/>
  <c r="AD19" i="9"/>
  <c r="AC19" i="9"/>
  <c r="AB19" i="9"/>
  <c r="AA19" i="9"/>
  <c r="Y19" i="9"/>
  <c r="X19" i="9"/>
  <c r="V19" i="9"/>
  <c r="T19" i="9"/>
  <c r="S19" i="9"/>
  <c r="R19" i="9"/>
  <c r="Q19" i="9"/>
  <c r="P19" i="9"/>
  <c r="K19" i="9"/>
  <c r="AH18" i="9"/>
  <c r="AG18" i="9"/>
  <c r="AF18" i="9"/>
  <c r="AE18" i="9"/>
  <c r="R18" i="9" s="1"/>
  <c r="AD18" i="9"/>
  <c r="X18" i="9"/>
  <c r="Y18" i="9" s="1"/>
  <c r="AA18" i="9" s="1"/>
  <c r="S18" i="9"/>
  <c r="Q18" i="9"/>
  <c r="P18" i="9"/>
  <c r="N18" i="9"/>
  <c r="K18" i="9"/>
  <c r="AP17" i="9"/>
  <c r="AP35" i="9" s="1"/>
  <c r="AP84" i="9" s="1"/>
  <c r="AH17" i="9"/>
  <c r="AG17" i="9"/>
  <c r="AF17" i="9"/>
  <c r="AE17" i="9"/>
  <c r="AD17" i="9"/>
  <c r="X17" i="9"/>
  <c r="X35" i="9" s="1"/>
  <c r="X84" i="9" s="1"/>
  <c r="V17" i="9"/>
  <c r="S17" i="9"/>
  <c r="T17" i="9" s="1"/>
  <c r="R17" i="9"/>
  <c r="R35" i="9" s="1"/>
  <c r="R84" i="9" s="1"/>
  <c r="Q17" i="9"/>
  <c r="P17" i="9"/>
  <c r="K17" i="9"/>
  <c r="AR16" i="9"/>
  <c r="AP16" i="9"/>
  <c r="AN16" i="9"/>
  <c r="AL16" i="9"/>
  <c r="AJ16" i="9"/>
  <c r="AH16" i="9"/>
  <c r="AG16" i="9"/>
  <c r="AF16" i="9"/>
  <c r="AE16" i="9"/>
  <c r="AD16" i="9"/>
  <c r="AC16" i="9"/>
  <c r="AB16" i="9"/>
  <c r="AA16" i="9"/>
  <c r="Y16" i="9"/>
  <c r="X16" i="9"/>
  <c r="V16" i="9"/>
  <c r="T16" i="9"/>
  <c r="S16" i="9"/>
  <c r="R16" i="9"/>
  <c r="Q16" i="9"/>
  <c r="P16" i="9"/>
  <c r="K16" i="9"/>
  <c r="AR15" i="9"/>
  <c r="AP15" i="9"/>
  <c r="AN15" i="9"/>
  <c r="AL15" i="9"/>
  <c r="AJ15" i="9"/>
  <c r="AH15" i="9"/>
  <c r="AG15" i="9"/>
  <c r="AF15" i="9"/>
  <c r="AE15" i="9"/>
  <c r="AD15" i="9"/>
  <c r="AC15" i="9"/>
  <c r="AB15" i="9"/>
  <c r="AA15" i="9"/>
  <c r="Y15" i="9"/>
  <c r="X15" i="9"/>
  <c r="V15" i="9"/>
  <c r="T15" i="9"/>
  <c r="S15" i="9"/>
  <c r="R15" i="9"/>
  <c r="Q15" i="9"/>
  <c r="P15" i="9"/>
  <c r="K15" i="9"/>
  <c r="AR14" i="9"/>
  <c r="AP14" i="9"/>
  <c r="AN14" i="9"/>
  <c r="AL14" i="9"/>
  <c r="AJ14" i="9"/>
  <c r="AH14" i="9"/>
  <c r="AG14" i="9"/>
  <c r="AF14" i="9"/>
  <c r="AE14" i="9"/>
  <c r="AD14" i="9"/>
  <c r="AC14" i="9"/>
  <c r="AB14" i="9"/>
  <c r="AA14" i="9"/>
  <c r="Y14" i="9"/>
  <c r="X14" i="9"/>
  <c r="V14" i="9"/>
  <c r="T14" i="9"/>
  <c r="S14" i="9"/>
  <c r="R14" i="9"/>
  <c r="Q14" i="9"/>
  <c r="P14" i="9"/>
  <c r="N14" i="9"/>
  <c r="K14" i="9"/>
  <c r="AR13" i="9"/>
  <c r="AP13" i="9"/>
  <c r="AN13" i="9"/>
  <c r="AL13" i="9"/>
  <c r="AJ13" i="9"/>
  <c r="AH13" i="9"/>
  <c r="AG13" i="9"/>
  <c r="AF13" i="9"/>
  <c r="AE13" i="9"/>
  <c r="AD13" i="9"/>
  <c r="AC13" i="9"/>
  <c r="AB13" i="9"/>
  <c r="AA13" i="9"/>
  <c r="Y13" i="9"/>
  <c r="X13" i="9"/>
  <c r="V13" i="9"/>
  <c r="T13" i="9"/>
  <c r="S13" i="9"/>
  <c r="R13" i="9"/>
  <c r="Q13" i="9"/>
  <c r="P13" i="9"/>
  <c r="K13" i="9"/>
  <c r="AR12" i="9"/>
  <c r="AP12" i="9"/>
  <c r="AN12" i="9"/>
  <c r="AL12" i="9"/>
  <c r="AJ12" i="9"/>
  <c r="AH12" i="9"/>
  <c r="AG12" i="9"/>
  <c r="AF12" i="9"/>
  <c r="AE12" i="9"/>
  <c r="AD12" i="9"/>
  <c r="AC12" i="9"/>
  <c r="AB12" i="9"/>
  <c r="AA12" i="9"/>
  <c r="Y12" i="9"/>
  <c r="X12" i="9"/>
  <c r="V12" i="9"/>
  <c r="T12" i="9"/>
  <c r="S12" i="9"/>
  <c r="R12" i="9"/>
  <c r="Q12" i="9"/>
  <c r="P12" i="9"/>
  <c r="K12" i="9"/>
  <c r="AA11" i="9"/>
  <c r="X11" i="9"/>
  <c r="D3" i="9"/>
  <c r="AC11" i="9" s="1"/>
  <c r="M121" i="4"/>
  <c r="N121" i="4" s="1"/>
  <c r="O121" i="4" s="1"/>
  <c r="J121" i="4"/>
  <c r="K121" i="4" s="1"/>
  <c r="M116" i="4"/>
  <c r="N116" i="4" s="1"/>
  <c r="J116" i="4"/>
  <c r="K116" i="4" s="1"/>
  <c r="M115" i="4"/>
  <c r="N115" i="4" s="1"/>
  <c r="O115" i="4" s="1"/>
  <c r="J115" i="4"/>
  <c r="K115" i="4" s="1"/>
  <c r="M114" i="4"/>
  <c r="N114" i="4" s="1"/>
  <c r="O114" i="4" s="1"/>
  <c r="J114" i="4"/>
  <c r="K114" i="4" s="1"/>
  <c r="M112" i="4"/>
  <c r="N112" i="4" s="1"/>
  <c r="O112" i="4" s="1"/>
  <c r="J112" i="4"/>
  <c r="K112" i="4" s="1"/>
  <c r="M109" i="4"/>
  <c r="N109" i="4" s="1"/>
  <c r="O109" i="4" s="1"/>
  <c r="J109" i="4"/>
  <c r="K109" i="4" s="1"/>
  <c r="M105" i="4"/>
  <c r="N105" i="4" s="1"/>
  <c r="J105" i="4"/>
  <c r="M104" i="4"/>
  <c r="N104" i="4" s="1"/>
  <c r="J104" i="4"/>
  <c r="M103" i="4"/>
  <c r="N103" i="4" s="1"/>
  <c r="J103" i="4"/>
  <c r="M102" i="4"/>
  <c r="N102" i="4" s="1"/>
  <c r="J102" i="4"/>
  <c r="L89" i="4"/>
  <c r="B49" i="7" s="1"/>
  <c r="M87" i="4"/>
  <c r="N87" i="4" s="1"/>
  <c r="O87" i="4" s="1"/>
  <c r="J87" i="4"/>
  <c r="K87" i="4" s="1"/>
  <c r="M86" i="4"/>
  <c r="N86" i="4" s="1"/>
  <c r="O86" i="4" s="1"/>
  <c r="J86" i="4"/>
  <c r="K86" i="4" s="1"/>
  <c r="M85" i="4"/>
  <c r="N85" i="4" s="1"/>
  <c r="O85" i="4" s="1"/>
  <c r="J85" i="4"/>
  <c r="K85" i="4" s="1"/>
  <c r="M84" i="4"/>
  <c r="N84" i="4" s="1"/>
  <c r="O84" i="4" s="1"/>
  <c r="J84" i="4"/>
  <c r="K84" i="4" s="1"/>
  <c r="M83" i="4"/>
  <c r="N83" i="4" s="1"/>
  <c r="J83" i="4"/>
  <c r="K83" i="4" s="1"/>
  <c r="M82" i="4"/>
  <c r="N82" i="4" s="1"/>
  <c r="O82" i="4" s="1"/>
  <c r="J82" i="4"/>
  <c r="K82" i="4" s="1"/>
  <c r="M77" i="4"/>
  <c r="N77" i="4" s="1"/>
  <c r="O77" i="4" s="1"/>
  <c r="J77" i="4"/>
  <c r="K77" i="4" s="1"/>
  <c r="M76" i="4"/>
  <c r="N76" i="4" s="1"/>
  <c r="O76" i="4" s="1"/>
  <c r="J76" i="4"/>
  <c r="K76" i="4" s="1"/>
  <c r="M75" i="4"/>
  <c r="N75" i="4" s="1"/>
  <c r="O75" i="4" s="1"/>
  <c r="J75" i="4"/>
  <c r="K75" i="4" s="1"/>
  <c r="M74" i="4"/>
  <c r="N74" i="4" s="1"/>
  <c r="O74" i="4" s="1"/>
  <c r="J74" i="4"/>
  <c r="K74" i="4" s="1"/>
  <c r="M73" i="4"/>
  <c r="N73" i="4" s="1"/>
  <c r="O73" i="4" s="1"/>
  <c r="J73" i="4"/>
  <c r="K73" i="4" s="1"/>
  <c r="M72" i="4"/>
  <c r="N72" i="4" s="1"/>
  <c r="O72" i="4" s="1"/>
  <c r="J72" i="4"/>
  <c r="K72" i="4" s="1"/>
  <c r="M71" i="4"/>
  <c r="J71" i="4"/>
  <c r="K71" i="4" s="1"/>
  <c r="M70" i="4"/>
  <c r="N70" i="4" s="1"/>
  <c r="O70" i="4" s="1"/>
  <c r="J70" i="4"/>
  <c r="K70" i="4" s="1"/>
  <c r="L69" i="4"/>
  <c r="J69" i="4"/>
  <c r="K69" i="4" s="1"/>
  <c r="M68" i="4"/>
  <c r="N68" i="4" s="1"/>
  <c r="O68" i="4" s="1"/>
  <c r="J68" i="4"/>
  <c r="K68" i="4" s="1"/>
  <c r="M67" i="4"/>
  <c r="N67" i="4" s="1"/>
  <c r="O67" i="4" s="1"/>
  <c r="J67" i="4"/>
  <c r="K67" i="4" s="1"/>
  <c r="L66" i="4"/>
  <c r="M66" i="4" s="1"/>
  <c r="N66" i="4" s="1"/>
  <c r="O66" i="4" s="1"/>
  <c r="J66" i="4"/>
  <c r="K66" i="4" s="1"/>
  <c r="M65" i="4"/>
  <c r="N65" i="4" s="1"/>
  <c r="O65" i="4" s="1"/>
  <c r="J65" i="4"/>
  <c r="K65" i="4" s="1"/>
  <c r="M64" i="4"/>
  <c r="J64" i="4"/>
  <c r="K64" i="4" s="1"/>
  <c r="L61" i="4"/>
  <c r="M59" i="4"/>
  <c r="N59" i="4" s="1"/>
  <c r="O59" i="4" s="1"/>
  <c r="J59" i="4"/>
  <c r="K59" i="4" s="1"/>
  <c r="M58" i="4"/>
  <c r="N58" i="4" s="1"/>
  <c r="O58" i="4" s="1"/>
  <c r="J58" i="4"/>
  <c r="K58" i="4" s="1"/>
  <c r="M57" i="4"/>
  <c r="N57" i="4" s="1"/>
  <c r="J57" i="4"/>
  <c r="K57" i="4" s="1"/>
  <c r="M46" i="4"/>
  <c r="N46" i="4" s="1"/>
  <c r="O46" i="4" s="1"/>
  <c r="J46" i="4"/>
  <c r="K46" i="4" s="1"/>
  <c r="M45" i="4"/>
  <c r="N45" i="4" s="1"/>
  <c r="O45" i="4" s="1"/>
  <c r="J45" i="4"/>
  <c r="K45" i="4" s="1"/>
  <c r="L44" i="4"/>
  <c r="M44" i="4" s="1"/>
  <c r="N44" i="4" s="1"/>
  <c r="O44" i="4" s="1"/>
  <c r="J44" i="4"/>
  <c r="K44" i="4" s="1"/>
  <c r="M43" i="4"/>
  <c r="N43" i="4" s="1"/>
  <c r="O43" i="4" s="1"/>
  <c r="J43" i="4"/>
  <c r="K43" i="4" s="1"/>
  <c r="M42" i="4"/>
  <c r="N42" i="4" s="1"/>
  <c r="O42" i="4" s="1"/>
  <c r="J42" i="4"/>
  <c r="K42" i="4" s="1"/>
  <c r="M41" i="4"/>
  <c r="N41" i="4" s="1"/>
  <c r="O41" i="4" s="1"/>
  <c r="J41" i="4"/>
  <c r="K41" i="4" s="1"/>
  <c r="M40" i="4"/>
  <c r="N40" i="4" s="1"/>
  <c r="O40" i="4" s="1"/>
  <c r="J40" i="4"/>
  <c r="K40" i="4" s="1"/>
  <c r="M39" i="4"/>
  <c r="N39" i="4" s="1"/>
  <c r="O39" i="4" s="1"/>
  <c r="J39" i="4"/>
  <c r="K39" i="4" s="1"/>
  <c r="L38" i="4"/>
  <c r="M38" i="4" s="1"/>
  <c r="N38" i="4" s="1"/>
  <c r="O38" i="4" s="1"/>
  <c r="J38" i="4"/>
  <c r="K38" i="4" s="1"/>
  <c r="M37" i="4"/>
  <c r="N37" i="4" s="1"/>
  <c r="O37" i="4" s="1"/>
  <c r="J37" i="4"/>
  <c r="K37" i="4" s="1"/>
  <c r="L36" i="4"/>
  <c r="J36" i="4"/>
  <c r="K36" i="4" s="1"/>
  <c r="M35" i="4"/>
  <c r="N35" i="4" s="1"/>
  <c r="O35" i="4" s="1"/>
  <c r="J35" i="4"/>
  <c r="K35" i="4" s="1"/>
  <c r="M34" i="4"/>
  <c r="N34" i="4" s="1"/>
  <c r="O34" i="4" s="1"/>
  <c r="J34" i="4"/>
  <c r="K34" i="4" s="1"/>
  <c r="L33" i="4"/>
  <c r="M33" i="4" s="1"/>
  <c r="N33" i="4" s="1"/>
  <c r="O33" i="4" s="1"/>
  <c r="J33" i="4"/>
  <c r="K33" i="4" s="1"/>
  <c r="M32" i="4"/>
  <c r="N32" i="4" s="1"/>
  <c r="O32" i="4" s="1"/>
  <c r="J32" i="4"/>
  <c r="K32" i="4" s="1"/>
  <c r="M31" i="4"/>
  <c r="N31" i="4" s="1"/>
  <c r="O31" i="4" s="1"/>
  <c r="J31" i="4"/>
  <c r="K31" i="4" s="1"/>
  <c r="M30" i="4"/>
  <c r="N30" i="4" s="1"/>
  <c r="O30" i="4" s="1"/>
  <c r="J30" i="4"/>
  <c r="K30" i="4" s="1"/>
  <c r="L29" i="4"/>
  <c r="J29" i="4"/>
  <c r="K29" i="4" s="1"/>
  <c r="M28" i="4"/>
  <c r="N28" i="4" s="1"/>
  <c r="O28" i="4" s="1"/>
  <c r="J28" i="4"/>
  <c r="K28" i="4" s="1"/>
  <c r="M27" i="4"/>
  <c r="N27" i="4" s="1"/>
  <c r="O27" i="4" s="1"/>
  <c r="J27" i="4"/>
  <c r="K27" i="4" s="1"/>
  <c r="M26" i="4"/>
  <c r="N26" i="4" s="1"/>
  <c r="O26" i="4" s="1"/>
  <c r="J26" i="4"/>
  <c r="K26" i="4" s="1"/>
  <c r="M25" i="4"/>
  <c r="N25" i="4" s="1"/>
  <c r="O25" i="4" s="1"/>
  <c r="J25" i="4"/>
  <c r="K25" i="4" s="1"/>
  <c r="M24" i="4"/>
  <c r="J24" i="4"/>
  <c r="K24" i="4" s="1"/>
  <c r="L21" i="4"/>
  <c r="B41" i="7" s="1"/>
  <c r="M19" i="4"/>
  <c r="N19" i="4" s="1"/>
  <c r="O19" i="4" s="1"/>
  <c r="J19" i="4"/>
  <c r="K19" i="4" s="1"/>
  <c r="M18" i="4"/>
  <c r="N18" i="4" s="1"/>
  <c r="O18" i="4" s="1"/>
  <c r="J18" i="4"/>
  <c r="K18" i="4" s="1"/>
  <c r="M17" i="4"/>
  <c r="N17" i="4" s="1"/>
  <c r="O17" i="4" s="1"/>
  <c r="J17" i="4"/>
  <c r="K17" i="4" s="1"/>
  <c r="M16" i="4"/>
  <c r="N16" i="4" s="1"/>
  <c r="O16" i="4" s="1"/>
  <c r="J16" i="4"/>
  <c r="K16" i="4" s="1"/>
  <c r="M15" i="4"/>
  <c r="N15" i="4" s="1"/>
  <c r="O15" i="4" s="1"/>
  <c r="J15" i="4"/>
  <c r="K15" i="4" s="1"/>
  <c r="M14" i="4"/>
  <c r="J14" i="4"/>
  <c r="K14" i="4" s="1"/>
  <c r="M13" i="4"/>
  <c r="N13" i="4" s="1"/>
  <c r="O13" i="4" s="1"/>
  <c r="J13" i="4"/>
  <c r="K13" i="4" s="1"/>
  <c r="M12" i="4"/>
  <c r="N12" i="4" s="1"/>
  <c r="J12" i="4"/>
  <c r="K12" i="4" s="1"/>
  <c r="R10" i="4"/>
  <c r="Q10" i="4"/>
  <c r="N304" i="1"/>
  <c r="M304" i="1"/>
  <c r="J304" i="1"/>
  <c r="N303" i="1"/>
  <c r="M303" i="1"/>
  <c r="J303" i="1"/>
  <c r="N299" i="1"/>
  <c r="M299" i="1"/>
  <c r="J299" i="1"/>
  <c r="N298" i="1"/>
  <c r="M298" i="1"/>
  <c r="J298" i="1"/>
  <c r="N297" i="1"/>
  <c r="M297" i="1"/>
  <c r="J297" i="1"/>
  <c r="N296" i="1"/>
  <c r="M296" i="1"/>
  <c r="L296" i="1"/>
  <c r="J296" i="1"/>
  <c r="N295" i="1"/>
  <c r="M295" i="1"/>
  <c r="J295" i="1"/>
  <c r="N294" i="1"/>
  <c r="M294" i="1"/>
  <c r="J294" i="1"/>
  <c r="N293" i="1"/>
  <c r="M293" i="1"/>
  <c r="J293" i="1"/>
  <c r="N292" i="1"/>
  <c r="M292" i="1"/>
  <c r="J292" i="1"/>
  <c r="N291" i="1"/>
  <c r="M291" i="1"/>
  <c r="L291" i="1"/>
  <c r="J291" i="1"/>
  <c r="N285" i="1"/>
  <c r="M285" i="1"/>
  <c r="J285" i="1"/>
  <c r="N284" i="1"/>
  <c r="M284" i="1"/>
  <c r="J284" i="1"/>
  <c r="N283" i="1"/>
  <c r="M283" i="1"/>
  <c r="J283" i="1"/>
  <c r="N278" i="1"/>
  <c r="M278" i="1"/>
  <c r="J278" i="1"/>
  <c r="N277" i="1"/>
  <c r="M277" i="1"/>
  <c r="J277" i="1"/>
  <c r="N276" i="1"/>
  <c r="M276" i="1"/>
  <c r="L276" i="1"/>
  <c r="J276" i="1"/>
  <c r="O266" i="1"/>
  <c r="N266" i="1"/>
  <c r="M266" i="1"/>
  <c r="L266" i="1"/>
  <c r="O263" i="1"/>
  <c r="N263" i="1"/>
  <c r="M263" i="1"/>
  <c r="L263" i="1"/>
  <c r="O261" i="1"/>
  <c r="N261" i="1"/>
  <c r="M261" i="1"/>
  <c r="K261" i="1"/>
  <c r="J261" i="1"/>
  <c r="O260" i="1"/>
  <c r="N260" i="1"/>
  <c r="M260" i="1"/>
  <c r="K260" i="1"/>
  <c r="J260" i="1"/>
  <c r="O257" i="1"/>
  <c r="N257" i="1"/>
  <c r="M257" i="1"/>
  <c r="L257" i="1"/>
  <c r="O255" i="1"/>
  <c r="N255" i="1"/>
  <c r="M255" i="1"/>
  <c r="K255" i="1"/>
  <c r="J255" i="1"/>
  <c r="O254" i="1"/>
  <c r="N254" i="1"/>
  <c r="M254" i="1"/>
  <c r="K254" i="1"/>
  <c r="J254" i="1"/>
  <c r="O253" i="1"/>
  <c r="N253" i="1"/>
  <c r="M253" i="1"/>
  <c r="K253" i="1"/>
  <c r="J253" i="1"/>
  <c r="O252" i="1"/>
  <c r="N252" i="1"/>
  <c r="M252" i="1"/>
  <c r="K252" i="1"/>
  <c r="J252" i="1"/>
  <c r="O251" i="1"/>
  <c r="N251" i="1"/>
  <c r="M251" i="1"/>
  <c r="K251" i="1"/>
  <c r="J251" i="1"/>
  <c r="O250" i="1"/>
  <c r="N250" i="1"/>
  <c r="M250" i="1"/>
  <c r="K250" i="1"/>
  <c r="J250" i="1"/>
  <c r="O249" i="1"/>
  <c r="N249" i="1"/>
  <c r="M249" i="1"/>
  <c r="K249" i="1"/>
  <c r="J249" i="1"/>
  <c r="O248" i="1"/>
  <c r="N248" i="1"/>
  <c r="M248" i="1"/>
  <c r="K248" i="1"/>
  <c r="J248" i="1"/>
  <c r="O247" i="1"/>
  <c r="N247" i="1"/>
  <c r="M247" i="1"/>
  <c r="K247" i="1"/>
  <c r="J247" i="1"/>
  <c r="O246" i="1"/>
  <c r="N246" i="1"/>
  <c r="M246" i="1"/>
  <c r="K246" i="1"/>
  <c r="J246" i="1"/>
  <c r="O245" i="1"/>
  <c r="N245" i="1"/>
  <c r="M245" i="1"/>
  <c r="K245" i="1"/>
  <c r="J245" i="1"/>
  <c r="O244" i="1"/>
  <c r="N244" i="1"/>
  <c r="M244" i="1"/>
  <c r="K244" i="1"/>
  <c r="J244" i="1"/>
  <c r="O243" i="1"/>
  <c r="N243" i="1"/>
  <c r="M243" i="1"/>
  <c r="K243" i="1"/>
  <c r="J243" i="1"/>
  <c r="O240" i="1"/>
  <c r="N240" i="1"/>
  <c r="M240" i="1"/>
  <c r="L240" i="1"/>
  <c r="O238" i="1"/>
  <c r="N238" i="1"/>
  <c r="M238" i="1"/>
  <c r="K238" i="1"/>
  <c r="J238" i="1"/>
  <c r="O237" i="1"/>
  <c r="N237" i="1"/>
  <c r="M237" i="1"/>
  <c r="K237" i="1"/>
  <c r="J237" i="1"/>
  <c r="O236" i="1"/>
  <c r="N236" i="1"/>
  <c r="M236" i="1"/>
  <c r="K236" i="1"/>
  <c r="J236" i="1"/>
  <c r="O235" i="1"/>
  <c r="N235" i="1"/>
  <c r="M235" i="1"/>
  <c r="K235" i="1"/>
  <c r="J235" i="1"/>
  <c r="O234" i="1"/>
  <c r="N234" i="1"/>
  <c r="M234" i="1"/>
  <c r="K234" i="1"/>
  <c r="J234" i="1"/>
  <c r="O233" i="1"/>
  <c r="N233" i="1"/>
  <c r="M233" i="1"/>
  <c r="K233" i="1"/>
  <c r="J233" i="1"/>
  <c r="O232" i="1"/>
  <c r="N232" i="1"/>
  <c r="M232" i="1"/>
  <c r="K232" i="1"/>
  <c r="J232" i="1"/>
  <c r="O229" i="1"/>
  <c r="N229" i="1"/>
  <c r="M229" i="1"/>
  <c r="L229" i="1"/>
  <c r="O227" i="1"/>
  <c r="N227" i="1"/>
  <c r="M227" i="1"/>
  <c r="K227" i="1"/>
  <c r="J227" i="1"/>
  <c r="O226" i="1"/>
  <c r="N226" i="1"/>
  <c r="M226" i="1"/>
  <c r="K226" i="1"/>
  <c r="J226" i="1"/>
  <c r="O225" i="1"/>
  <c r="N225" i="1"/>
  <c r="M225" i="1"/>
  <c r="K225" i="1"/>
  <c r="J225" i="1"/>
  <c r="O224" i="1"/>
  <c r="N224" i="1"/>
  <c r="M224" i="1"/>
  <c r="K224" i="1"/>
  <c r="J224" i="1"/>
  <c r="O223" i="1"/>
  <c r="N223" i="1"/>
  <c r="M223" i="1"/>
  <c r="K223" i="1"/>
  <c r="J223" i="1"/>
  <c r="O222" i="1"/>
  <c r="N222" i="1"/>
  <c r="M222" i="1"/>
  <c r="K222" i="1"/>
  <c r="J222" i="1"/>
  <c r="O221" i="1"/>
  <c r="N221" i="1"/>
  <c r="M221" i="1"/>
  <c r="K221" i="1"/>
  <c r="J221" i="1"/>
  <c r="O220" i="1"/>
  <c r="N220" i="1"/>
  <c r="M220" i="1"/>
  <c r="K220" i="1"/>
  <c r="J220" i="1"/>
  <c r="O219" i="1"/>
  <c r="N219" i="1"/>
  <c r="M219" i="1"/>
  <c r="K219" i="1"/>
  <c r="J219" i="1"/>
  <c r="O218" i="1"/>
  <c r="N218" i="1"/>
  <c r="M218" i="1"/>
  <c r="K218" i="1"/>
  <c r="J218" i="1"/>
  <c r="O217" i="1"/>
  <c r="N217" i="1"/>
  <c r="M217" i="1"/>
  <c r="K217" i="1"/>
  <c r="J217" i="1"/>
  <c r="O216" i="1"/>
  <c r="N216" i="1"/>
  <c r="M216" i="1"/>
  <c r="K216" i="1"/>
  <c r="J216" i="1"/>
  <c r="O215" i="1"/>
  <c r="N215" i="1"/>
  <c r="M215" i="1"/>
  <c r="K215" i="1"/>
  <c r="J215" i="1"/>
  <c r="O214" i="1"/>
  <c r="N214" i="1"/>
  <c r="M214" i="1"/>
  <c r="K214" i="1"/>
  <c r="J214" i="1"/>
  <c r="O213" i="1"/>
  <c r="N213" i="1"/>
  <c r="M213" i="1"/>
  <c r="K213" i="1"/>
  <c r="J213" i="1"/>
  <c r="O212" i="1"/>
  <c r="N212" i="1"/>
  <c r="M212" i="1"/>
  <c r="K212" i="1"/>
  <c r="J212" i="1"/>
  <c r="O211" i="1"/>
  <c r="N211" i="1"/>
  <c r="M211" i="1"/>
  <c r="K211" i="1"/>
  <c r="J211" i="1"/>
  <c r="O210" i="1"/>
  <c r="N210" i="1"/>
  <c r="M210" i="1"/>
  <c r="K210" i="1"/>
  <c r="J210" i="1"/>
  <c r="O209" i="1"/>
  <c r="N209" i="1"/>
  <c r="M209" i="1"/>
  <c r="K209" i="1"/>
  <c r="J209" i="1"/>
  <c r="O208" i="1"/>
  <c r="N208" i="1"/>
  <c r="M208" i="1"/>
  <c r="K208" i="1"/>
  <c r="J208" i="1"/>
  <c r="O207" i="1"/>
  <c r="N207" i="1"/>
  <c r="M207" i="1"/>
  <c r="K207" i="1"/>
  <c r="J207" i="1"/>
  <c r="O206" i="1"/>
  <c r="N206" i="1"/>
  <c r="M206" i="1"/>
  <c r="K206" i="1"/>
  <c r="J206" i="1"/>
  <c r="O205" i="1"/>
  <c r="N205" i="1"/>
  <c r="M205" i="1"/>
  <c r="K205" i="1"/>
  <c r="J205" i="1"/>
  <c r="O204" i="1"/>
  <c r="N204" i="1"/>
  <c r="M204" i="1"/>
  <c r="K204" i="1"/>
  <c r="J204" i="1"/>
  <c r="O203" i="1"/>
  <c r="N203" i="1"/>
  <c r="M203" i="1"/>
  <c r="K203" i="1"/>
  <c r="J203" i="1"/>
  <c r="O202" i="1"/>
  <c r="N202" i="1"/>
  <c r="M202" i="1"/>
  <c r="K202" i="1"/>
  <c r="J202" i="1"/>
  <c r="O201" i="1"/>
  <c r="N201" i="1"/>
  <c r="M201" i="1"/>
  <c r="K201" i="1"/>
  <c r="J201" i="1"/>
  <c r="O200" i="1"/>
  <c r="N200" i="1"/>
  <c r="M200" i="1"/>
  <c r="K200" i="1"/>
  <c r="J200" i="1"/>
  <c r="O199" i="1"/>
  <c r="N199" i="1"/>
  <c r="M199" i="1"/>
  <c r="K199" i="1"/>
  <c r="J199" i="1"/>
  <c r="O198" i="1"/>
  <c r="N198" i="1"/>
  <c r="M198" i="1"/>
  <c r="K198" i="1"/>
  <c r="J198" i="1"/>
  <c r="O197" i="1"/>
  <c r="N197" i="1"/>
  <c r="M197" i="1"/>
  <c r="K197" i="1"/>
  <c r="J197" i="1"/>
  <c r="O196" i="1"/>
  <c r="N196" i="1"/>
  <c r="M196" i="1"/>
  <c r="K196" i="1"/>
  <c r="J196" i="1"/>
  <c r="O195" i="1"/>
  <c r="N195" i="1"/>
  <c r="M195" i="1"/>
  <c r="K195" i="1"/>
  <c r="J195" i="1"/>
  <c r="O194" i="1"/>
  <c r="N194" i="1"/>
  <c r="M194" i="1"/>
  <c r="K194" i="1"/>
  <c r="J194" i="1"/>
  <c r="O193" i="1"/>
  <c r="N193" i="1"/>
  <c r="M193" i="1"/>
  <c r="K193" i="1"/>
  <c r="J193" i="1"/>
  <c r="O192" i="1"/>
  <c r="N192" i="1"/>
  <c r="M192" i="1"/>
  <c r="K192" i="1"/>
  <c r="J192" i="1"/>
  <c r="O191" i="1"/>
  <c r="N191" i="1"/>
  <c r="M191" i="1"/>
  <c r="K191" i="1"/>
  <c r="J191" i="1"/>
  <c r="O190" i="1"/>
  <c r="N190" i="1"/>
  <c r="M190" i="1"/>
  <c r="K190" i="1"/>
  <c r="J190" i="1"/>
  <c r="O189" i="1"/>
  <c r="N189" i="1"/>
  <c r="M189" i="1"/>
  <c r="K189" i="1"/>
  <c r="J189" i="1"/>
  <c r="O188" i="1"/>
  <c r="N188" i="1"/>
  <c r="M188" i="1"/>
  <c r="K188" i="1"/>
  <c r="J188" i="1"/>
  <c r="O187" i="1"/>
  <c r="N187" i="1"/>
  <c r="M187" i="1"/>
  <c r="K187" i="1"/>
  <c r="J187" i="1"/>
  <c r="O186" i="1"/>
  <c r="N186" i="1"/>
  <c r="M186" i="1"/>
  <c r="K186" i="1"/>
  <c r="J186" i="1"/>
  <c r="O185" i="1"/>
  <c r="N185" i="1"/>
  <c r="M185" i="1"/>
  <c r="K185" i="1"/>
  <c r="J185" i="1"/>
  <c r="O184" i="1"/>
  <c r="N184" i="1"/>
  <c r="M184" i="1"/>
  <c r="K184" i="1"/>
  <c r="J184" i="1"/>
  <c r="O183" i="1"/>
  <c r="N183" i="1"/>
  <c r="M183" i="1"/>
  <c r="K183" i="1"/>
  <c r="J183" i="1"/>
  <c r="O182" i="1"/>
  <c r="N182" i="1"/>
  <c r="M182" i="1"/>
  <c r="K182" i="1"/>
  <c r="J182" i="1"/>
  <c r="O181" i="1"/>
  <c r="N181" i="1"/>
  <c r="M181" i="1"/>
  <c r="K181" i="1"/>
  <c r="J181" i="1"/>
  <c r="O180" i="1"/>
  <c r="N180" i="1"/>
  <c r="M180" i="1"/>
  <c r="K180" i="1"/>
  <c r="J180" i="1"/>
  <c r="O179" i="1"/>
  <c r="N179" i="1"/>
  <c r="M179" i="1"/>
  <c r="K179" i="1"/>
  <c r="J179" i="1"/>
  <c r="O178" i="1"/>
  <c r="N178" i="1"/>
  <c r="M178" i="1"/>
  <c r="K178" i="1"/>
  <c r="J178" i="1"/>
  <c r="O177" i="1"/>
  <c r="N177" i="1"/>
  <c r="M177" i="1"/>
  <c r="K177" i="1"/>
  <c r="J177" i="1"/>
  <c r="O176" i="1"/>
  <c r="N176" i="1"/>
  <c r="M176" i="1"/>
  <c r="K176" i="1"/>
  <c r="J176" i="1"/>
  <c r="O175" i="1"/>
  <c r="N175" i="1"/>
  <c r="M175" i="1"/>
  <c r="K175" i="1"/>
  <c r="J175" i="1"/>
  <c r="O174" i="1"/>
  <c r="N174" i="1"/>
  <c r="M174" i="1"/>
  <c r="K174" i="1"/>
  <c r="J174" i="1"/>
  <c r="O171" i="1"/>
  <c r="N171" i="1"/>
  <c r="M171" i="1"/>
  <c r="L171" i="1"/>
  <c r="O169" i="1"/>
  <c r="N169" i="1"/>
  <c r="M169" i="1"/>
  <c r="K169" i="1"/>
  <c r="J169" i="1"/>
  <c r="O168" i="1"/>
  <c r="N168" i="1"/>
  <c r="M168" i="1"/>
  <c r="K168" i="1"/>
  <c r="J168" i="1"/>
  <c r="O167" i="1"/>
  <c r="N167" i="1"/>
  <c r="M167" i="1"/>
  <c r="K167" i="1"/>
  <c r="J167" i="1"/>
  <c r="O166" i="1"/>
  <c r="N166" i="1"/>
  <c r="M166" i="1"/>
  <c r="K166" i="1"/>
  <c r="J166" i="1"/>
  <c r="O165" i="1"/>
  <c r="N165" i="1"/>
  <c r="M165" i="1"/>
  <c r="K165" i="1"/>
  <c r="J165" i="1"/>
  <c r="O164" i="1"/>
  <c r="N164" i="1"/>
  <c r="M164" i="1"/>
  <c r="K164" i="1"/>
  <c r="J164" i="1"/>
  <c r="O163" i="1"/>
  <c r="N163" i="1"/>
  <c r="M163" i="1"/>
  <c r="K163" i="1"/>
  <c r="J163" i="1"/>
  <c r="O162" i="1"/>
  <c r="N162" i="1"/>
  <c r="M162" i="1"/>
  <c r="K162" i="1"/>
  <c r="J162" i="1"/>
  <c r="O161" i="1"/>
  <c r="N161" i="1"/>
  <c r="M161" i="1"/>
  <c r="K161" i="1"/>
  <c r="J161" i="1"/>
  <c r="O160" i="1"/>
  <c r="N160" i="1"/>
  <c r="M160" i="1"/>
  <c r="K160" i="1"/>
  <c r="J160" i="1"/>
  <c r="O159" i="1"/>
  <c r="N159" i="1"/>
  <c r="M159" i="1"/>
  <c r="K159" i="1"/>
  <c r="J159" i="1"/>
  <c r="O158" i="1"/>
  <c r="N158" i="1"/>
  <c r="M158" i="1"/>
  <c r="K158" i="1"/>
  <c r="J158" i="1"/>
  <c r="O157" i="1"/>
  <c r="N157" i="1"/>
  <c r="M157" i="1"/>
  <c r="K157" i="1"/>
  <c r="J157" i="1"/>
  <c r="O156" i="1"/>
  <c r="N156" i="1"/>
  <c r="M156" i="1"/>
  <c r="K156" i="1"/>
  <c r="J156" i="1"/>
  <c r="O155" i="1"/>
  <c r="N155" i="1"/>
  <c r="M155" i="1"/>
  <c r="K155" i="1"/>
  <c r="J155" i="1"/>
  <c r="O154" i="1"/>
  <c r="N154" i="1"/>
  <c r="M154" i="1"/>
  <c r="K154" i="1"/>
  <c r="J154" i="1"/>
  <c r="O153" i="1"/>
  <c r="N153" i="1"/>
  <c r="M153" i="1"/>
  <c r="K153" i="1"/>
  <c r="J153" i="1"/>
  <c r="O152" i="1"/>
  <c r="N152" i="1"/>
  <c r="M152" i="1"/>
  <c r="K152" i="1"/>
  <c r="J152" i="1"/>
  <c r="O151" i="1"/>
  <c r="N151" i="1"/>
  <c r="M151" i="1"/>
  <c r="K151" i="1"/>
  <c r="J151" i="1"/>
  <c r="O150" i="1"/>
  <c r="N150" i="1"/>
  <c r="M150" i="1"/>
  <c r="K150" i="1"/>
  <c r="J150" i="1"/>
  <c r="O149" i="1"/>
  <c r="N149" i="1"/>
  <c r="M149" i="1"/>
  <c r="K149" i="1"/>
  <c r="J149" i="1"/>
  <c r="O148" i="1"/>
  <c r="N148" i="1"/>
  <c r="M148" i="1"/>
  <c r="K148" i="1"/>
  <c r="J148" i="1"/>
  <c r="O147" i="1"/>
  <c r="N147" i="1"/>
  <c r="M147" i="1"/>
  <c r="K147" i="1"/>
  <c r="J147" i="1"/>
  <c r="O146" i="1"/>
  <c r="N146" i="1"/>
  <c r="M146" i="1"/>
  <c r="K146" i="1"/>
  <c r="J146" i="1"/>
  <c r="O145" i="1"/>
  <c r="N145" i="1"/>
  <c r="M145" i="1"/>
  <c r="K145" i="1"/>
  <c r="J145" i="1"/>
  <c r="O144" i="1"/>
  <c r="N144" i="1"/>
  <c r="M144" i="1"/>
  <c r="K144" i="1"/>
  <c r="J144" i="1"/>
  <c r="O143" i="1"/>
  <c r="N143" i="1"/>
  <c r="M143" i="1"/>
  <c r="L143" i="1"/>
  <c r="K143" i="1"/>
  <c r="J143" i="1"/>
  <c r="O142" i="1"/>
  <c r="N142" i="1"/>
  <c r="M142" i="1"/>
  <c r="K142" i="1"/>
  <c r="J142" i="1"/>
  <c r="O141" i="1"/>
  <c r="N141" i="1"/>
  <c r="M141" i="1"/>
  <c r="K141" i="1"/>
  <c r="J141" i="1"/>
  <c r="O140" i="1"/>
  <c r="N140" i="1"/>
  <c r="M140" i="1"/>
  <c r="K140" i="1"/>
  <c r="J140" i="1"/>
  <c r="O139" i="1"/>
  <c r="N139" i="1"/>
  <c r="M139" i="1"/>
  <c r="K139" i="1"/>
  <c r="J139" i="1"/>
  <c r="O138" i="1"/>
  <c r="N138" i="1"/>
  <c r="M138" i="1"/>
  <c r="K138" i="1"/>
  <c r="J138" i="1"/>
  <c r="O137" i="1"/>
  <c r="N137" i="1"/>
  <c r="M137" i="1"/>
  <c r="K137" i="1"/>
  <c r="J137" i="1"/>
  <c r="O136" i="1"/>
  <c r="N136" i="1"/>
  <c r="M136" i="1"/>
  <c r="K136" i="1"/>
  <c r="J136" i="1"/>
  <c r="O135" i="1"/>
  <c r="N135" i="1"/>
  <c r="M135" i="1"/>
  <c r="K135" i="1"/>
  <c r="J135" i="1"/>
  <c r="O134" i="1"/>
  <c r="N134" i="1"/>
  <c r="M134" i="1"/>
  <c r="L134" i="1"/>
  <c r="K134" i="1"/>
  <c r="J134" i="1"/>
  <c r="C134" i="1"/>
  <c r="O131" i="1"/>
  <c r="N131" i="1"/>
  <c r="M131" i="1"/>
  <c r="L131" i="1"/>
  <c r="O125" i="1"/>
  <c r="N125" i="1"/>
  <c r="M125" i="1"/>
  <c r="K125" i="1"/>
  <c r="J125" i="1"/>
  <c r="O124" i="1"/>
  <c r="N124" i="1"/>
  <c r="M124" i="1"/>
  <c r="K124" i="1"/>
  <c r="J124" i="1"/>
  <c r="O123" i="1"/>
  <c r="N123" i="1"/>
  <c r="M123" i="1"/>
  <c r="K123" i="1"/>
  <c r="J123" i="1"/>
  <c r="O122" i="1"/>
  <c r="N122" i="1"/>
  <c r="M122" i="1"/>
  <c r="K122" i="1"/>
  <c r="J122" i="1"/>
  <c r="O121" i="1"/>
  <c r="N121" i="1"/>
  <c r="M121" i="1"/>
  <c r="K121" i="1"/>
  <c r="J121" i="1"/>
  <c r="O120" i="1"/>
  <c r="N120" i="1"/>
  <c r="M120" i="1"/>
  <c r="K120" i="1"/>
  <c r="J120" i="1"/>
  <c r="O119" i="1"/>
  <c r="N119" i="1"/>
  <c r="M119" i="1"/>
  <c r="K119" i="1"/>
  <c r="J119" i="1"/>
  <c r="O118" i="1"/>
  <c r="N118" i="1"/>
  <c r="M118" i="1"/>
  <c r="K118" i="1"/>
  <c r="J118" i="1"/>
  <c r="O117" i="1"/>
  <c r="N117" i="1"/>
  <c r="M117" i="1"/>
  <c r="K117" i="1"/>
  <c r="J117" i="1"/>
  <c r="O116" i="1"/>
  <c r="N116" i="1"/>
  <c r="M116" i="1"/>
  <c r="K116" i="1"/>
  <c r="J116" i="1"/>
  <c r="O115" i="1"/>
  <c r="N115" i="1"/>
  <c r="M115" i="1"/>
  <c r="K115" i="1"/>
  <c r="J115" i="1"/>
  <c r="O114" i="1"/>
  <c r="N114" i="1"/>
  <c r="M114" i="1"/>
  <c r="K114" i="1"/>
  <c r="J114" i="1"/>
  <c r="O113" i="1"/>
  <c r="N113" i="1"/>
  <c r="M113" i="1"/>
  <c r="K113" i="1"/>
  <c r="J113" i="1"/>
  <c r="O112" i="1"/>
  <c r="N112" i="1"/>
  <c r="M112" i="1"/>
  <c r="K112" i="1"/>
  <c r="J112" i="1"/>
  <c r="O111" i="1"/>
  <c r="N111" i="1"/>
  <c r="M111" i="1"/>
  <c r="K111" i="1"/>
  <c r="J111" i="1"/>
  <c r="O110" i="1"/>
  <c r="N110" i="1"/>
  <c r="M110" i="1"/>
  <c r="K110" i="1"/>
  <c r="J110" i="1"/>
  <c r="O109" i="1"/>
  <c r="N109" i="1"/>
  <c r="M109" i="1"/>
  <c r="K109" i="1"/>
  <c r="J109" i="1"/>
  <c r="O108" i="1"/>
  <c r="N108" i="1"/>
  <c r="M108" i="1"/>
  <c r="K108" i="1"/>
  <c r="J108" i="1"/>
  <c r="O107" i="1"/>
  <c r="N107" i="1"/>
  <c r="M107" i="1"/>
  <c r="K107" i="1"/>
  <c r="J107" i="1"/>
  <c r="O106" i="1"/>
  <c r="N106" i="1"/>
  <c r="M106" i="1"/>
  <c r="K106" i="1"/>
  <c r="J106" i="1"/>
  <c r="O105" i="1"/>
  <c r="N105" i="1"/>
  <c r="M105" i="1"/>
  <c r="K105" i="1"/>
  <c r="J105" i="1"/>
  <c r="O104" i="1"/>
  <c r="N104" i="1"/>
  <c r="M104" i="1"/>
  <c r="K104" i="1"/>
  <c r="J104" i="1"/>
  <c r="O103" i="1"/>
  <c r="N103" i="1"/>
  <c r="M103" i="1"/>
  <c r="K103" i="1"/>
  <c r="J103" i="1"/>
  <c r="O102" i="1"/>
  <c r="N102" i="1"/>
  <c r="M102" i="1"/>
  <c r="K102" i="1"/>
  <c r="J102" i="1"/>
  <c r="O101" i="1"/>
  <c r="N101" i="1"/>
  <c r="M101" i="1"/>
  <c r="K101" i="1"/>
  <c r="J101" i="1"/>
  <c r="O100" i="1"/>
  <c r="N100" i="1"/>
  <c r="M100" i="1"/>
  <c r="K100" i="1"/>
  <c r="J100" i="1"/>
  <c r="O99" i="1"/>
  <c r="N99" i="1"/>
  <c r="M99" i="1"/>
  <c r="K99" i="1"/>
  <c r="J99" i="1"/>
  <c r="O98" i="1"/>
  <c r="N98" i="1"/>
  <c r="M98" i="1"/>
  <c r="K98" i="1"/>
  <c r="J98" i="1"/>
  <c r="O97" i="1"/>
  <c r="N97" i="1"/>
  <c r="M97" i="1"/>
  <c r="K97" i="1"/>
  <c r="J97" i="1"/>
  <c r="O96" i="1"/>
  <c r="N96" i="1"/>
  <c r="M96" i="1"/>
  <c r="K96" i="1"/>
  <c r="J96" i="1"/>
  <c r="O95" i="1"/>
  <c r="N95" i="1"/>
  <c r="M95" i="1"/>
  <c r="K95" i="1"/>
  <c r="J95" i="1"/>
  <c r="O94" i="1"/>
  <c r="N94" i="1"/>
  <c r="M94" i="1"/>
  <c r="K94" i="1"/>
  <c r="J94" i="1"/>
  <c r="O93" i="1"/>
  <c r="N93" i="1"/>
  <c r="M93" i="1"/>
  <c r="K93" i="1"/>
  <c r="J93" i="1"/>
  <c r="O92" i="1"/>
  <c r="N92" i="1"/>
  <c r="M92" i="1"/>
  <c r="K92" i="1"/>
  <c r="J92" i="1"/>
  <c r="O91" i="1"/>
  <c r="N91" i="1"/>
  <c r="M91" i="1"/>
  <c r="K91" i="1"/>
  <c r="J91" i="1"/>
  <c r="O90" i="1"/>
  <c r="N90" i="1"/>
  <c r="M90" i="1"/>
  <c r="K90" i="1"/>
  <c r="J90" i="1"/>
  <c r="O89" i="1"/>
  <c r="N89" i="1"/>
  <c r="M89" i="1"/>
  <c r="K89" i="1"/>
  <c r="J89" i="1"/>
  <c r="O88" i="1"/>
  <c r="N88" i="1"/>
  <c r="M88" i="1"/>
  <c r="K88" i="1"/>
  <c r="J88" i="1"/>
  <c r="O87" i="1"/>
  <c r="N87" i="1"/>
  <c r="M87" i="1"/>
  <c r="K87" i="1"/>
  <c r="J87" i="1"/>
  <c r="O86" i="1"/>
  <c r="N86" i="1"/>
  <c r="M86" i="1"/>
  <c r="K86" i="1"/>
  <c r="J86" i="1"/>
  <c r="O85" i="1"/>
  <c r="N85" i="1"/>
  <c r="M85" i="1"/>
  <c r="K85" i="1"/>
  <c r="J85" i="1"/>
  <c r="O84" i="1"/>
  <c r="N84" i="1"/>
  <c r="M84" i="1"/>
  <c r="K84" i="1"/>
  <c r="J84" i="1"/>
  <c r="O83" i="1"/>
  <c r="N83" i="1"/>
  <c r="M83" i="1"/>
  <c r="K83" i="1"/>
  <c r="J83" i="1"/>
  <c r="O82" i="1"/>
  <c r="N82" i="1"/>
  <c r="M82" i="1"/>
  <c r="K82" i="1"/>
  <c r="J82" i="1"/>
  <c r="O81" i="1"/>
  <c r="N81" i="1"/>
  <c r="M81" i="1"/>
  <c r="K81" i="1"/>
  <c r="J81" i="1"/>
  <c r="O80" i="1"/>
  <c r="N80" i="1"/>
  <c r="M80" i="1"/>
  <c r="K80" i="1"/>
  <c r="J80" i="1"/>
  <c r="O79" i="1"/>
  <c r="N79" i="1"/>
  <c r="M79" i="1"/>
  <c r="K79" i="1"/>
  <c r="J79" i="1"/>
  <c r="O78" i="1"/>
  <c r="N78" i="1"/>
  <c r="M78" i="1"/>
  <c r="K78" i="1"/>
  <c r="J78" i="1"/>
  <c r="O77" i="1"/>
  <c r="N77" i="1"/>
  <c r="M77" i="1"/>
  <c r="K77" i="1"/>
  <c r="J77" i="1"/>
  <c r="O76" i="1"/>
  <c r="N76" i="1"/>
  <c r="M76" i="1"/>
  <c r="K76" i="1"/>
  <c r="J76" i="1"/>
  <c r="O75" i="1"/>
  <c r="N75" i="1"/>
  <c r="M75" i="1"/>
  <c r="K75" i="1"/>
  <c r="J75" i="1"/>
  <c r="O74" i="1"/>
  <c r="N74" i="1"/>
  <c r="M74" i="1"/>
  <c r="K74" i="1"/>
  <c r="J74" i="1"/>
  <c r="O73" i="1"/>
  <c r="N73" i="1"/>
  <c r="M73" i="1"/>
  <c r="K73" i="1"/>
  <c r="J73" i="1"/>
  <c r="O72" i="1"/>
  <c r="N72" i="1"/>
  <c r="M72" i="1"/>
  <c r="K72" i="1"/>
  <c r="J72" i="1"/>
  <c r="O71" i="1"/>
  <c r="N71" i="1"/>
  <c r="M71" i="1"/>
  <c r="K71" i="1"/>
  <c r="J71" i="1"/>
  <c r="O70" i="1"/>
  <c r="N70" i="1"/>
  <c r="M70" i="1"/>
  <c r="K70" i="1"/>
  <c r="J70" i="1"/>
  <c r="O69" i="1"/>
  <c r="N69" i="1"/>
  <c r="M69" i="1"/>
  <c r="L69" i="1"/>
  <c r="K69" i="1"/>
  <c r="J69" i="1"/>
  <c r="O68" i="1"/>
  <c r="N68" i="1"/>
  <c r="M68" i="1"/>
  <c r="K68" i="1"/>
  <c r="J68" i="1"/>
  <c r="O67" i="1"/>
  <c r="N67" i="1"/>
  <c r="M67" i="1"/>
  <c r="K67" i="1"/>
  <c r="J67" i="1"/>
  <c r="O66" i="1"/>
  <c r="N66" i="1"/>
  <c r="M66" i="1"/>
  <c r="K66" i="1"/>
  <c r="J66" i="1"/>
  <c r="O65" i="1"/>
  <c r="N65" i="1"/>
  <c r="M65" i="1"/>
  <c r="K65" i="1"/>
  <c r="J65" i="1"/>
  <c r="O64" i="1"/>
  <c r="N64" i="1"/>
  <c r="M64" i="1"/>
  <c r="K64" i="1"/>
  <c r="J64" i="1"/>
  <c r="O63" i="1"/>
  <c r="N63" i="1"/>
  <c r="M63" i="1"/>
  <c r="K63" i="1"/>
  <c r="J63" i="1"/>
  <c r="O62" i="1"/>
  <c r="N62" i="1"/>
  <c r="M62" i="1"/>
  <c r="K62" i="1"/>
  <c r="J62" i="1"/>
  <c r="O61" i="1"/>
  <c r="N61" i="1"/>
  <c r="M61" i="1"/>
  <c r="K61" i="1"/>
  <c r="J61" i="1"/>
  <c r="O60" i="1"/>
  <c r="N60" i="1"/>
  <c r="M60" i="1"/>
  <c r="K60" i="1"/>
  <c r="J60" i="1"/>
  <c r="O59" i="1"/>
  <c r="N59" i="1"/>
  <c r="M59" i="1"/>
  <c r="K59" i="1"/>
  <c r="J59" i="1"/>
  <c r="O58" i="1"/>
  <c r="N58" i="1"/>
  <c r="M58" i="1"/>
  <c r="K58" i="1"/>
  <c r="J58" i="1"/>
  <c r="O57" i="1"/>
  <c r="N57" i="1"/>
  <c r="M57" i="1"/>
  <c r="K57" i="1"/>
  <c r="J57" i="1"/>
  <c r="O56" i="1"/>
  <c r="N56" i="1"/>
  <c r="M56" i="1"/>
  <c r="K56" i="1"/>
  <c r="J56" i="1"/>
  <c r="O55" i="1"/>
  <c r="N55" i="1"/>
  <c r="M55" i="1"/>
  <c r="K55" i="1"/>
  <c r="J55" i="1"/>
  <c r="O54" i="1"/>
  <c r="N54" i="1"/>
  <c r="M54" i="1"/>
  <c r="K54" i="1"/>
  <c r="J54" i="1"/>
  <c r="O53" i="1"/>
  <c r="N53" i="1"/>
  <c r="M53" i="1"/>
  <c r="K53" i="1"/>
  <c r="J53" i="1"/>
  <c r="O52" i="1"/>
  <c r="N52" i="1"/>
  <c r="M52" i="1"/>
  <c r="K52" i="1"/>
  <c r="J52" i="1"/>
  <c r="O51" i="1"/>
  <c r="N51" i="1"/>
  <c r="M51" i="1"/>
  <c r="K51" i="1"/>
  <c r="J51" i="1"/>
  <c r="O50" i="1"/>
  <c r="N50" i="1"/>
  <c r="M50" i="1"/>
  <c r="K50" i="1"/>
  <c r="J50" i="1"/>
  <c r="O49" i="1"/>
  <c r="N49" i="1"/>
  <c r="M49" i="1"/>
  <c r="K49" i="1"/>
  <c r="J49" i="1"/>
  <c r="O48" i="1"/>
  <c r="N48" i="1"/>
  <c r="M48" i="1"/>
  <c r="K48" i="1"/>
  <c r="J48" i="1"/>
  <c r="O47" i="1"/>
  <c r="N47" i="1"/>
  <c r="M47" i="1"/>
  <c r="K47" i="1"/>
  <c r="J47" i="1"/>
  <c r="O46" i="1"/>
  <c r="N46" i="1"/>
  <c r="M46" i="1"/>
  <c r="K46" i="1"/>
  <c r="J46" i="1"/>
  <c r="O45" i="1"/>
  <c r="N45" i="1"/>
  <c r="M45" i="1"/>
  <c r="K45" i="1"/>
  <c r="J45" i="1"/>
  <c r="O44" i="1"/>
  <c r="N44" i="1"/>
  <c r="M44" i="1"/>
  <c r="K44" i="1"/>
  <c r="J44" i="1"/>
  <c r="O43" i="1"/>
  <c r="N43" i="1"/>
  <c r="M43" i="1"/>
  <c r="K43" i="1"/>
  <c r="J43" i="1"/>
  <c r="O42" i="1"/>
  <c r="N42" i="1"/>
  <c r="M42" i="1"/>
  <c r="K42" i="1"/>
  <c r="J42" i="1"/>
  <c r="O41" i="1"/>
  <c r="N41" i="1"/>
  <c r="M41" i="1"/>
  <c r="K41" i="1"/>
  <c r="J41" i="1"/>
  <c r="O40" i="1"/>
  <c r="N40" i="1"/>
  <c r="M40" i="1"/>
  <c r="K40" i="1"/>
  <c r="J40" i="1"/>
  <c r="O39" i="1"/>
  <c r="N39" i="1"/>
  <c r="M39" i="1"/>
  <c r="K39" i="1"/>
  <c r="J39" i="1"/>
  <c r="O38" i="1"/>
  <c r="N38" i="1"/>
  <c r="M38" i="1"/>
  <c r="K38" i="1"/>
  <c r="J38" i="1"/>
  <c r="O37" i="1"/>
  <c r="N37" i="1"/>
  <c r="M37" i="1"/>
  <c r="K37" i="1"/>
  <c r="J37" i="1"/>
  <c r="O36" i="1"/>
  <c r="N36" i="1"/>
  <c r="M36" i="1"/>
  <c r="K36" i="1"/>
  <c r="J36" i="1"/>
  <c r="O35" i="1"/>
  <c r="N35" i="1"/>
  <c r="M35" i="1"/>
  <c r="K35" i="1"/>
  <c r="J35" i="1"/>
  <c r="O34" i="1"/>
  <c r="N34" i="1"/>
  <c r="M34" i="1"/>
  <c r="K34" i="1"/>
  <c r="J34" i="1"/>
  <c r="O33" i="1"/>
  <c r="N33" i="1"/>
  <c r="M33" i="1"/>
  <c r="K33" i="1"/>
  <c r="J33" i="1"/>
  <c r="O32" i="1"/>
  <c r="N32" i="1"/>
  <c r="M32" i="1"/>
  <c r="K32" i="1"/>
  <c r="J32" i="1"/>
  <c r="O31" i="1"/>
  <c r="N31" i="1"/>
  <c r="M31" i="1"/>
  <c r="K31" i="1"/>
  <c r="J31" i="1"/>
  <c r="O30" i="1"/>
  <c r="N30" i="1"/>
  <c r="M30" i="1"/>
  <c r="L30" i="1"/>
  <c r="K30" i="1"/>
  <c r="J30" i="1"/>
  <c r="C30" i="1"/>
  <c r="O29" i="1"/>
  <c r="N29" i="1"/>
  <c r="M29" i="1"/>
  <c r="K29" i="1"/>
  <c r="J29" i="1"/>
  <c r="O28" i="1"/>
  <c r="N28" i="1"/>
  <c r="M28" i="1"/>
  <c r="K28" i="1"/>
  <c r="J28" i="1"/>
  <c r="O27" i="1"/>
  <c r="N27" i="1"/>
  <c r="M27" i="1"/>
  <c r="K27" i="1"/>
  <c r="J27" i="1"/>
  <c r="O26" i="1"/>
  <c r="N26" i="1"/>
  <c r="M26" i="1"/>
  <c r="K26" i="1"/>
  <c r="J26" i="1"/>
  <c r="O25" i="1"/>
  <c r="N25" i="1"/>
  <c r="M25" i="1"/>
  <c r="K25" i="1"/>
  <c r="J25" i="1"/>
  <c r="O24" i="1"/>
  <c r="N24" i="1"/>
  <c r="M24" i="1"/>
  <c r="K24" i="1"/>
  <c r="J24" i="1"/>
  <c r="O23" i="1"/>
  <c r="N23" i="1"/>
  <c r="M23" i="1"/>
  <c r="K23" i="1"/>
  <c r="J23" i="1"/>
  <c r="O22" i="1"/>
  <c r="N22" i="1"/>
  <c r="M22" i="1"/>
  <c r="K22" i="1"/>
  <c r="J22" i="1"/>
  <c r="O21" i="1"/>
  <c r="N21" i="1"/>
  <c r="M21" i="1"/>
  <c r="K21" i="1"/>
  <c r="J21" i="1"/>
  <c r="O20" i="1"/>
  <c r="N20" i="1"/>
  <c r="M20" i="1"/>
  <c r="K20" i="1"/>
  <c r="J20" i="1"/>
  <c r="O19" i="1"/>
  <c r="N19" i="1"/>
  <c r="M19" i="1"/>
  <c r="K19" i="1"/>
  <c r="J19" i="1"/>
  <c r="O18" i="1"/>
  <c r="N18" i="1"/>
  <c r="M18" i="1"/>
  <c r="K18" i="1"/>
  <c r="J18" i="1"/>
  <c r="O17" i="1"/>
  <c r="N17" i="1"/>
  <c r="M17" i="1"/>
  <c r="K17" i="1"/>
  <c r="J17" i="1"/>
  <c r="O16" i="1"/>
  <c r="N16" i="1"/>
  <c r="M16" i="1"/>
  <c r="K16" i="1"/>
  <c r="J16" i="1"/>
  <c r="O15" i="1"/>
  <c r="N15" i="1"/>
  <c r="M15" i="1"/>
  <c r="K15" i="1"/>
  <c r="J15" i="1"/>
  <c r="O14" i="1"/>
  <c r="N14" i="1"/>
  <c r="M14" i="1"/>
  <c r="K14" i="1"/>
  <c r="J14" i="1"/>
  <c r="O13" i="1"/>
  <c r="N13" i="1"/>
  <c r="M13" i="1"/>
  <c r="K13" i="1"/>
  <c r="J13" i="1"/>
  <c r="O12" i="1"/>
  <c r="N12" i="1"/>
  <c r="M12" i="1"/>
  <c r="K12" i="1"/>
  <c r="J12" i="1"/>
  <c r="J207" i="8"/>
  <c r="K207" i="8" s="1"/>
  <c r="L206" i="8"/>
  <c r="M206" i="8" s="1"/>
  <c r="N206" i="8" s="1"/>
  <c r="O206" i="8" s="1"/>
  <c r="J206" i="8"/>
  <c r="K206" i="8" s="1"/>
  <c r="M205" i="8"/>
  <c r="N205" i="8" s="1"/>
  <c r="O205" i="8" s="1"/>
  <c r="J205" i="8"/>
  <c r="K205" i="8" s="1"/>
  <c r="L204" i="8"/>
  <c r="M204" i="8" s="1"/>
  <c r="N204" i="8" s="1"/>
  <c r="O204" i="8" s="1"/>
  <c r="J204" i="8"/>
  <c r="K204" i="8" s="1"/>
  <c r="L202" i="8"/>
  <c r="M202" i="8" s="1"/>
  <c r="N202" i="8" s="1"/>
  <c r="O202" i="8" s="1"/>
  <c r="J202" i="8"/>
  <c r="K202" i="8" s="1"/>
  <c r="L199" i="8"/>
  <c r="M199" i="8" s="1"/>
  <c r="N199" i="8" s="1"/>
  <c r="O199" i="8" s="1"/>
  <c r="J199" i="8"/>
  <c r="I200" i="8" s="1"/>
  <c r="J200" i="8" s="1"/>
  <c r="K200" i="8" s="1"/>
  <c r="L197" i="8"/>
  <c r="L198" i="8" s="1"/>
  <c r="M198" i="8" s="1"/>
  <c r="J197" i="8"/>
  <c r="I198" i="8" s="1"/>
  <c r="J198" i="8" s="1"/>
  <c r="K198" i="8" s="1"/>
  <c r="M194" i="8"/>
  <c r="N194" i="8" s="1"/>
  <c r="O194" i="8" s="1"/>
  <c r="J194" i="8"/>
  <c r="K194" i="8" s="1"/>
  <c r="M193" i="8"/>
  <c r="N193" i="8" s="1"/>
  <c r="O193" i="8" s="1"/>
  <c r="J193" i="8"/>
  <c r="K193" i="8" s="1"/>
  <c r="L191" i="8"/>
  <c r="L192" i="8" s="1"/>
  <c r="M192" i="8" s="1"/>
  <c r="J191" i="8"/>
  <c r="I192" i="8" s="1"/>
  <c r="J192" i="8" s="1"/>
  <c r="K192" i="8" s="1"/>
  <c r="L187" i="8"/>
  <c r="M187" i="8" s="1"/>
  <c r="N187" i="8" s="1"/>
  <c r="O187" i="8" s="1"/>
  <c r="J187" i="8"/>
  <c r="K187" i="8" s="1"/>
  <c r="L186" i="8"/>
  <c r="M186" i="8" s="1"/>
  <c r="N186" i="8" s="1"/>
  <c r="O186" i="8" s="1"/>
  <c r="J186" i="8"/>
  <c r="K186" i="8" s="1"/>
  <c r="L182" i="8"/>
  <c r="L183" i="8" s="1"/>
  <c r="M183" i="8" s="1"/>
  <c r="J182" i="8"/>
  <c r="I183" i="8" s="1"/>
  <c r="J183" i="8" s="1"/>
  <c r="K183" i="8" s="1"/>
  <c r="L180" i="8"/>
  <c r="M180" i="8" s="1"/>
  <c r="N180" i="8" s="1"/>
  <c r="O180" i="8" s="1"/>
  <c r="J180" i="8"/>
  <c r="K180" i="8" s="1"/>
  <c r="L178" i="8"/>
  <c r="L179" i="8" s="1"/>
  <c r="M179" i="8" s="1"/>
  <c r="J178" i="8"/>
  <c r="K178" i="8" s="1"/>
  <c r="L176" i="8"/>
  <c r="M176" i="8" s="1"/>
  <c r="N176" i="8" s="1"/>
  <c r="O176" i="8" s="1"/>
  <c r="J176" i="8"/>
  <c r="K176" i="8" s="1"/>
  <c r="M175" i="8"/>
  <c r="N175" i="8" s="1"/>
  <c r="O175" i="8" s="1"/>
  <c r="J175" i="8"/>
  <c r="K175" i="8" s="1"/>
  <c r="M174" i="8"/>
  <c r="N174" i="8" s="1"/>
  <c r="O174" i="8" s="1"/>
  <c r="J174" i="8"/>
  <c r="K174" i="8" s="1"/>
  <c r="M173" i="8"/>
  <c r="N173" i="8" s="1"/>
  <c r="O173" i="8" s="1"/>
  <c r="J173" i="8"/>
  <c r="K173" i="8" s="1"/>
  <c r="L169" i="8"/>
  <c r="M169" i="8" s="1"/>
  <c r="N169" i="8" s="1"/>
  <c r="O169" i="8" s="1"/>
  <c r="J169" i="8"/>
  <c r="I170" i="8" s="1"/>
  <c r="J170" i="8" s="1"/>
  <c r="K170" i="8" s="1"/>
  <c r="L167" i="8"/>
  <c r="M167" i="8" s="1"/>
  <c r="N167" i="8" s="1"/>
  <c r="O167" i="8" s="1"/>
  <c r="J167" i="8"/>
  <c r="K167" i="8" s="1"/>
  <c r="M166" i="8"/>
  <c r="N166" i="8" s="1"/>
  <c r="O166" i="8" s="1"/>
  <c r="J166" i="8"/>
  <c r="K166" i="8" s="1"/>
  <c r="M163" i="8"/>
  <c r="N163" i="8" s="1"/>
  <c r="J163" i="8"/>
  <c r="L162" i="8"/>
  <c r="M162" i="8" s="1"/>
  <c r="N162" i="8" s="1"/>
  <c r="J162" i="8"/>
  <c r="M161" i="8"/>
  <c r="N161" i="8" s="1"/>
  <c r="J161" i="8"/>
  <c r="L160" i="8"/>
  <c r="M160" i="8" s="1"/>
  <c r="N160" i="8" s="1"/>
  <c r="J160" i="8"/>
  <c r="M159" i="8"/>
  <c r="N159" i="8" s="1"/>
  <c r="J159" i="8"/>
  <c r="L158" i="8"/>
  <c r="M158" i="8" s="1"/>
  <c r="N158" i="8" s="1"/>
  <c r="J158" i="8"/>
  <c r="M153" i="8"/>
  <c r="N153" i="8" s="1"/>
  <c r="J153" i="8"/>
  <c r="L152" i="8"/>
  <c r="M152" i="8" s="1"/>
  <c r="N152" i="8" s="1"/>
  <c r="J152" i="8"/>
  <c r="M146" i="8"/>
  <c r="N146" i="8" s="1"/>
  <c r="J146" i="8"/>
  <c r="M142" i="8"/>
  <c r="N142" i="8" s="1"/>
  <c r="J142" i="8"/>
  <c r="L141" i="8"/>
  <c r="M141" i="8" s="1"/>
  <c r="N141" i="8" s="1"/>
  <c r="J141" i="8"/>
  <c r="L140" i="8"/>
  <c r="M140" i="8" s="1"/>
  <c r="N140" i="8" s="1"/>
  <c r="J140" i="8"/>
  <c r="J139" i="8"/>
  <c r="M138" i="8"/>
  <c r="N138" i="8" s="1"/>
  <c r="J138" i="8"/>
  <c r="L137" i="8"/>
  <c r="M137" i="8" s="1"/>
  <c r="N137" i="8" s="1"/>
  <c r="J137" i="8"/>
  <c r="M136" i="8"/>
  <c r="N136" i="8" s="1"/>
  <c r="J136" i="8"/>
  <c r="M135" i="8"/>
  <c r="N135" i="8" s="1"/>
  <c r="J135" i="8"/>
  <c r="M134" i="8"/>
  <c r="N134" i="8" s="1"/>
  <c r="J134" i="8"/>
  <c r="L133" i="8"/>
  <c r="M133" i="8" s="1"/>
  <c r="N133" i="8" s="1"/>
  <c r="J133" i="8"/>
  <c r="L132" i="8"/>
  <c r="M132" i="8" s="1"/>
  <c r="N132" i="8" s="1"/>
  <c r="J132" i="8"/>
  <c r="L131" i="8"/>
  <c r="M131" i="8" s="1"/>
  <c r="N131" i="8" s="1"/>
  <c r="J131" i="8"/>
  <c r="M130" i="8"/>
  <c r="N130" i="8" s="1"/>
  <c r="J130" i="8"/>
  <c r="M129" i="8"/>
  <c r="N129" i="8" s="1"/>
  <c r="J129" i="8"/>
  <c r="L128" i="8"/>
  <c r="M128" i="8" s="1"/>
  <c r="N128" i="8" s="1"/>
  <c r="J128" i="8"/>
  <c r="M127" i="8"/>
  <c r="N127" i="8" s="1"/>
  <c r="J127" i="8"/>
  <c r="M126" i="8"/>
  <c r="N126" i="8" s="1"/>
  <c r="J126" i="8"/>
  <c r="M125" i="8"/>
  <c r="N125" i="8" s="1"/>
  <c r="J125" i="8"/>
  <c r="M124" i="8"/>
  <c r="N124" i="8" s="1"/>
  <c r="J124" i="8"/>
  <c r="M123" i="8"/>
  <c r="N123" i="8" s="1"/>
  <c r="J123" i="8"/>
  <c r="M122" i="8"/>
  <c r="N122" i="8" s="1"/>
  <c r="J122" i="8"/>
  <c r="M121" i="8"/>
  <c r="N121" i="8" s="1"/>
  <c r="J121" i="8"/>
  <c r="M120" i="8"/>
  <c r="N120" i="8" s="1"/>
  <c r="J120" i="8"/>
  <c r="M119" i="8"/>
  <c r="N119" i="8" s="1"/>
  <c r="J119" i="8"/>
  <c r="M118" i="8"/>
  <c r="N118" i="8" s="1"/>
  <c r="J118" i="8"/>
  <c r="M117" i="8"/>
  <c r="N117" i="8" s="1"/>
  <c r="J117" i="8"/>
  <c r="M116" i="8"/>
  <c r="N116" i="8" s="1"/>
  <c r="J116" i="8"/>
  <c r="M115" i="8"/>
  <c r="N115" i="8" s="1"/>
  <c r="J115" i="8"/>
  <c r="L114" i="8"/>
  <c r="M114" i="8" s="1"/>
  <c r="N114" i="8" s="1"/>
  <c r="J114" i="8"/>
  <c r="M113" i="8"/>
  <c r="N113" i="8" s="1"/>
  <c r="J113" i="8"/>
  <c r="L107" i="8"/>
  <c r="M107" i="8" s="1"/>
  <c r="N107" i="8" s="1"/>
  <c r="J107" i="8"/>
  <c r="L106" i="8"/>
  <c r="M106" i="8" s="1"/>
  <c r="N106" i="8" s="1"/>
  <c r="J106" i="8"/>
  <c r="L90" i="8"/>
  <c r="B20" i="7" s="1"/>
  <c r="M88" i="8"/>
  <c r="N88" i="8" s="1"/>
  <c r="O88" i="8" s="1"/>
  <c r="J88" i="8"/>
  <c r="K88" i="8" s="1"/>
  <c r="M87" i="8"/>
  <c r="N87" i="8" s="1"/>
  <c r="O87" i="8" s="1"/>
  <c r="J87" i="8"/>
  <c r="K87" i="8" s="1"/>
  <c r="M86" i="8"/>
  <c r="N86" i="8" s="1"/>
  <c r="J86" i="8"/>
  <c r="K86" i="8" s="1"/>
  <c r="L73" i="8"/>
  <c r="B12" i="7" s="1"/>
  <c r="O73" i="8"/>
  <c r="M66" i="8"/>
  <c r="J66" i="8"/>
  <c r="K66" i="8" s="1"/>
  <c r="M64" i="8"/>
  <c r="N64" i="8" s="1"/>
  <c r="O64" i="8" s="1"/>
  <c r="J64" i="8"/>
  <c r="K64" i="8" s="1"/>
  <c r="M63" i="8"/>
  <c r="N63" i="8" s="1"/>
  <c r="O63" i="8" s="1"/>
  <c r="J63" i="8"/>
  <c r="K63" i="8" s="1"/>
  <c r="L62" i="8"/>
  <c r="M62" i="8" s="1"/>
  <c r="N62" i="8" s="1"/>
  <c r="O62" i="8" s="1"/>
  <c r="J62" i="8"/>
  <c r="K62" i="8" s="1"/>
  <c r="M61" i="8"/>
  <c r="N61" i="8" s="1"/>
  <c r="J61" i="8"/>
  <c r="K61" i="8" s="1"/>
  <c r="M56" i="8"/>
  <c r="N56" i="8" s="1"/>
  <c r="O56" i="8" s="1"/>
  <c r="J56" i="8"/>
  <c r="K56" i="8" s="1"/>
  <c r="L55" i="8"/>
  <c r="M55" i="8" s="1"/>
  <c r="N55" i="8" s="1"/>
  <c r="O55" i="8" s="1"/>
  <c r="J55" i="8"/>
  <c r="K55" i="8" s="1"/>
  <c r="L54" i="8"/>
  <c r="L58" i="8" s="1"/>
  <c r="J54" i="8"/>
  <c r="K54" i="8" s="1"/>
  <c r="M53" i="8"/>
  <c r="J53" i="8"/>
  <c r="K53" i="8" s="1"/>
  <c r="M44" i="8"/>
  <c r="N44" i="8" s="1"/>
  <c r="O44" i="8" s="1"/>
  <c r="J44" i="8"/>
  <c r="K44" i="8" s="1"/>
  <c r="M43" i="8"/>
  <c r="N43" i="8" s="1"/>
  <c r="O43" i="8" s="1"/>
  <c r="J43" i="8"/>
  <c r="K43" i="8" s="1"/>
  <c r="M42" i="8"/>
  <c r="N42" i="8" s="1"/>
  <c r="O42" i="8" s="1"/>
  <c r="J42" i="8"/>
  <c r="K42" i="8" s="1"/>
  <c r="M41" i="8"/>
  <c r="N41" i="8" s="1"/>
  <c r="O41" i="8" s="1"/>
  <c r="J41" i="8"/>
  <c r="K41" i="8" s="1"/>
  <c r="M40" i="8"/>
  <c r="N40" i="8" s="1"/>
  <c r="O40" i="8" s="1"/>
  <c r="J40" i="8"/>
  <c r="K40" i="8" s="1"/>
  <c r="M39" i="8"/>
  <c r="N39" i="8" s="1"/>
  <c r="O39" i="8" s="1"/>
  <c r="J39" i="8"/>
  <c r="K39" i="8" s="1"/>
  <c r="L38" i="8"/>
  <c r="M38" i="8" s="1"/>
  <c r="N38" i="8" s="1"/>
  <c r="O38" i="8" s="1"/>
  <c r="J38" i="8"/>
  <c r="K38" i="8" s="1"/>
  <c r="L37" i="8"/>
  <c r="M37" i="8" s="1"/>
  <c r="N37" i="8" s="1"/>
  <c r="O37" i="8" s="1"/>
  <c r="J37" i="8"/>
  <c r="K37" i="8" s="1"/>
  <c r="M36" i="8"/>
  <c r="N36" i="8" s="1"/>
  <c r="O36" i="8" s="1"/>
  <c r="J36" i="8"/>
  <c r="K36" i="8" s="1"/>
  <c r="L35" i="8"/>
  <c r="M35" i="8" s="1"/>
  <c r="N35" i="8" s="1"/>
  <c r="O35" i="8" s="1"/>
  <c r="J35" i="8"/>
  <c r="K35" i="8" s="1"/>
  <c r="L34" i="8"/>
  <c r="M34" i="8" s="1"/>
  <c r="N34" i="8" s="1"/>
  <c r="O34" i="8" s="1"/>
  <c r="J34" i="8"/>
  <c r="K34" i="8" s="1"/>
  <c r="L33" i="8"/>
  <c r="M33" i="8" s="1"/>
  <c r="N33" i="8" s="1"/>
  <c r="O33" i="8" s="1"/>
  <c r="J33" i="8"/>
  <c r="K33" i="8" s="1"/>
  <c r="L31" i="8"/>
  <c r="M31" i="8" s="1"/>
  <c r="N31" i="8" s="1"/>
  <c r="O31" i="8" s="1"/>
  <c r="J31" i="8"/>
  <c r="K31" i="8" s="1"/>
  <c r="L30" i="8"/>
  <c r="M30" i="8" s="1"/>
  <c r="N30" i="8" s="1"/>
  <c r="O30" i="8" s="1"/>
  <c r="J30" i="8"/>
  <c r="K30" i="8" s="1"/>
  <c r="M29" i="8"/>
  <c r="N29" i="8" s="1"/>
  <c r="O29" i="8" s="1"/>
  <c r="J29" i="8"/>
  <c r="K29" i="8" s="1"/>
  <c r="M28" i="8"/>
  <c r="N28" i="8" s="1"/>
  <c r="O28" i="8" s="1"/>
  <c r="J28" i="8"/>
  <c r="K28" i="8" s="1"/>
  <c r="M27" i="8"/>
  <c r="N27" i="8" s="1"/>
  <c r="O27" i="8" s="1"/>
  <c r="J27" i="8"/>
  <c r="K27" i="8" s="1"/>
  <c r="L26" i="8"/>
  <c r="M26" i="8" s="1"/>
  <c r="N26" i="8" s="1"/>
  <c r="O26" i="8" s="1"/>
  <c r="J26" i="8"/>
  <c r="K26" i="8" s="1"/>
  <c r="M25" i="8"/>
  <c r="N25" i="8" s="1"/>
  <c r="O25" i="8" s="1"/>
  <c r="J25" i="8"/>
  <c r="K25" i="8" s="1"/>
  <c r="M24" i="8"/>
  <c r="N24" i="8" s="1"/>
  <c r="O24" i="8" s="1"/>
  <c r="J24" i="8"/>
  <c r="K24" i="8" s="1"/>
  <c r="M23" i="8"/>
  <c r="N23" i="8" s="1"/>
  <c r="O23" i="8" s="1"/>
  <c r="J23" i="8"/>
  <c r="K23" i="8" s="1"/>
  <c r="M22" i="8"/>
  <c r="N22" i="8" s="1"/>
  <c r="O22" i="8" s="1"/>
  <c r="J22" i="8"/>
  <c r="K22" i="8" s="1"/>
  <c r="M21" i="8"/>
  <c r="N21" i="8" s="1"/>
  <c r="O21" i="8" s="1"/>
  <c r="J21" i="8"/>
  <c r="K21" i="8" s="1"/>
  <c r="J20" i="8"/>
  <c r="K20" i="8" s="1"/>
  <c r="L19" i="8"/>
  <c r="M19" i="8" s="1"/>
  <c r="N19" i="8" s="1"/>
  <c r="O19" i="8" s="1"/>
  <c r="J19" i="8"/>
  <c r="K19" i="8" s="1"/>
  <c r="J18" i="8"/>
  <c r="K18" i="8" s="1"/>
  <c r="L17" i="8"/>
  <c r="M17" i="8" s="1"/>
  <c r="N17" i="8" s="1"/>
  <c r="O17" i="8" s="1"/>
  <c r="J17" i="8"/>
  <c r="K17" i="8" s="1"/>
  <c r="J15" i="8"/>
  <c r="K15" i="8" s="1"/>
  <c r="L14" i="8"/>
  <c r="J14" i="8"/>
  <c r="K14" i="8" s="1"/>
  <c r="Q11" i="8"/>
  <c r="Q10" i="1" s="1"/>
  <c r="N5" i="8"/>
  <c r="N5" i="4" s="1"/>
  <c r="N4" i="8"/>
  <c r="N3" i="8"/>
  <c r="N2" i="8"/>
  <c r="N2" i="4" s="1"/>
  <c r="M65" i="15"/>
  <c r="N64" i="15"/>
  <c r="P64" i="15" s="1"/>
  <c r="M64" i="15"/>
  <c r="R63" i="15"/>
  <c r="W16" i="7" s="1"/>
  <c r="P63" i="15"/>
  <c r="T16" i="7" s="1"/>
  <c r="M63" i="15"/>
  <c r="S62" i="15"/>
  <c r="R62" i="15"/>
  <c r="P62" i="15"/>
  <c r="M62" i="15"/>
  <c r="AE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BF52" i="15"/>
  <c r="BD52" i="15"/>
  <c r="BC52" i="15"/>
  <c r="BB52" i="15"/>
  <c r="BE52" i="15" s="1"/>
  <c r="AZ52" i="15"/>
  <c r="AY52" i="15"/>
  <c r="AX52" i="15"/>
  <c r="AV52" i="15"/>
  <c r="AU52" i="15"/>
  <c r="AS52" i="15"/>
  <c r="AR52" i="15"/>
  <c r="AQ52" i="15"/>
  <c r="AE52" i="15"/>
  <c r="B52" i="15"/>
  <c r="A52" i="15"/>
  <c r="BF51" i="15"/>
  <c r="BD51" i="15"/>
  <c r="BC51" i="15"/>
  <c r="BB51" i="15"/>
  <c r="BE51" i="15" s="1"/>
  <c r="AZ51" i="15"/>
  <c r="AY51" i="15"/>
  <c r="AX51" i="15"/>
  <c r="AV51" i="15"/>
  <c r="AU51" i="15"/>
  <c r="AS51" i="15"/>
  <c r="AR51" i="15"/>
  <c r="AQ51" i="15"/>
  <c r="AE51" i="15"/>
  <c r="B51" i="15"/>
  <c r="A51" i="15"/>
  <c r="BF50" i="15"/>
  <c r="BD50" i="15"/>
  <c r="BC50" i="15"/>
  <c r="BB50" i="15"/>
  <c r="BE50" i="15" s="1"/>
  <c r="AZ50" i="15"/>
  <c r="AY50" i="15"/>
  <c r="AX50" i="15"/>
  <c r="AV50" i="15"/>
  <c r="AU50" i="15"/>
  <c r="AS50" i="15"/>
  <c r="AR50" i="15"/>
  <c r="AQ50" i="15"/>
  <c r="AE50" i="15"/>
  <c r="B50" i="15"/>
  <c r="A50" i="15"/>
  <c r="BF49" i="15"/>
  <c r="BD49" i="15"/>
  <c r="BC49" i="15"/>
  <c r="BB49" i="15"/>
  <c r="BE49" i="15" s="1"/>
  <c r="AZ49" i="15"/>
  <c r="AY49" i="15"/>
  <c r="AX49" i="15"/>
  <c r="AV49" i="15"/>
  <c r="AU49" i="15"/>
  <c r="AS49" i="15"/>
  <c r="AR49" i="15"/>
  <c r="AQ49" i="15"/>
  <c r="AE49" i="15"/>
  <c r="B49" i="15"/>
  <c r="A49" i="15"/>
  <c r="BF48" i="15"/>
  <c r="BD48" i="15"/>
  <c r="BC48" i="15"/>
  <c r="BB48" i="15"/>
  <c r="BE48" i="15" s="1"/>
  <c r="AZ48" i="15"/>
  <c r="AY48" i="15"/>
  <c r="AX48" i="15"/>
  <c r="AV48" i="15"/>
  <c r="AU48" i="15"/>
  <c r="AS48" i="15"/>
  <c r="AR48" i="15"/>
  <c r="AQ48" i="15"/>
  <c r="AE48" i="15"/>
  <c r="B48" i="15"/>
  <c r="A48" i="15"/>
  <c r="BF47" i="15"/>
  <c r="BD47" i="15"/>
  <c r="BC47" i="15"/>
  <c r="BB47" i="15"/>
  <c r="BE47" i="15" s="1"/>
  <c r="AZ47" i="15"/>
  <c r="AY47" i="15"/>
  <c r="AX47" i="15"/>
  <c r="AV47" i="15"/>
  <c r="AU47" i="15"/>
  <c r="AS47" i="15"/>
  <c r="AR47" i="15"/>
  <c r="AQ47" i="15"/>
  <c r="AE47" i="15"/>
  <c r="B47" i="15"/>
  <c r="A47" i="15"/>
  <c r="BF46" i="15"/>
  <c r="BD46" i="15"/>
  <c r="BC46" i="15"/>
  <c r="BB46" i="15"/>
  <c r="BE46" i="15" s="1"/>
  <c r="AZ46" i="15"/>
  <c r="AY46" i="15"/>
  <c r="AX46" i="15"/>
  <c r="AV46" i="15"/>
  <c r="AU46" i="15"/>
  <c r="AS46" i="15"/>
  <c r="AR46" i="15"/>
  <c r="AQ46" i="15"/>
  <c r="AE46" i="15"/>
  <c r="B46" i="15"/>
  <c r="A46" i="15"/>
  <c r="BF45" i="15"/>
  <c r="BD45" i="15"/>
  <c r="BC45" i="15"/>
  <c r="BB45" i="15"/>
  <c r="BE45" i="15" s="1"/>
  <c r="AZ45" i="15"/>
  <c r="AY45" i="15"/>
  <c r="AX45" i="15"/>
  <c r="AV45" i="15"/>
  <c r="AU45" i="15"/>
  <c r="AS45" i="15"/>
  <c r="AR45" i="15"/>
  <c r="AQ45" i="15"/>
  <c r="AE45" i="15"/>
  <c r="B45" i="15"/>
  <c r="A45" i="15"/>
  <c r="BF44" i="15"/>
  <c r="BD44" i="15"/>
  <c r="BC44" i="15"/>
  <c r="BB44" i="15"/>
  <c r="BE44" i="15" s="1"/>
  <c r="AZ44" i="15"/>
  <c r="AY44" i="15"/>
  <c r="AX44" i="15"/>
  <c r="AV44" i="15"/>
  <c r="AU44" i="15"/>
  <c r="AS44" i="15"/>
  <c r="AR44" i="15"/>
  <c r="AQ44" i="15"/>
  <c r="AE44" i="15"/>
  <c r="B44" i="15"/>
  <c r="A44" i="15"/>
  <c r="BF43" i="15"/>
  <c r="BD43" i="15"/>
  <c r="BC43" i="15"/>
  <c r="BB43" i="15"/>
  <c r="BE43" i="15" s="1"/>
  <c r="AZ43" i="15"/>
  <c r="AY43" i="15"/>
  <c r="AX43" i="15"/>
  <c r="AV43" i="15"/>
  <c r="AU43" i="15"/>
  <c r="AS43" i="15"/>
  <c r="AR43" i="15"/>
  <c r="AQ43" i="15"/>
  <c r="AE43" i="15"/>
  <c r="B43" i="15"/>
  <c r="A43" i="15"/>
  <c r="BF42" i="15"/>
  <c r="BD42" i="15"/>
  <c r="BC42" i="15"/>
  <c r="BB42" i="15"/>
  <c r="BE42" i="15" s="1"/>
  <c r="AZ42" i="15"/>
  <c r="AY42" i="15"/>
  <c r="AX42" i="15"/>
  <c r="AV42" i="15"/>
  <c r="AU42" i="15"/>
  <c r="AS42" i="15"/>
  <c r="AR42" i="15"/>
  <c r="AQ42" i="15"/>
  <c r="AE42" i="15"/>
  <c r="B42" i="15"/>
  <c r="A42" i="15"/>
  <c r="BF41" i="15"/>
  <c r="BD41" i="15"/>
  <c r="BC41" i="15"/>
  <c r="BB41" i="15"/>
  <c r="BE41" i="15" s="1"/>
  <c r="AZ41" i="15"/>
  <c r="AY41" i="15"/>
  <c r="AX41" i="15"/>
  <c r="AV41" i="15"/>
  <c r="AU41" i="15"/>
  <c r="AS41" i="15"/>
  <c r="AR41" i="15"/>
  <c r="AQ41" i="15"/>
  <c r="AE41" i="15"/>
  <c r="B41" i="15"/>
  <c r="A41" i="15"/>
  <c r="BF40" i="15"/>
  <c r="BD40" i="15"/>
  <c r="BC40" i="15"/>
  <c r="BB40" i="15"/>
  <c r="BE40" i="15" s="1"/>
  <c r="AZ40" i="15"/>
  <c r="AY40" i="15"/>
  <c r="AX40" i="15"/>
  <c r="AV40" i="15"/>
  <c r="AU40" i="15"/>
  <c r="AS40" i="15"/>
  <c r="AR40" i="15"/>
  <c r="AQ40" i="15"/>
  <c r="AE40" i="15"/>
  <c r="B40" i="15"/>
  <c r="A40" i="15"/>
  <c r="BF39" i="15"/>
  <c r="BD39" i="15"/>
  <c r="BC39" i="15"/>
  <c r="BB39" i="15"/>
  <c r="BE39" i="15" s="1"/>
  <c r="AZ39" i="15"/>
  <c r="AY39" i="15"/>
  <c r="AX39" i="15"/>
  <c r="AV39" i="15"/>
  <c r="AU39" i="15"/>
  <c r="AS39" i="15"/>
  <c r="AR39" i="15"/>
  <c r="AQ39" i="15"/>
  <c r="AE39" i="15"/>
  <c r="B39" i="15"/>
  <c r="A39" i="15"/>
  <c r="BF38" i="15"/>
  <c r="BD38" i="15"/>
  <c r="BC38" i="15"/>
  <c r="BB38" i="15"/>
  <c r="BE38" i="15" s="1"/>
  <c r="AZ38" i="15"/>
  <c r="AY38" i="15"/>
  <c r="AX38" i="15"/>
  <c r="AV38" i="15"/>
  <c r="AU38" i="15"/>
  <c r="AS38" i="15"/>
  <c r="AR38" i="15"/>
  <c r="AQ38" i="15"/>
  <c r="AE38" i="15"/>
  <c r="B38" i="15"/>
  <c r="A38" i="15"/>
  <c r="BF37" i="15"/>
  <c r="BD37" i="15"/>
  <c r="BC37" i="15"/>
  <c r="BB37" i="15"/>
  <c r="BE37" i="15" s="1"/>
  <c r="AZ37" i="15"/>
  <c r="AY37" i="15"/>
  <c r="AX37" i="15"/>
  <c r="AV37" i="15"/>
  <c r="AU37" i="15"/>
  <c r="AS37" i="15"/>
  <c r="AR37" i="15"/>
  <c r="AQ37" i="15"/>
  <c r="AE37" i="15"/>
  <c r="B37" i="15"/>
  <c r="A37" i="15"/>
  <c r="BF36" i="15"/>
  <c r="BD36" i="15"/>
  <c r="BC36" i="15"/>
  <c r="BB36" i="15"/>
  <c r="BE36" i="15" s="1"/>
  <c r="AZ36" i="15"/>
  <c r="AY36" i="15"/>
  <c r="AX36" i="15"/>
  <c r="AV36" i="15"/>
  <c r="AU36" i="15"/>
  <c r="AS36" i="15"/>
  <c r="AR36" i="15"/>
  <c r="AQ36" i="15"/>
  <c r="AE36" i="15"/>
  <c r="B36" i="15"/>
  <c r="A36" i="15"/>
  <c r="BF35" i="15"/>
  <c r="BD35" i="15"/>
  <c r="BC35" i="15"/>
  <c r="BB35" i="15"/>
  <c r="BE35" i="15" s="1"/>
  <c r="AZ35" i="15"/>
  <c r="AY35" i="15"/>
  <c r="AX35" i="15"/>
  <c r="AV35" i="15"/>
  <c r="AU35" i="15"/>
  <c r="AS35" i="15"/>
  <c r="AR35" i="15"/>
  <c r="AQ35" i="15"/>
  <c r="AE35" i="15"/>
  <c r="B35" i="15"/>
  <c r="A35" i="15"/>
  <c r="BF34" i="15"/>
  <c r="BD34" i="15"/>
  <c r="BC34" i="15"/>
  <c r="BB34" i="15"/>
  <c r="BE34" i="15" s="1"/>
  <c r="AZ34" i="15"/>
  <c r="AY34" i="15"/>
  <c r="AX34" i="15"/>
  <c r="AV34" i="15"/>
  <c r="AU34" i="15"/>
  <c r="AS34" i="15"/>
  <c r="AR34" i="15"/>
  <c r="AQ34" i="15"/>
  <c r="AE34" i="15"/>
  <c r="B34" i="15"/>
  <c r="A34" i="15"/>
  <c r="BF33" i="15"/>
  <c r="BD33" i="15"/>
  <c r="BC33" i="15"/>
  <c r="BB33" i="15"/>
  <c r="BE33" i="15" s="1"/>
  <c r="AZ33" i="15"/>
  <c r="AY33" i="15"/>
  <c r="AX33" i="15"/>
  <c r="AV33" i="15"/>
  <c r="AU33" i="15"/>
  <c r="AS33" i="15"/>
  <c r="AR33" i="15"/>
  <c r="AQ33" i="15"/>
  <c r="AE33" i="15"/>
  <c r="B33" i="15"/>
  <c r="A33" i="15"/>
  <c r="BF32" i="15"/>
  <c r="BD32" i="15"/>
  <c r="BC32" i="15"/>
  <c r="BB32" i="15"/>
  <c r="BE32" i="15" s="1"/>
  <c r="AZ32" i="15"/>
  <c r="AY32" i="15"/>
  <c r="AX32" i="15"/>
  <c r="AV32" i="15"/>
  <c r="AU32" i="15"/>
  <c r="AS32" i="15"/>
  <c r="AR32" i="15"/>
  <c r="AQ32" i="15"/>
  <c r="AE32" i="15"/>
  <c r="B32" i="15"/>
  <c r="A32" i="15"/>
  <c r="BD31" i="15"/>
  <c r="BC31" i="15"/>
  <c r="BB31" i="15"/>
  <c r="BE31" i="15" s="1"/>
  <c r="BF31" i="15" s="1"/>
  <c r="AY31" i="15"/>
  <c r="AX31" i="15"/>
  <c r="AU31" i="15"/>
  <c r="AV31" i="15" s="1"/>
  <c r="AR31" i="15"/>
  <c r="AS31" i="15" s="1"/>
  <c r="AQ31" i="15"/>
  <c r="AE31" i="15"/>
  <c r="B31" i="15"/>
  <c r="A31" i="15"/>
  <c r="BD30" i="15"/>
  <c r="BC30" i="15"/>
  <c r="BB30" i="15"/>
  <c r="BE30" i="15" s="1"/>
  <c r="BF30" i="15" s="1"/>
  <c r="AY30" i="15"/>
  <c r="AX30" i="15"/>
  <c r="AU30" i="15"/>
  <c r="AV30" i="15" s="1"/>
  <c r="AR30" i="15"/>
  <c r="AS30" i="15" s="1"/>
  <c r="AQ30" i="15"/>
  <c r="AE30" i="15"/>
  <c r="B30" i="15"/>
  <c r="A30" i="15"/>
  <c r="B19" i="15"/>
  <c r="B18" i="15"/>
  <c r="BF6" i="15"/>
  <c r="BD6" i="15"/>
  <c r="BC6" i="15"/>
  <c r="BB6" i="15"/>
  <c r="BE6" i="15" s="1"/>
  <c r="AZ6" i="15"/>
  <c r="AY6" i="15"/>
  <c r="AX6" i="15"/>
  <c r="AV6" i="15"/>
  <c r="AU6" i="15"/>
  <c r="AS6" i="15"/>
  <c r="AR6" i="15"/>
  <c r="AQ6" i="15"/>
  <c r="AE6" i="15"/>
  <c r="B6" i="15"/>
  <c r="A6" i="15"/>
  <c r="AO686" i="14"/>
  <c r="AP686" i="14" s="1"/>
  <c r="AL686" i="14"/>
  <c r="AM686" i="14" s="1"/>
  <c r="AK686" i="14"/>
  <c r="T686" i="14"/>
  <c r="AO685" i="14"/>
  <c r="AP685" i="14" s="1"/>
  <c r="AL685" i="14"/>
  <c r="AM685" i="14" s="1"/>
  <c r="AK685" i="14"/>
  <c r="T685" i="14"/>
  <c r="AO684" i="14"/>
  <c r="AP684" i="14" s="1"/>
  <c r="AL684" i="14"/>
  <c r="AM684" i="14" s="1"/>
  <c r="AK684" i="14"/>
  <c r="T684" i="14"/>
  <c r="AO683" i="14"/>
  <c r="AP683" i="14" s="1"/>
  <c r="AL683" i="14"/>
  <c r="AM683" i="14" s="1"/>
  <c r="AK683" i="14"/>
  <c r="T683" i="14"/>
  <c r="AO682" i="14"/>
  <c r="AP682" i="14" s="1"/>
  <c r="AL682" i="14"/>
  <c r="AM682" i="14" s="1"/>
  <c r="AK682" i="14"/>
  <c r="T682" i="14"/>
  <c r="AO681" i="14"/>
  <c r="AP681" i="14" s="1"/>
  <c r="AL681" i="14"/>
  <c r="AM681" i="14" s="1"/>
  <c r="AK681" i="14"/>
  <c r="T681" i="14"/>
  <c r="AO680" i="14"/>
  <c r="AP680" i="14" s="1"/>
  <c r="AL680" i="14"/>
  <c r="AM680" i="14" s="1"/>
  <c r="AK680" i="14"/>
  <c r="T680" i="14"/>
  <c r="AO679" i="14"/>
  <c r="AP679" i="14" s="1"/>
  <c r="AL679" i="14"/>
  <c r="AM679" i="14" s="1"/>
  <c r="AK679" i="14"/>
  <c r="T679" i="14"/>
  <c r="AO678" i="14"/>
  <c r="AP678" i="14" s="1"/>
  <c r="AL678" i="14"/>
  <c r="AM678" i="14" s="1"/>
  <c r="AK678" i="14"/>
  <c r="T678" i="14"/>
  <c r="AO677" i="14"/>
  <c r="AP677" i="14" s="1"/>
  <c r="AL677" i="14"/>
  <c r="AM677" i="14" s="1"/>
  <c r="AK677" i="14"/>
  <c r="T677" i="14"/>
  <c r="AO676" i="14"/>
  <c r="AP676" i="14" s="1"/>
  <c r="AL676" i="14"/>
  <c r="AM676" i="14" s="1"/>
  <c r="AK676" i="14"/>
  <c r="T676" i="14"/>
  <c r="AO675" i="14"/>
  <c r="AP675" i="14" s="1"/>
  <c r="AL675" i="14"/>
  <c r="AM675" i="14" s="1"/>
  <c r="AK675" i="14"/>
  <c r="T675" i="14"/>
  <c r="AO674" i="14"/>
  <c r="AP674" i="14" s="1"/>
  <c r="AL674" i="14"/>
  <c r="AM674" i="14" s="1"/>
  <c r="AK674" i="14"/>
  <c r="T674" i="14"/>
  <c r="AO673" i="14"/>
  <c r="AP673" i="14" s="1"/>
  <c r="AL673" i="14"/>
  <c r="AM673" i="14" s="1"/>
  <c r="AK673" i="14"/>
  <c r="T673" i="14"/>
  <c r="AO672" i="14"/>
  <c r="AP672" i="14" s="1"/>
  <c r="AL672" i="14"/>
  <c r="AM672" i="14" s="1"/>
  <c r="AK672" i="14"/>
  <c r="T672" i="14"/>
  <c r="AO671" i="14"/>
  <c r="AP671" i="14" s="1"/>
  <c r="AL671" i="14"/>
  <c r="AM671" i="14" s="1"/>
  <c r="AK671" i="14"/>
  <c r="T671" i="14"/>
  <c r="AO670" i="14"/>
  <c r="AP670" i="14" s="1"/>
  <c r="AL670" i="14"/>
  <c r="AM670" i="14" s="1"/>
  <c r="AK670" i="14"/>
  <c r="T670" i="14"/>
  <c r="AO669" i="14"/>
  <c r="AP669" i="14" s="1"/>
  <c r="AL669" i="14"/>
  <c r="AM669" i="14" s="1"/>
  <c r="AK669" i="14"/>
  <c r="T669" i="14"/>
  <c r="AO668" i="14"/>
  <c r="AP668" i="14" s="1"/>
  <c r="AL668" i="14"/>
  <c r="AM668" i="14" s="1"/>
  <c r="AK668" i="14"/>
  <c r="T668" i="14"/>
  <c r="AO667" i="14"/>
  <c r="AP667" i="14" s="1"/>
  <c r="AL667" i="14"/>
  <c r="AM667" i="14" s="1"/>
  <c r="AK667" i="14"/>
  <c r="T667" i="14"/>
  <c r="AO666" i="14"/>
  <c r="AP666" i="14" s="1"/>
  <c r="AL666" i="14"/>
  <c r="AM666" i="14" s="1"/>
  <c r="AK666" i="14"/>
  <c r="T666" i="14"/>
  <c r="AO665" i="14"/>
  <c r="AP665" i="14" s="1"/>
  <c r="AL665" i="14"/>
  <c r="AM665" i="14" s="1"/>
  <c r="AK665" i="14"/>
  <c r="T665" i="14"/>
  <c r="AO664" i="14"/>
  <c r="AP664" i="14" s="1"/>
  <c r="AL664" i="14"/>
  <c r="AM664" i="14" s="1"/>
  <c r="AK664" i="14"/>
  <c r="T664" i="14"/>
  <c r="AO663" i="14"/>
  <c r="AP663" i="14" s="1"/>
  <c r="AL663" i="14"/>
  <c r="AM663" i="14" s="1"/>
  <c r="AK663" i="14"/>
  <c r="T663" i="14"/>
  <c r="AO662" i="14"/>
  <c r="AP662" i="14" s="1"/>
  <c r="AL662" i="14"/>
  <c r="AM662" i="14" s="1"/>
  <c r="AK662" i="14"/>
  <c r="T662" i="14"/>
  <c r="AO661" i="14"/>
  <c r="AP661" i="14" s="1"/>
  <c r="AL661" i="14"/>
  <c r="AM661" i="14" s="1"/>
  <c r="AK661" i="14"/>
  <c r="T661" i="14"/>
  <c r="AO660" i="14"/>
  <c r="AP660" i="14" s="1"/>
  <c r="AL660" i="14"/>
  <c r="AM660" i="14" s="1"/>
  <c r="AK660" i="14"/>
  <c r="T660" i="14"/>
  <c r="AO659" i="14"/>
  <c r="AP659" i="14" s="1"/>
  <c r="AL659" i="14"/>
  <c r="AM659" i="14" s="1"/>
  <c r="AK659" i="14"/>
  <c r="T659" i="14"/>
  <c r="AO658" i="14"/>
  <c r="AP658" i="14" s="1"/>
  <c r="AL658" i="14"/>
  <c r="AM658" i="14" s="1"/>
  <c r="AK658" i="14"/>
  <c r="T658" i="14"/>
  <c r="AO657" i="14"/>
  <c r="AP657" i="14" s="1"/>
  <c r="AL657" i="14"/>
  <c r="AM657" i="14" s="1"/>
  <c r="AK657" i="14"/>
  <c r="T657" i="14"/>
  <c r="AO656" i="14"/>
  <c r="AP656" i="14" s="1"/>
  <c r="AL656" i="14"/>
  <c r="AM656" i="14" s="1"/>
  <c r="AK656" i="14"/>
  <c r="T656" i="14"/>
  <c r="AO655" i="14"/>
  <c r="AP655" i="14" s="1"/>
  <c r="AL655" i="14"/>
  <c r="AM655" i="14" s="1"/>
  <c r="AK655" i="14"/>
  <c r="T655" i="14"/>
  <c r="AO654" i="14"/>
  <c r="AP654" i="14" s="1"/>
  <c r="AL654" i="14"/>
  <c r="AM654" i="14" s="1"/>
  <c r="AK654" i="14"/>
  <c r="T654" i="14"/>
  <c r="AO653" i="14"/>
  <c r="AP653" i="14" s="1"/>
  <c r="AL653" i="14"/>
  <c r="AM653" i="14" s="1"/>
  <c r="AK653" i="14"/>
  <c r="T653" i="14"/>
  <c r="AO652" i="14"/>
  <c r="AP652" i="14" s="1"/>
  <c r="AL652" i="14"/>
  <c r="AM652" i="14" s="1"/>
  <c r="AK652" i="14"/>
  <c r="T652" i="14"/>
  <c r="AO651" i="14"/>
  <c r="AP651" i="14" s="1"/>
  <c r="AL651" i="14"/>
  <c r="AM651" i="14" s="1"/>
  <c r="AK651" i="14"/>
  <c r="T651" i="14"/>
  <c r="AO650" i="14"/>
  <c r="AP650" i="14" s="1"/>
  <c r="AL650" i="14"/>
  <c r="AM650" i="14" s="1"/>
  <c r="AK650" i="14"/>
  <c r="T650" i="14"/>
  <c r="AO649" i="14"/>
  <c r="AP649" i="14" s="1"/>
  <c r="AL649" i="14"/>
  <c r="AM649" i="14" s="1"/>
  <c r="AK649" i="14"/>
  <c r="T649" i="14"/>
  <c r="AO648" i="14"/>
  <c r="AP648" i="14" s="1"/>
  <c r="AL648" i="14"/>
  <c r="AM648" i="14" s="1"/>
  <c r="AK648" i="14"/>
  <c r="T648" i="14"/>
  <c r="AO647" i="14"/>
  <c r="AP647" i="14" s="1"/>
  <c r="AL647" i="14"/>
  <c r="AM647" i="14" s="1"/>
  <c r="AK647" i="14"/>
  <c r="T647" i="14"/>
  <c r="AO646" i="14"/>
  <c r="AP646" i="14" s="1"/>
  <c r="AL646" i="14"/>
  <c r="AM646" i="14" s="1"/>
  <c r="AK646" i="14"/>
  <c r="T646" i="14"/>
  <c r="AO645" i="14"/>
  <c r="AP645" i="14" s="1"/>
  <c r="AL645" i="14"/>
  <c r="AM645" i="14" s="1"/>
  <c r="AK645" i="14"/>
  <c r="T645" i="14"/>
  <c r="AO644" i="14"/>
  <c r="AP644" i="14" s="1"/>
  <c r="AL644" i="14"/>
  <c r="AM644" i="14" s="1"/>
  <c r="AK644" i="14"/>
  <c r="T644" i="14"/>
  <c r="AO643" i="14"/>
  <c r="AP643" i="14" s="1"/>
  <c r="AL643" i="14"/>
  <c r="AM643" i="14" s="1"/>
  <c r="AK643" i="14"/>
  <c r="T643" i="14"/>
  <c r="AO642" i="14"/>
  <c r="AP642" i="14" s="1"/>
  <c r="AL642" i="14"/>
  <c r="AM642" i="14" s="1"/>
  <c r="AK642" i="14"/>
  <c r="T642" i="14"/>
  <c r="AO641" i="14"/>
  <c r="AP641" i="14" s="1"/>
  <c r="AL641" i="14"/>
  <c r="AM641" i="14" s="1"/>
  <c r="AK641" i="14"/>
  <c r="T641" i="14"/>
  <c r="AO640" i="14"/>
  <c r="AP640" i="14" s="1"/>
  <c r="AL640" i="14"/>
  <c r="AM640" i="14" s="1"/>
  <c r="AK640" i="14"/>
  <c r="T640" i="14"/>
  <c r="AO639" i="14"/>
  <c r="AP639" i="14" s="1"/>
  <c r="AL639" i="14"/>
  <c r="AM639" i="14" s="1"/>
  <c r="AK639" i="14"/>
  <c r="T639" i="14"/>
  <c r="AO638" i="14"/>
  <c r="AP638" i="14" s="1"/>
  <c r="AL638" i="14"/>
  <c r="AM638" i="14" s="1"/>
  <c r="AK638" i="14"/>
  <c r="T638" i="14"/>
  <c r="AO637" i="14"/>
  <c r="AP637" i="14" s="1"/>
  <c r="AL637" i="14"/>
  <c r="AM637" i="14" s="1"/>
  <c r="AK637" i="14"/>
  <c r="T637" i="14"/>
  <c r="AO636" i="14"/>
  <c r="AP636" i="14" s="1"/>
  <c r="AL636" i="14"/>
  <c r="AM636" i="14" s="1"/>
  <c r="AK636" i="14"/>
  <c r="T636" i="14"/>
  <c r="AO635" i="14"/>
  <c r="AP635" i="14" s="1"/>
  <c r="AL635" i="14"/>
  <c r="AM635" i="14" s="1"/>
  <c r="AK635" i="14"/>
  <c r="T635" i="14"/>
  <c r="AO634" i="14"/>
  <c r="AP634" i="14" s="1"/>
  <c r="AL634" i="14"/>
  <c r="AM634" i="14" s="1"/>
  <c r="AK634" i="14"/>
  <c r="T634" i="14"/>
  <c r="AO633" i="14"/>
  <c r="AP633" i="14" s="1"/>
  <c r="AL633" i="14"/>
  <c r="AM633" i="14" s="1"/>
  <c r="AK633" i="14"/>
  <c r="T633" i="14"/>
  <c r="AO632" i="14"/>
  <c r="AP632" i="14" s="1"/>
  <c r="AL632" i="14"/>
  <c r="AM632" i="14" s="1"/>
  <c r="AK632" i="14"/>
  <c r="T632" i="14"/>
  <c r="AO631" i="14"/>
  <c r="AP631" i="14" s="1"/>
  <c r="AL631" i="14"/>
  <c r="AM631" i="14" s="1"/>
  <c r="AK631" i="14"/>
  <c r="T631" i="14"/>
  <c r="AO630" i="14"/>
  <c r="AP630" i="14" s="1"/>
  <c r="AL630" i="14"/>
  <c r="AM630" i="14" s="1"/>
  <c r="AK630" i="14"/>
  <c r="T630" i="14"/>
  <c r="AO629" i="14"/>
  <c r="AP629" i="14" s="1"/>
  <c r="AL629" i="14"/>
  <c r="AM629" i="14" s="1"/>
  <c r="AK629" i="14"/>
  <c r="T629" i="14"/>
  <c r="AO628" i="14"/>
  <c r="AP628" i="14" s="1"/>
  <c r="AL628" i="14"/>
  <c r="AM628" i="14" s="1"/>
  <c r="AK628" i="14"/>
  <c r="T628" i="14"/>
  <c r="AO627" i="14"/>
  <c r="AP627" i="14" s="1"/>
  <c r="AL627" i="14"/>
  <c r="AM627" i="14" s="1"/>
  <c r="AK627" i="14"/>
  <c r="T627" i="14"/>
  <c r="AO626" i="14"/>
  <c r="AP626" i="14" s="1"/>
  <c r="AL626" i="14"/>
  <c r="AM626" i="14" s="1"/>
  <c r="AK626" i="14"/>
  <c r="T626" i="14"/>
  <c r="AO625" i="14"/>
  <c r="AP625" i="14" s="1"/>
  <c r="AL625" i="14"/>
  <c r="AM625" i="14" s="1"/>
  <c r="AK625" i="14"/>
  <c r="T625" i="14"/>
  <c r="AO624" i="14"/>
  <c r="AP624" i="14" s="1"/>
  <c r="AL624" i="14"/>
  <c r="AM624" i="14" s="1"/>
  <c r="AK624" i="14"/>
  <c r="T624" i="14"/>
  <c r="AO623" i="14"/>
  <c r="AP623" i="14" s="1"/>
  <c r="AL623" i="14"/>
  <c r="AM623" i="14" s="1"/>
  <c r="AK623" i="14"/>
  <c r="T623" i="14"/>
  <c r="AO622" i="14"/>
  <c r="AP622" i="14" s="1"/>
  <c r="AL622" i="14"/>
  <c r="AM622" i="14" s="1"/>
  <c r="AK622" i="14"/>
  <c r="T622" i="14"/>
  <c r="AO621" i="14"/>
  <c r="AP621" i="14" s="1"/>
  <c r="AL621" i="14"/>
  <c r="AM621" i="14" s="1"/>
  <c r="AK621" i="14"/>
  <c r="T621" i="14"/>
  <c r="AO620" i="14"/>
  <c r="AP620" i="14" s="1"/>
  <c r="AL620" i="14"/>
  <c r="AM620" i="14" s="1"/>
  <c r="AK620" i="14"/>
  <c r="T620" i="14"/>
  <c r="AO619" i="14"/>
  <c r="AP619" i="14" s="1"/>
  <c r="AL619" i="14"/>
  <c r="AM619" i="14" s="1"/>
  <c r="AK619" i="14"/>
  <c r="T619" i="14"/>
  <c r="AO618" i="14"/>
  <c r="AP618" i="14" s="1"/>
  <c r="AL618" i="14"/>
  <c r="AM618" i="14" s="1"/>
  <c r="AK618" i="14"/>
  <c r="T618" i="14"/>
  <c r="AO617" i="14"/>
  <c r="AP617" i="14" s="1"/>
  <c r="AL617" i="14"/>
  <c r="AM617" i="14" s="1"/>
  <c r="AK617" i="14"/>
  <c r="T617" i="14"/>
  <c r="AO616" i="14"/>
  <c r="AP616" i="14" s="1"/>
  <c r="AL616" i="14"/>
  <c r="AM616" i="14" s="1"/>
  <c r="AK616" i="14"/>
  <c r="T616" i="14"/>
  <c r="AO615" i="14"/>
  <c r="AP615" i="14" s="1"/>
  <c r="AL615" i="14"/>
  <c r="AM615" i="14" s="1"/>
  <c r="AK615" i="14"/>
  <c r="T615" i="14"/>
  <c r="AO614" i="14"/>
  <c r="AP614" i="14" s="1"/>
  <c r="AL614" i="14"/>
  <c r="AM614" i="14" s="1"/>
  <c r="AK614" i="14"/>
  <c r="T614" i="14"/>
  <c r="AO613" i="14"/>
  <c r="AP613" i="14" s="1"/>
  <c r="AL613" i="14"/>
  <c r="AM613" i="14" s="1"/>
  <c r="AK613" i="14"/>
  <c r="T613" i="14"/>
  <c r="AO612" i="14"/>
  <c r="AP612" i="14" s="1"/>
  <c r="AL612" i="14"/>
  <c r="AM612" i="14" s="1"/>
  <c r="AK612" i="14"/>
  <c r="T612" i="14"/>
  <c r="AO611" i="14"/>
  <c r="AP611" i="14" s="1"/>
  <c r="AL611" i="14"/>
  <c r="AM611" i="14" s="1"/>
  <c r="AK611" i="14"/>
  <c r="T611" i="14"/>
  <c r="AO610" i="14"/>
  <c r="AP610" i="14" s="1"/>
  <c r="AL610" i="14"/>
  <c r="AM610" i="14" s="1"/>
  <c r="AK610" i="14"/>
  <c r="T610" i="14"/>
  <c r="AO609" i="14"/>
  <c r="AP609" i="14" s="1"/>
  <c r="AL609" i="14"/>
  <c r="AM609" i="14" s="1"/>
  <c r="AK609" i="14"/>
  <c r="T609" i="14"/>
  <c r="AO608" i="14"/>
  <c r="AP608" i="14" s="1"/>
  <c r="AL608" i="14"/>
  <c r="AM608" i="14" s="1"/>
  <c r="AK608" i="14"/>
  <c r="T608" i="14"/>
  <c r="AO607" i="14"/>
  <c r="AP607" i="14" s="1"/>
  <c r="AL607" i="14"/>
  <c r="AM607" i="14" s="1"/>
  <c r="AK607" i="14"/>
  <c r="T607" i="14"/>
  <c r="AO606" i="14"/>
  <c r="AP606" i="14" s="1"/>
  <c r="AL606" i="14"/>
  <c r="AM606" i="14" s="1"/>
  <c r="AK606" i="14"/>
  <c r="T606" i="14"/>
  <c r="AO605" i="14"/>
  <c r="AP605" i="14" s="1"/>
  <c r="AL605" i="14"/>
  <c r="AM605" i="14" s="1"/>
  <c r="AK605" i="14"/>
  <c r="T605" i="14"/>
  <c r="AO604" i="14"/>
  <c r="AP604" i="14" s="1"/>
  <c r="AL604" i="14"/>
  <c r="AM604" i="14" s="1"/>
  <c r="AK604" i="14"/>
  <c r="T604" i="14"/>
  <c r="AO603" i="14"/>
  <c r="AP603" i="14" s="1"/>
  <c r="AL603" i="14"/>
  <c r="AM603" i="14" s="1"/>
  <c r="AK603" i="14"/>
  <c r="T603" i="14"/>
  <c r="AO602" i="14"/>
  <c r="AP602" i="14" s="1"/>
  <c r="AL602" i="14"/>
  <c r="AM602" i="14" s="1"/>
  <c r="AK602" i="14"/>
  <c r="T602" i="14"/>
  <c r="AO601" i="14"/>
  <c r="AP601" i="14" s="1"/>
  <c r="AL601" i="14"/>
  <c r="AM601" i="14" s="1"/>
  <c r="AK601" i="14"/>
  <c r="T601" i="14"/>
  <c r="AO600" i="14"/>
  <c r="AP600" i="14" s="1"/>
  <c r="AL600" i="14"/>
  <c r="AM600" i="14" s="1"/>
  <c r="AK600" i="14"/>
  <c r="T600" i="14"/>
  <c r="AO599" i="14"/>
  <c r="AP599" i="14" s="1"/>
  <c r="AL599" i="14"/>
  <c r="AM599" i="14" s="1"/>
  <c r="AK599" i="14"/>
  <c r="T599" i="14"/>
  <c r="AO598" i="14"/>
  <c r="AP598" i="14" s="1"/>
  <c r="AL598" i="14"/>
  <c r="AM598" i="14" s="1"/>
  <c r="AK598" i="14"/>
  <c r="T598" i="14"/>
  <c r="AO597" i="14"/>
  <c r="AP597" i="14" s="1"/>
  <c r="AL597" i="14"/>
  <c r="AM597" i="14" s="1"/>
  <c r="AK597" i="14"/>
  <c r="T597" i="14"/>
  <c r="AO596" i="14"/>
  <c r="AP596" i="14" s="1"/>
  <c r="AL596" i="14"/>
  <c r="AM596" i="14" s="1"/>
  <c r="AK596" i="14"/>
  <c r="T596" i="14"/>
  <c r="AO595" i="14"/>
  <c r="AP595" i="14" s="1"/>
  <c r="AL595" i="14"/>
  <c r="AM595" i="14" s="1"/>
  <c r="AK595" i="14"/>
  <c r="T595" i="14"/>
  <c r="AO594" i="14"/>
  <c r="AP594" i="14" s="1"/>
  <c r="AL594" i="14"/>
  <c r="AM594" i="14" s="1"/>
  <c r="AK594" i="14"/>
  <c r="T594" i="14"/>
  <c r="AO593" i="14"/>
  <c r="AP593" i="14" s="1"/>
  <c r="AL593" i="14"/>
  <c r="AM593" i="14" s="1"/>
  <c r="AK593" i="14"/>
  <c r="T593" i="14"/>
  <c r="AO592" i="14"/>
  <c r="AP592" i="14" s="1"/>
  <c r="AL592" i="14"/>
  <c r="AM592" i="14" s="1"/>
  <c r="AK592" i="14"/>
  <c r="T592" i="14"/>
  <c r="AO591" i="14"/>
  <c r="AP591" i="14" s="1"/>
  <c r="AL591" i="14"/>
  <c r="AM591" i="14" s="1"/>
  <c r="AK591" i="14"/>
  <c r="T591" i="14"/>
  <c r="AO590" i="14"/>
  <c r="AP590" i="14" s="1"/>
  <c r="AL590" i="14"/>
  <c r="AM590" i="14" s="1"/>
  <c r="AK590" i="14"/>
  <c r="T590" i="14"/>
  <c r="AO589" i="14"/>
  <c r="AP589" i="14" s="1"/>
  <c r="AL589" i="14"/>
  <c r="AM589" i="14" s="1"/>
  <c r="AK589" i="14"/>
  <c r="T589" i="14"/>
  <c r="AO588" i="14"/>
  <c r="AP588" i="14" s="1"/>
  <c r="AL588" i="14"/>
  <c r="AM588" i="14" s="1"/>
  <c r="AK588" i="14"/>
  <c r="T588" i="14"/>
  <c r="AO587" i="14"/>
  <c r="AP587" i="14" s="1"/>
  <c r="AL587" i="14"/>
  <c r="AM587" i="14" s="1"/>
  <c r="AK587" i="14"/>
  <c r="T587" i="14"/>
  <c r="AO586" i="14"/>
  <c r="AP586" i="14" s="1"/>
  <c r="AL586" i="14"/>
  <c r="AM586" i="14" s="1"/>
  <c r="AK586" i="14"/>
  <c r="T586" i="14"/>
  <c r="AO585" i="14"/>
  <c r="AP585" i="14" s="1"/>
  <c r="AL585" i="14"/>
  <c r="AM585" i="14" s="1"/>
  <c r="AK585" i="14"/>
  <c r="T585" i="14"/>
  <c r="AO584" i="14"/>
  <c r="AP584" i="14" s="1"/>
  <c r="AL584" i="14"/>
  <c r="AM584" i="14" s="1"/>
  <c r="AK584" i="14"/>
  <c r="T584" i="14"/>
  <c r="AO583" i="14"/>
  <c r="AP583" i="14" s="1"/>
  <c r="AL583" i="14"/>
  <c r="AM583" i="14" s="1"/>
  <c r="AK583" i="14"/>
  <c r="T583" i="14"/>
  <c r="AO582" i="14"/>
  <c r="AP582" i="14" s="1"/>
  <c r="AL582" i="14"/>
  <c r="AM582" i="14" s="1"/>
  <c r="AK582" i="14"/>
  <c r="T582" i="14"/>
  <c r="AO581" i="14"/>
  <c r="AP581" i="14" s="1"/>
  <c r="AL581" i="14"/>
  <c r="AM581" i="14" s="1"/>
  <c r="AK581" i="14"/>
  <c r="T581" i="14"/>
  <c r="AO580" i="14"/>
  <c r="AP580" i="14" s="1"/>
  <c r="AL580" i="14"/>
  <c r="AM580" i="14" s="1"/>
  <c r="AK580" i="14"/>
  <c r="T580" i="14"/>
  <c r="AO579" i="14"/>
  <c r="AP579" i="14" s="1"/>
  <c r="AL579" i="14"/>
  <c r="AM579" i="14" s="1"/>
  <c r="AK579" i="14"/>
  <c r="T579" i="14"/>
  <c r="AO578" i="14"/>
  <c r="AP578" i="14" s="1"/>
  <c r="AL578" i="14"/>
  <c r="AM578" i="14" s="1"/>
  <c r="AK578" i="14"/>
  <c r="T578" i="14"/>
  <c r="AO577" i="14"/>
  <c r="AP577" i="14" s="1"/>
  <c r="AL577" i="14"/>
  <c r="AM577" i="14" s="1"/>
  <c r="AK577" i="14"/>
  <c r="T577" i="14"/>
  <c r="AO576" i="14"/>
  <c r="AP576" i="14" s="1"/>
  <c r="AL576" i="14"/>
  <c r="AM576" i="14" s="1"/>
  <c r="AK576" i="14"/>
  <c r="T576" i="14"/>
  <c r="AO575" i="14"/>
  <c r="AP575" i="14" s="1"/>
  <c r="AL575" i="14"/>
  <c r="AM575" i="14" s="1"/>
  <c r="AK575" i="14"/>
  <c r="T575" i="14"/>
  <c r="AO574" i="14"/>
  <c r="AP574" i="14" s="1"/>
  <c r="AL574" i="14"/>
  <c r="AM574" i="14" s="1"/>
  <c r="AK574" i="14"/>
  <c r="T574" i="14"/>
  <c r="AO573" i="14"/>
  <c r="AP573" i="14" s="1"/>
  <c r="AL573" i="14"/>
  <c r="AM573" i="14" s="1"/>
  <c r="AK573" i="14"/>
  <c r="T573" i="14"/>
  <c r="AO572" i="14"/>
  <c r="AP572" i="14" s="1"/>
  <c r="AL572" i="14"/>
  <c r="AM572" i="14" s="1"/>
  <c r="AK572" i="14"/>
  <c r="T572" i="14"/>
  <c r="AO571" i="14"/>
  <c r="AP571" i="14" s="1"/>
  <c r="AL571" i="14"/>
  <c r="AM571" i="14" s="1"/>
  <c r="AK571" i="14"/>
  <c r="T571" i="14"/>
  <c r="AO570" i="14"/>
  <c r="AP570" i="14" s="1"/>
  <c r="AL570" i="14"/>
  <c r="AM570" i="14" s="1"/>
  <c r="AK570" i="14"/>
  <c r="T570" i="14"/>
  <c r="AO569" i="14"/>
  <c r="AP569" i="14" s="1"/>
  <c r="AL569" i="14"/>
  <c r="AM569" i="14" s="1"/>
  <c r="AK569" i="14"/>
  <c r="T569" i="14"/>
  <c r="AO568" i="14"/>
  <c r="AP568" i="14" s="1"/>
  <c r="AL568" i="14"/>
  <c r="AM568" i="14" s="1"/>
  <c r="AK568" i="14"/>
  <c r="T568" i="14"/>
  <c r="AO567" i="14"/>
  <c r="AP567" i="14" s="1"/>
  <c r="AL567" i="14"/>
  <c r="AM567" i="14" s="1"/>
  <c r="AK567" i="14"/>
  <c r="T567" i="14"/>
  <c r="AO566" i="14"/>
  <c r="AP566" i="14" s="1"/>
  <c r="AL566" i="14"/>
  <c r="AM566" i="14" s="1"/>
  <c r="AK566" i="14"/>
  <c r="T566" i="14"/>
  <c r="AO565" i="14"/>
  <c r="AP565" i="14" s="1"/>
  <c r="AL565" i="14"/>
  <c r="AM565" i="14" s="1"/>
  <c r="AK565" i="14"/>
  <c r="T565" i="14"/>
  <c r="AO564" i="14"/>
  <c r="AP564" i="14" s="1"/>
  <c r="AL564" i="14"/>
  <c r="AM564" i="14" s="1"/>
  <c r="AK564" i="14"/>
  <c r="T564" i="14"/>
  <c r="AO563" i="14"/>
  <c r="AP563" i="14" s="1"/>
  <c r="AL563" i="14"/>
  <c r="AM563" i="14" s="1"/>
  <c r="AK563" i="14"/>
  <c r="T563" i="14"/>
  <c r="AO562" i="14"/>
  <c r="AP562" i="14" s="1"/>
  <c r="AL562" i="14"/>
  <c r="AM562" i="14" s="1"/>
  <c r="AK562" i="14"/>
  <c r="T562" i="14"/>
  <c r="AO561" i="14"/>
  <c r="AP561" i="14" s="1"/>
  <c r="AL561" i="14"/>
  <c r="AM561" i="14" s="1"/>
  <c r="AK561" i="14"/>
  <c r="T561" i="14"/>
  <c r="AO560" i="14"/>
  <c r="AP560" i="14" s="1"/>
  <c r="AL560" i="14"/>
  <c r="AM560" i="14" s="1"/>
  <c r="AK560" i="14"/>
  <c r="T560" i="14"/>
  <c r="AO559" i="14"/>
  <c r="AP559" i="14" s="1"/>
  <c r="AL559" i="14"/>
  <c r="AM559" i="14" s="1"/>
  <c r="AK559" i="14"/>
  <c r="T559" i="14"/>
  <c r="AO558" i="14"/>
  <c r="AP558" i="14" s="1"/>
  <c r="AL558" i="14"/>
  <c r="AM558" i="14" s="1"/>
  <c r="AK558" i="14"/>
  <c r="T558" i="14"/>
  <c r="AO557" i="14"/>
  <c r="AP557" i="14" s="1"/>
  <c r="AL557" i="14"/>
  <c r="AM557" i="14" s="1"/>
  <c r="AK557" i="14"/>
  <c r="T557" i="14"/>
  <c r="AO556" i="14"/>
  <c r="AP556" i="14" s="1"/>
  <c r="AL556" i="14"/>
  <c r="AM556" i="14" s="1"/>
  <c r="AK556" i="14"/>
  <c r="T556" i="14"/>
  <c r="AO555" i="14"/>
  <c r="AP555" i="14" s="1"/>
  <c r="AL555" i="14"/>
  <c r="AM555" i="14" s="1"/>
  <c r="AK555" i="14"/>
  <c r="T555" i="14"/>
  <c r="AO554" i="14"/>
  <c r="AP554" i="14" s="1"/>
  <c r="AL554" i="14"/>
  <c r="AM554" i="14" s="1"/>
  <c r="AK554" i="14"/>
  <c r="T554" i="14"/>
  <c r="AO553" i="14"/>
  <c r="AP553" i="14" s="1"/>
  <c r="AL553" i="14"/>
  <c r="AM553" i="14" s="1"/>
  <c r="AK553" i="14"/>
  <c r="T553" i="14"/>
  <c r="AO552" i="14"/>
  <c r="AP552" i="14" s="1"/>
  <c r="AL552" i="14"/>
  <c r="AM552" i="14" s="1"/>
  <c r="AK552" i="14"/>
  <c r="T552" i="14"/>
  <c r="AO551" i="14"/>
  <c r="AP551" i="14" s="1"/>
  <c r="AL551" i="14"/>
  <c r="AM551" i="14" s="1"/>
  <c r="AK551" i="14"/>
  <c r="T551" i="14"/>
  <c r="AO550" i="14"/>
  <c r="AP550" i="14" s="1"/>
  <c r="AL550" i="14"/>
  <c r="AM550" i="14" s="1"/>
  <c r="AK550" i="14"/>
  <c r="T550" i="14"/>
  <c r="AO549" i="14"/>
  <c r="AP549" i="14" s="1"/>
  <c r="AL549" i="14"/>
  <c r="AM549" i="14" s="1"/>
  <c r="AK549" i="14"/>
  <c r="T549" i="14"/>
  <c r="AO548" i="14"/>
  <c r="AP548" i="14" s="1"/>
  <c r="AL548" i="14"/>
  <c r="AM548" i="14" s="1"/>
  <c r="AK548" i="14"/>
  <c r="T548" i="14"/>
  <c r="AO547" i="14"/>
  <c r="AP547" i="14" s="1"/>
  <c r="AL547" i="14"/>
  <c r="AM547" i="14" s="1"/>
  <c r="AK547" i="14"/>
  <c r="T547" i="14"/>
  <c r="AO546" i="14"/>
  <c r="AP546" i="14" s="1"/>
  <c r="AL546" i="14"/>
  <c r="AM546" i="14" s="1"/>
  <c r="AK546" i="14"/>
  <c r="T546" i="14"/>
  <c r="AO545" i="14"/>
  <c r="AP545" i="14" s="1"/>
  <c r="AL545" i="14"/>
  <c r="AM545" i="14" s="1"/>
  <c r="AK545" i="14"/>
  <c r="T545" i="14"/>
  <c r="AO544" i="14"/>
  <c r="AP544" i="14" s="1"/>
  <c r="AL544" i="14"/>
  <c r="AM544" i="14" s="1"/>
  <c r="AK544" i="14"/>
  <c r="T544" i="14"/>
  <c r="AO543" i="14"/>
  <c r="AP543" i="14" s="1"/>
  <c r="AL543" i="14"/>
  <c r="AM543" i="14" s="1"/>
  <c r="AK543" i="14"/>
  <c r="T543" i="14"/>
  <c r="AO542" i="14"/>
  <c r="AP542" i="14" s="1"/>
  <c r="AL542" i="14"/>
  <c r="AM542" i="14" s="1"/>
  <c r="AK542" i="14"/>
  <c r="T542" i="14"/>
  <c r="AO541" i="14"/>
  <c r="AP541" i="14" s="1"/>
  <c r="AL541" i="14"/>
  <c r="AM541" i="14" s="1"/>
  <c r="AK541" i="14"/>
  <c r="T541" i="14"/>
  <c r="AO540" i="14"/>
  <c r="AP540" i="14" s="1"/>
  <c r="AL540" i="14"/>
  <c r="AM540" i="14" s="1"/>
  <c r="AK540" i="14"/>
  <c r="T540" i="14"/>
  <c r="AO539" i="14"/>
  <c r="AP539" i="14" s="1"/>
  <c r="AL539" i="14"/>
  <c r="AM539" i="14" s="1"/>
  <c r="AK539" i="14"/>
  <c r="T539" i="14"/>
  <c r="AO538" i="14"/>
  <c r="AP538" i="14" s="1"/>
  <c r="AL538" i="14"/>
  <c r="AM538" i="14" s="1"/>
  <c r="AK538" i="14"/>
  <c r="T538" i="14"/>
  <c r="AO537" i="14"/>
  <c r="AP537" i="14" s="1"/>
  <c r="AL537" i="14"/>
  <c r="AM537" i="14" s="1"/>
  <c r="AK537" i="14"/>
  <c r="T537" i="14"/>
  <c r="AO536" i="14"/>
  <c r="AP536" i="14" s="1"/>
  <c r="AL536" i="14"/>
  <c r="AM536" i="14" s="1"/>
  <c r="AK536" i="14"/>
  <c r="T536" i="14"/>
  <c r="AO535" i="14"/>
  <c r="AP535" i="14" s="1"/>
  <c r="AL535" i="14"/>
  <c r="AM535" i="14" s="1"/>
  <c r="AK535" i="14"/>
  <c r="T535" i="14"/>
  <c r="AO534" i="14"/>
  <c r="AP534" i="14" s="1"/>
  <c r="AL534" i="14"/>
  <c r="AM534" i="14" s="1"/>
  <c r="AK534" i="14"/>
  <c r="T534" i="14"/>
  <c r="AO533" i="14"/>
  <c r="AP533" i="14" s="1"/>
  <c r="AL533" i="14"/>
  <c r="AM533" i="14" s="1"/>
  <c r="AK533" i="14"/>
  <c r="T533" i="14"/>
  <c r="AO532" i="14"/>
  <c r="AP532" i="14" s="1"/>
  <c r="AL532" i="14"/>
  <c r="AM532" i="14" s="1"/>
  <c r="AK532" i="14"/>
  <c r="T532" i="14"/>
  <c r="AO531" i="14"/>
  <c r="AP531" i="14" s="1"/>
  <c r="AL531" i="14"/>
  <c r="AM531" i="14" s="1"/>
  <c r="AK531" i="14"/>
  <c r="T531" i="14"/>
  <c r="AO530" i="14"/>
  <c r="AP530" i="14" s="1"/>
  <c r="AL530" i="14"/>
  <c r="AM530" i="14" s="1"/>
  <c r="AK530" i="14"/>
  <c r="T530" i="14"/>
  <c r="AO529" i="14"/>
  <c r="AP529" i="14" s="1"/>
  <c r="AL529" i="14"/>
  <c r="AM529" i="14" s="1"/>
  <c r="AK529" i="14"/>
  <c r="T529" i="14"/>
  <c r="AO528" i="14"/>
  <c r="AP528" i="14" s="1"/>
  <c r="AL528" i="14"/>
  <c r="AM528" i="14" s="1"/>
  <c r="AK528" i="14"/>
  <c r="T528" i="14"/>
  <c r="AO527" i="14"/>
  <c r="AP527" i="14" s="1"/>
  <c r="AL527" i="14"/>
  <c r="AM527" i="14" s="1"/>
  <c r="AK527" i="14"/>
  <c r="T527" i="14"/>
  <c r="AO526" i="14"/>
  <c r="AP526" i="14" s="1"/>
  <c r="AL526" i="14"/>
  <c r="AM526" i="14" s="1"/>
  <c r="AK526" i="14"/>
  <c r="T526" i="14"/>
  <c r="AO525" i="14"/>
  <c r="AP525" i="14" s="1"/>
  <c r="AL525" i="14"/>
  <c r="AM525" i="14" s="1"/>
  <c r="AK525" i="14"/>
  <c r="T525" i="14"/>
  <c r="AO524" i="14"/>
  <c r="AP524" i="14" s="1"/>
  <c r="AL524" i="14"/>
  <c r="AM524" i="14" s="1"/>
  <c r="AK524" i="14"/>
  <c r="T524" i="14"/>
  <c r="AO523" i="14"/>
  <c r="AP523" i="14" s="1"/>
  <c r="AL523" i="14"/>
  <c r="AM523" i="14" s="1"/>
  <c r="AK523" i="14"/>
  <c r="T523" i="14"/>
  <c r="AO522" i="14"/>
  <c r="AP522" i="14" s="1"/>
  <c r="AL522" i="14"/>
  <c r="AM522" i="14" s="1"/>
  <c r="AK522" i="14"/>
  <c r="T522" i="14"/>
  <c r="AO521" i="14"/>
  <c r="AP521" i="14" s="1"/>
  <c r="AL521" i="14"/>
  <c r="AM521" i="14" s="1"/>
  <c r="AK521" i="14"/>
  <c r="T521" i="14"/>
  <c r="AO520" i="14"/>
  <c r="AP520" i="14" s="1"/>
  <c r="AL520" i="14"/>
  <c r="AM520" i="14" s="1"/>
  <c r="AK520" i="14"/>
  <c r="T520" i="14"/>
  <c r="AO519" i="14"/>
  <c r="AP519" i="14" s="1"/>
  <c r="AL519" i="14"/>
  <c r="AM519" i="14" s="1"/>
  <c r="AK519" i="14"/>
  <c r="T519" i="14"/>
  <c r="AO518" i="14"/>
  <c r="AP518" i="14" s="1"/>
  <c r="AL518" i="14"/>
  <c r="AM518" i="14" s="1"/>
  <c r="AK518" i="14"/>
  <c r="T518" i="14"/>
  <c r="AO517" i="14"/>
  <c r="AP517" i="14" s="1"/>
  <c r="AL517" i="14"/>
  <c r="AM517" i="14" s="1"/>
  <c r="AK517" i="14"/>
  <c r="T517" i="14"/>
  <c r="AO516" i="14"/>
  <c r="AP516" i="14" s="1"/>
  <c r="AL516" i="14"/>
  <c r="AM516" i="14" s="1"/>
  <c r="AK516" i="14"/>
  <c r="T516" i="14"/>
  <c r="AO515" i="14"/>
  <c r="AP515" i="14" s="1"/>
  <c r="AL515" i="14"/>
  <c r="AM515" i="14" s="1"/>
  <c r="AK515" i="14"/>
  <c r="T515" i="14"/>
  <c r="AO514" i="14"/>
  <c r="AP514" i="14" s="1"/>
  <c r="AL514" i="14"/>
  <c r="AM514" i="14" s="1"/>
  <c r="AK514" i="14"/>
  <c r="T514" i="14"/>
  <c r="AO513" i="14"/>
  <c r="AL513" i="14"/>
  <c r="AM513" i="14" s="1"/>
  <c r="AK513" i="14"/>
  <c r="T513" i="14"/>
  <c r="AO512" i="14"/>
  <c r="AP512" i="14" s="1"/>
  <c r="AL512" i="14"/>
  <c r="AM512" i="14" s="1"/>
  <c r="AK512" i="14"/>
  <c r="T512" i="14"/>
  <c r="AO511" i="14"/>
  <c r="AP511" i="14" s="1"/>
  <c r="AL511" i="14"/>
  <c r="AM511" i="14" s="1"/>
  <c r="AK511" i="14"/>
  <c r="T511" i="14"/>
  <c r="AO510" i="14"/>
  <c r="AP510" i="14" s="1"/>
  <c r="AL510" i="14"/>
  <c r="AM510" i="14" s="1"/>
  <c r="AK510" i="14"/>
  <c r="T510" i="14"/>
  <c r="AO509" i="14"/>
  <c r="AP509" i="14" s="1"/>
  <c r="AL509" i="14"/>
  <c r="AM509" i="14" s="1"/>
  <c r="AK509" i="14"/>
  <c r="T509" i="14"/>
  <c r="AO508" i="14"/>
  <c r="AP508" i="14" s="1"/>
  <c r="AL508" i="14"/>
  <c r="AM508" i="14" s="1"/>
  <c r="AK508" i="14"/>
  <c r="T508" i="14"/>
  <c r="AO507" i="14"/>
  <c r="AP507" i="14" s="1"/>
  <c r="AL507" i="14"/>
  <c r="AM507" i="14" s="1"/>
  <c r="AK507" i="14"/>
  <c r="T507" i="14"/>
  <c r="AO506" i="14"/>
  <c r="AP506" i="14" s="1"/>
  <c r="AL506" i="14"/>
  <c r="AM506" i="14" s="1"/>
  <c r="AK506" i="14"/>
  <c r="T506" i="14"/>
  <c r="AO505" i="14"/>
  <c r="AP505" i="14" s="1"/>
  <c r="AL505" i="14"/>
  <c r="AM505" i="14" s="1"/>
  <c r="AK505" i="14"/>
  <c r="T505" i="14"/>
  <c r="AO504" i="14"/>
  <c r="AP504" i="14" s="1"/>
  <c r="AL504" i="14"/>
  <c r="AM504" i="14" s="1"/>
  <c r="AK504" i="14"/>
  <c r="T504" i="14"/>
  <c r="AO503" i="14"/>
  <c r="AP503" i="14" s="1"/>
  <c r="AL503" i="14"/>
  <c r="AM503" i="14" s="1"/>
  <c r="AK503" i="14"/>
  <c r="T503" i="14"/>
  <c r="AO502" i="14"/>
  <c r="AP502" i="14" s="1"/>
  <c r="AL502" i="14"/>
  <c r="AM502" i="14" s="1"/>
  <c r="AK502" i="14"/>
  <c r="T502" i="14"/>
  <c r="AO501" i="14"/>
  <c r="AP501" i="14" s="1"/>
  <c r="AL501" i="14"/>
  <c r="AM501" i="14" s="1"/>
  <c r="AK501" i="14"/>
  <c r="T501" i="14"/>
  <c r="AO500" i="14"/>
  <c r="AP500" i="14" s="1"/>
  <c r="AL500" i="14"/>
  <c r="AM500" i="14" s="1"/>
  <c r="AK500" i="14"/>
  <c r="T500" i="14"/>
  <c r="AO499" i="14"/>
  <c r="AP499" i="14" s="1"/>
  <c r="AL499" i="14"/>
  <c r="AM499" i="14" s="1"/>
  <c r="AK499" i="14"/>
  <c r="T499" i="14"/>
  <c r="AO498" i="14"/>
  <c r="AP498" i="14" s="1"/>
  <c r="AL498" i="14"/>
  <c r="AM498" i="14" s="1"/>
  <c r="AK498" i="14"/>
  <c r="T498" i="14"/>
  <c r="AO497" i="14"/>
  <c r="AP497" i="14" s="1"/>
  <c r="AL497" i="14"/>
  <c r="AM497" i="14" s="1"/>
  <c r="AK497" i="14"/>
  <c r="T497" i="14"/>
  <c r="AO496" i="14"/>
  <c r="AP496" i="14" s="1"/>
  <c r="AL496" i="14"/>
  <c r="AM496" i="14" s="1"/>
  <c r="AK496" i="14"/>
  <c r="T496" i="14"/>
  <c r="AO495" i="14"/>
  <c r="AP495" i="14" s="1"/>
  <c r="AL495" i="14"/>
  <c r="AM495" i="14" s="1"/>
  <c r="AK495" i="14"/>
  <c r="T495" i="14"/>
  <c r="AO494" i="14"/>
  <c r="AP494" i="14" s="1"/>
  <c r="AL494" i="14"/>
  <c r="AM494" i="14" s="1"/>
  <c r="AK494" i="14"/>
  <c r="T494" i="14"/>
  <c r="AO493" i="14"/>
  <c r="AP493" i="14" s="1"/>
  <c r="AL493" i="14"/>
  <c r="AM493" i="14" s="1"/>
  <c r="AK493" i="14"/>
  <c r="T493" i="14"/>
  <c r="AO492" i="14"/>
  <c r="AP492" i="14" s="1"/>
  <c r="AL492" i="14"/>
  <c r="AM492" i="14" s="1"/>
  <c r="AK492" i="14"/>
  <c r="T492" i="14"/>
  <c r="AO491" i="14"/>
  <c r="AP491" i="14" s="1"/>
  <c r="AL491" i="14"/>
  <c r="AM491" i="14" s="1"/>
  <c r="AK491" i="14"/>
  <c r="T491" i="14"/>
  <c r="AO490" i="14"/>
  <c r="AP490" i="14" s="1"/>
  <c r="AL490" i="14"/>
  <c r="AM490" i="14" s="1"/>
  <c r="AK490" i="14"/>
  <c r="T490" i="14"/>
  <c r="AO489" i="14"/>
  <c r="AP489" i="14" s="1"/>
  <c r="AL489" i="14"/>
  <c r="AM489" i="14" s="1"/>
  <c r="AK489" i="14"/>
  <c r="T489" i="14"/>
  <c r="AO488" i="14"/>
  <c r="AP488" i="14" s="1"/>
  <c r="AL488" i="14"/>
  <c r="AM488" i="14" s="1"/>
  <c r="AK488" i="14"/>
  <c r="T488" i="14"/>
  <c r="AO487" i="14"/>
  <c r="AP487" i="14" s="1"/>
  <c r="AL487" i="14"/>
  <c r="AM487" i="14" s="1"/>
  <c r="AK487" i="14"/>
  <c r="T487" i="14"/>
  <c r="AO486" i="14"/>
  <c r="AP486" i="14" s="1"/>
  <c r="AL486" i="14"/>
  <c r="AM486" i="14" s="1"/>
  <c r="AK486" i="14"/>
  <c r="T486" i="14"/>
  <c r="AO485" i="14"/>
  <c r="AP485" i="14" s="1"/>
  <c r="AL485" i="14"/>
  <c r="AM485" i="14" s="1"/>
  <c r="AK485" i="14"/>
  <c r="T485" i="14"/>
  <c r="AO484" i="14"/>
  <c r="AP484" i="14" s="1"/>
  <c r="AL484" i="14"/>
  <c r="AM484" i="14" s="1"/>
  <c r="AK484" i="14"/>
  <c r="T484" i="14"/>
  <c r="AO483" i="14"/>
  <c r="AP483" i="14" s="1"/>
  <c r="AL483" i="14"/>
  <c r="AM483" i="14" s="1"/>
  <c r="AK483" i="14"/>
  <c r="T483" i="14"/>
  <c r="AO482" i="14"/>
  <c r="AP482" i="14" s="1"/>
  <c r="AL482" i="14"/>
  <c r="AM482" i="14" s="1"/>
  <c r="AK482" i="14"/>
  <c r="T482" i="14"/>
  <c r="AO481" i="14"/>
  <c r="AP481" i="14" s="1"/>
  <c r="AL481" i="14"/>
  <c r="AM481" i="14" s="1"/>
  <c r="AK481" i="14"/>
  <c r="T481" i="14"/>
  <c r="AO480" i="14"/>
  <c r="AP480" i="14" s="1"/>
  <c r="AL480" i="14"/>
  <c r="AM480" i="14" s="1"/>
  <c r="AK480" i="14"/>
  <c r="T480" i="14"/>
  <c r="AO479" i="14"/>
  <c r="AP479" i="14" s="1"/>
  <c r="AL479" i="14"/>
  <c r="AM479" i="14" s="1"/>
  <c r="AK479" i="14"/>
  <c r="T479" i="14"/>
  <c r="AO478" i="14"/>
  <c r="AP478" i="14" s="1"/>
  <c r="AL478" i="14"/>
  <c r="AM478" i="14" s="1"/>
  <c r="AK478" i="14"/>
  <c r="T478" i="14"/>
  <c r="AO477" i="14"/>
  <c r="AP477" i="14" s="1"/>
  <c r="AL477" i="14"/>
  <c r="AM477" i="14" s="1"/>
  <c r="AK477" i="14"/>
  <c r="T477" i="14"/>
  <c r="AO476" i="14"/>
  <c r="AP476" i="14" s="1"/>
  <c r="AL476" i="14"/>
  <c r="AM476" i="14" s="1"/>
  <c r="AK476" i="14"/>
  <c r="T476" i="14"/>
  <c r="AO475" i="14"/>
  <c r="AP475" i="14" s="1"/>
  <c r="AL475" i="14"/>
  <c r="AM475" i="14" s="1"/>
  <c r="AK475" i="14"/>
  <c r="T475" i="14"/>
  <c r="AO474" i="14"/>
  <c r="AP474" i="14" s="1"/>
  <c r="AL474" i="14"/>
  <c r="AM474" i="14" s="1"/>
  <c r="AK474" i="14"/>
  <c r="T474" i="14"/>
  <c r="AO473" i="14"/>
  <c r="AP473" i="14" s="1"/>
  <c r="AL473" i="14"/>
  <c r="AM473" i="14" s="1"/>
  <c r="AK473" i="14"/>
  <c r="T473" i="14"/>
  <c r="AO472" i="14"/>
  <c r="AP472" i="14" s="1"/>
  <c r="AL472" i="14"/>
  <c r="AM472" i="14" s="1"/>
  <c r="AK472" i="14"/>
  <c r="T472" i="14"/>
  <c r="AO471" i="14"/>
  <c r="AP471" i="14" s="1"/>
  <c r="AL471" i="14"/>
  <c r="AM471" i="14" s="1"/>
  <c r="AK471" i="14"/>
  <c r="T471" i="14"/>
  <c r="AO470" i="14"/>
  <c r="AP470" i="14" s="1"/>
  <c r="AL470" i="14"/>
  <c r="AM470" i="14" s="1"/>
  <c r="AK470" i="14"/>
  <c r="T470" i="14"/>
  <c r="AO469" i="14"/>
  <c r="AP469" i="14" s="1"/>
  <c r="AL469" i="14"/>
  <c r="AM469" i="14" s="1"/>
  <c r="AK469" i="14"/>
  <c r="T469" i="14"/>
  <c r="AO468" i="14"/>
  <c r="AP468" i="14" s="1"/>
  <c r="AL468" i="14"/>
  <c r="AM468" i="14" s="1"/>
  <c r="AK468" i="14"/>
  <c r="T468" i="14"/>
  <c r="AO467" i="14"/>
  <c r="AP467" i="14" s="1"/>
  <c r="AL467" i="14"/>
  <c r="AM467" i="14" s="1"/>
  <c r="AK467" i="14"/>
  <c r="T467" i="14"/>
  <c r="AO466" i="14"/>
  <c r="AP466" i="14" s="1"/>
  <c r="AL466" i="14"/>
  <c r="AM466" i="14" s="1"/>
  <c r="AK466" i="14"/>
  <c r="T466" i="14"/>
  <c r="AO465" i="14"/>
  <c r="AP465" i="14" s="1"/>
  <c r="AL465" i="14"/>
  <c r="AM465" i="14" s="1"/>
  <c r="AK465" i="14"/>
  <c r="T465" i="14"/>
  <c r="AO464" i="14"/>
  <c r="AP464" i="14" s="1"/>
  <c r="AL464" i="14"/>
  <c r="AM464" i="14" s="1"/>
  <c r="AK464" i="14"/>
  <c r="T464" i="14"/>
  <c r="AO463" i="14"/>
  <c r="AP463" i="14" s="1"/>
  <c r="AL463" i="14"/>
  <c r="AM463" i="14" s="1"/>
  <c r="AK463" i="14"/>
  <c r="T463" i="14"/>
  <c r="AO462" i="14"/>
  <c r="AP462" i="14" s="1"/>
  <c r="AL462" i="14"/>
  <c r="AM462" i="14" s="1"/>
  <c r="AK462" i="14"/>
  <c r="T462" i="14"/>
  <c r="AO461" i="14"/>
  <c r="AP461" i="14" s="1"/>
  <c r="AL461" i="14"/>
  <c r="AM461" i="14" s="1"/>
  <c r="AK461" i="14"/>
  <c r="T461" i="14"/>
  <c r="AO460" i="14"/>
  <c r="AP460" i="14" s="1"/>
  <c r="AL460" i="14"/>
  <c r="AM460" i="14" s="1"/>
  <c r="AK460" i="14"/>
  <c r="T460" i="14"/>
  <c r="AO459" i="14"/>
  <c r="AP459" i="14" s="1"/>
  <c r="AL459" i="14"/>
  <c r="AM459" i="14" s="1"/>
  <c r="AK459" i="14"/>
  <c r="T459" i="14"/>
  <c r="AO458" i="14"/>
  <c r="AP458" i="14" s="1"/>
  <c r="AL458" i="14"/>
  <c r="AM458" i="14" s="1"/>
  <c r="AK458" i="14"/>
  <c r="T458" i="14"/>
  <c r="AO457" i="14"/>
  <c r="AP457" i="14" s="1"/>
  <c r="AL457" i="14"/>
  <c r="AM457" i="14" s="1"/>
  <c r="AK457" i="14"/>
  <c r="T457" i="14"/>
  <c r="AO456" i="14"/>
  <c r="AP456" i="14" s="1"/>
  <c r="AL456" i="14"/>
  <c r="AM456" i="14" s="1"/>
  <c r="AK456" i="14"/>
  <c r="T456" i="14"/>
  <c r="AO455" i="14"/>
  <c r="AP455" i="14" s="1"/>
  <c r="AL455" i="14"/>
  <c r="AM455" i="14" s="1"/>
  <c r="AK455" i="14"/>
  <c r="T455" i="14"/>
  <c r="AO454" i="14"/>
  <c r="AP454" i="14" s="1"/>
  <c r="AL454" i="14"/>
  <c r="AM454" i="14" s="1"/>
  <c r="AK454" i="14"/>
  <c r="T454" i="14"/>
  <c r="AO453" i="14"/>
  <c r="AP453" i="14" s="1"/>
  <c r="AL453" i="14"/>
  <c r="AM453" i="14" s="1"/>
  <c r="AK453" i="14"/>
  <c r="T453" i="14"/>
  <c r="AO452" i="14"/>
  <c r="AP452" i="14" s="1"/>
  <c r="AL452" i="14"/>
  <c r="AM452" i="14" s="1"/>
  <c r="AK452" i="14"/>
  <c r="T452" i="14"/>
  <c r="AO451" i="14"/>
  <c r="AP451" i="14" s="1"/>
  <c r="AL451" i="14"/>
  <c r="AM451" i="14" s="1"/>
  <c r="AK451" i="14"/>
  <c r="T451" i="14"/>
  <c r="AO450" i="14"/>
  <c r="AP450" i="14" s="1"/>
  <c r="AL450" i="14"/>
  <c r="AM450" i="14" s="1"/>
  <c r="AK450" i="14"/>
  <c r="T450" i="14"/>
  <c r="AO449" i="14"/>
  <c r="AP449" i="14" s="1"/>
  <c r="AL449" i="14"/>
  <c r="AM449" i="14" s="1"/>
  <c r="AK449" i="14"/>
  <c r="T449" i="14"/>
  <c r="AO448" i="14"/>
  <c r="AP448" i="14" s="1"/>
  <c r="AL448" i="14"/>
  <c r="AM448" i="14" s="1"/>
  <c r="AK448" i="14"/>
  <c r="T448" i="14"/>
  <c r="AO447" i="14"/>
  <c r="AP447" i="14" s="1"/>
  <c r="AL447" i="14"/>
  <c r="AM447" i="14" s="1"/>
  <c r="AK447" i="14"/>
  <c r="T447" i="14"/>
  <c r="AO446" i="14"/>
  <c r="AP446" i="14" s="1"/>
  <c r="AL446" i="14"/>
  <c r="AM446" i="14" s="1"/>
  <c r="AK446" i="14"/>
  <c r="T446" i="14"/>
  <c r="AO445" i="14"/>
  <c r="AP445" i="14" s="1"/>
  <c r="AL445" i="14"/>
  <c r="AM445" i="14" s="1"/>
  <c r="AK445" i="14"/>
  <c r="T445" i="14"/>
  <c r="AO444" i="14"/>
  <c r="AP444" i="14" s="1"/>
  <c r="AL444" i="14"/>
  <c r="AM444" i="14" s="1"/>
  <c r="AK444" i="14"/>
  <c r="T444" i="14"/>
  <c r="AO443" i="14"/>
  <c r="AP443" i="14" s="1"/>
  <c r="AL443" i="14"/>
  <c r="AM443" i="14" s="1"/>
  <c r="AK443" i="14"/>
  <c r="T443" i="14"/>
  <c r="AO442" i="14"/>
  <c r="AP442" i="14" s="1"/>
  <c r="AL442" i="14"/>
  <c r="AM442" i="14" s="1"/>
  <c r="AK442" i="14"/>
  <c r="T442" i="14"/>
  <c r="AO441" i="14"/>
  <c r="AP441" i="14" s="1"/>
  <c r="AL441" i="14"/>
  <c r="AM441" i="14" s="1"/>
  <c r="AK441" i="14"/>
  <c r="T441" i="14"/>
  <c r="AO440" i="14"/>
  <c r="AP440" i="14" s="1"/>
  <c r="AL440" i="14"/>
  <c r="AM440" i="14" s="1"/>
  <c r="AK440" i="14"/>
  <c r="T440" i="14"/>
  <c r="AO439" i="14"/>
  <c r="AP439" i="14" s="1"/>
  <c r="AL439" i="14"/>
  <c r="AM439" i="14" s="1"/>
  <c r="AK439" i="14"/>
  <c r="T439" i="14"/>
  <c r="AO438" i="14"/>
  <c r="AP438" i="14" s="1"/>
  <c r="AL438" i="14"/>
  <c r="AM438" i="14" s="1"/>
  <c r="AK438" i="14"/>
  <c r="T438" i="14"/>
  <c r="AO437" i="14"/>
  <c r="AP437" i="14" s="1"/>
  <c r="AL437" i="14"/>
  <c r="AM437" i="14" s="1"/>
  <c r="AK437" i="14"/>
  <c r="T437" i="14"/>
  <c r="AO436" i="14"/>
  <c r="AP436" i="14" s="1"/>
  <c r="AL436" i="14"/>
  <c r="AM436" i="14" s="1"/>
  <c r="AK436" i="14"/>
  <c r="T436" i="14"/>
  <c r="AO435" i="14"/>
  <c r="AP435" i="14" s="1"/>
  <c r="AL435" i="14"/>
  <c r="AM435" i="14" s="1"/>
  <c r="AK435" i="14"/>
  <c r="T435" i="14"/>
  <c r="AO434" i="14"/>
  <c r="AP434" i="14" s="1"/>
  <c r="AL434" i="14"/>
  <c r="AM434" i="14" s="1"/>
  <c r="AK434" i="14"/>
  <c r="T434" i="14"/>
  <c r="AO433" i="14"/>
  <c r="AP433" i="14" s="1"/>
  <c r="AL433" i="14"/>
  <c r="AM433" i="14" s="1"/>
  <c r="AK433" i="14"/>
  <c r="T433" i="14"/>
  <c r="AO432" i="14"/>
  <c r="AP432" i="14" s="1"/>
  <c r="AL432" i="14"/>
  <c r="AM432" i="14" s="1"/>
  <c r="AK432" i="14"/>
  <c r="T432" i="14"/>
  <c r="AO431" i="14"/>
  <c r="AP431" i="14" s="1"/>
  <c r="AL431" i="14"/>
  <c r="AM431" i="14" s="1"/>
  <c r="AK431" i="14"/>
  <c r="T431" i="14"/>
  <c r="AO430" i="14"/>
  <c r="AP430" i="14" s="1"/>
  <c r="AL430" i="14"/>
  <c r="AM430" i="14" s="1"/>
  <c r="AK430" i="14"/>
  <c r="T430" i="14"/>
  <c r="AO429" i="14"/>
  <c r="AP429" i="14" s="1"/>
  <c r="AL429" i="14"/>
  <c r="AM429" i="14" s="1"/>
  <c r="AK429" i="14"/>
  <c r="T429" i="14"/>
  <c r="AO428" i="14"/>
  <c r="AP428" i="14" s="1"/>
  <c r="AL428" i="14"/>
  <c r="AM428" i="14" s="1"/>
  <c r="AK428" i="14"/>
  <c r="T428" i="14"/>
  <c r="AO427" i="14"/>
  <c r="AP427" i="14" s="1"/>
  <c r="AL427" i="14"/>
  <c r="AM427" i="14" s="1"/>
  <c r="AK427" i="14"/>
  <c r="T427" i="14"/>
  <c r="AO426" i="14"/>
  <c r="AP426" i="14" s="1"/>
  <c r="AL426" i="14"/>
  <c r="AM426" i="14" s="1"/>
  <c r="AK426" i="14"/>
  <c r="T426" i="14"/>
  <c r="AO425" i="14"/>
  <c r="AP425" i="14" s="1"/>
  <c r="AL425" i="14"/>
  <c r="AM425" i="14" s="1"/>
  <c r="AK425" i="14"/>
  <c r="T425" i="14"/>
  <c r="AO424" i="14"/>
  <c r="AP424" i="14" s="1"/>
  <c r="AL424" i="14"/>
  <c r="AM424" i="14" s="1"/>
  <c r="AK424" i="14"/>
  <c r="T424" i="14"/>
  <c r="AO423" i="14"/>
  <c r="AP423" i="14" s="1"/>
  <c r="AL423" i="14"/>
  <c r="AM423" i="14" s="1"/>
  <c r="AK423" i="14"/>
  <c r="T423" i="14"/>
  <c r="AO422" i="14"/>
  <c r="AP422" i="14" s="1"/>
  <c r="AL422" i="14"/>
  <c r="AM422" i="14" s="1"/>
  <c r="AK422" i="14"/>
  <c r="T422" i="14"/>
  <c r="AO421" i="14"/>
  <c r="AP421" i="14" s="1"/>
  <c r="AL421" i="14"/>
  <c r="AM421" i="14" s="1"/>
  <c r="AK421" i="14"/>
  <c r="T421" i="14"/>
  <c r="AO420" i="14"/>
  <c r="AP420" i="14" s="1"/>
  <c r="AL420" i="14"/>
  <c r="AM420" i="14" s="1"/>
  <c r="AK420" i="14"/>
  <c r="T420" i="14"/>
  <c r="AO419" i="14"/>
  <c r="AP419" i="14" s="1"/>
  <c r="AL419" i="14"/>
  <c r="AM419" i="14" s="1"/>
  <c r="AK419" i="14"/>
  <c r="T419" i="14"/>
  <c r="AO418" i="14"/>
  <c r="AP418" i="14" s="1"/>
  <c r="AL418" i="14"/>
  <c r="AM418" i="14" s="1"/>
  <c r="AK418" i="14"/>
  <c r="T418" i="14"/>
  <c r="AO417" i="14"/>
  <c r="AP417" i="14" s="1"/>
  <c r="AL417" i="14"/>
  <c r="AM417" i="14" s="1"/>
  <c r="AK417" i="14"/>
  <c r="T417" i="14"/>
  <c r="AO416" i="14"/>
  <c r="AP416" i="14" s="1"/>
  <c r="AL416" i="14"/>
  <c r="AM416" i="14" s="1"/>
  <c r="AK416" i="14"/>
  <c r="T416" i="14"/>
  <c r="AO415" i="14"/>
  <c r="AP415" i="14" s="1"/>
  <c r="AL415" i="14"/>
  <c r="AM415" i="14" s="1"/>
  <c r="AK415" i="14"/>
  <c r="T415" i="14"/>
  <c r="AO414" i="14"/>
  <c r="AP414" i="14" s="1"/>
  <c r="AL414" i="14"/>
  <c r="AM414" i="14" s="1"/>
  <c r="AK414" i="14"/>
  <c r="T414" i="14"/>
  <c r="AO413" i="14"/>
  <c r="AP413" i="14" s="1"/>
  <c r="AL413" i="14"/>
  <c r="AM413" i="14" s="1"/>
  <c r="AK413" i="14"/>
  <c r="T413" i="14"/>
  <c r="AO412" i="14"/>
  <c r="AP412" i="14" s="1"/>
  <c r="AL412" i="14"/>
  <c r="AM412" i="14" s="1"/>
  <c r="AK412" i="14"/>
  <c r="T412" i="14"/>
  <c r="AO411" i="14"/>
  <c r="AP411" i="14" s="1"/>
  <c r="AL411" i="14"/>
  <c r="AM411" i="14" s="1"/>
  <c r="AK411" i="14"/>
  <c r="T411" i="14"/>
  <c r="AO410" i="14"/>
  <c r="AP410" i="14" s="1"/>
  <c r="AL410" i="14"/>
  <c r="AM410" i="14" s="1"/>
  <c r="AK410" i="14"/>
  <c r="T410" i="14"/>
  <c r="AO409" i="14"/>
  <c r="AP409" i="14" s="1"/>
  <c r="AL409" i="14"/>
  <c r="AM409" i="14" s="1"/>
  <c r="AK409" i="14"/>
  <c r="T409" i="14"/>
  <c r="AO408" i="14"/>
  <c r="AP408" i="14" s="1"/>
  <c r="AL408" i="14"/>
  <c r="AM408" i="14" s="1"/>
  <c r="AK408" i="14"/>
  <c r="T408" i="14"/>
  <c r="AO407" i="14"/>
  <c r="AP407" i="14" s="1"/>
  <c r="AL407" i="14"/>
  <c r="AM407" i="14" s="1"/>
  <c r="AK407" i="14"/>
  <c r="T407" i="14"/>
  <c r="AO406" i="14"/>
  <c r="AP406" i="14" s="1"/>
  <c r="AL406" i="14"/>
  <c r="AM406" i="14" s="1"/>
  <c r="AK406" i="14"/>
  <c r="T406" i="14"/>
  <c r="AO405" i="14"/>
  <c r="AP405" i="14" s="1"/>
  <c r="AL405" i="14"/>
  <c r="AM405" i="14" s="1"/>
  <c r="AK405" i="14"/>
  <c r="T405" i="14"/>
  <c r="AO404" i="14"/>
  <c r="AP404" i="14" s="1"/>
  <c r="AL404" i="14"/>
  <c r="AM404" i="14" s="1"/>
  <c r="AK404" i="14"/>
  <c r="T404" i="14"/>
  <c r="AO403" i="14"/>
  <c r="AP403" i="14" s="1"/>
  <c r="AL403" i="14"/>
  <c r="AM403" i="14" s="1"/>
  <c r="AK403" i="14"/>
  <c r="T403" i="14"/>
  <c r="AO402" i="14"/>
  <c r="AP402" i="14" s="1"/>
  <c r="AL402" i="14"/>
  <c r="AM402" i="14" s="1"/>
  <c r="AK402" i="14"/>
  <c r="T402" i="14"/>
  <c r="AO401" i="14"/>
  <c r="AP401" i="14" s="1"/>
  <c r="AL401" i="14"/>
  <c r="AM401" i="14" s="1"/>
  <c r="AK401" i="14"/>
  <c r="T401" i="14"/>
  <c r="AO400" i="14"/>
  <c r="AP400" i="14" s="1"/>
  <c r="AL400" i="14"/>
  <c r="AM400" i="14" s="1"/>
  <c r="AK400" i="14"/>
  <c r="T400" i="14"/>
  <c r="AO399" i="14"/>
  <c r="AP399" i="14" s="1"/>
  <c r="AL399" i="14"/>
  <c r="AM399" i="14" s="1"/>
  <c r="AK399" i="14"/>
  <c r="T399" i="14"/>
  <c r="AO398" i="14"/>
  <c r="AP398" i="14" s="1"/>
  <c r="AL398" i="14"/>
  <c r="AM398" i="14" s="1"/>
  <c r="AK398" i="14"/>
  <c r="T398" i="14"/>
  <c r="AO397" i="14"/>
  <c r="AP397" i="14" s="1"/>
  <c r="AL397" i="14"/>
  <c r="AM397" i="14" s="1"/>
  <c r="AK397" i="14"/>
  <c r="T397" i="14"/>
  <c r="AO396" i="14"/>
  <c r="AP396" i="14" s="1"/>
  <c r="AL396" i="14"/>
  <c r="AM396" i="14" s="1"/>
  <c r="AK396" i="14"/>
  <c r="T396" i="14"/>
  <c r="AO395" i="14"/>
  <c r="AP395" i="14" s="1"/>
  <c r="AL395" i="14"/>
  <c r="AM395" i="14" s="1"/>
  <c r="AK395" i="14"/>
  <c r="T395" i="14"/>
  <c r="AO394" i="14"/>
  <c r="AP394" i="14" s="1"/>
  <c r="AL394" i="14"/>
  <c r="AM394" i="14" s="1"/>
  <c r="AK394" i="14"/>
  <c r="T394" i="14"/>
  <c r="AO393" i="14"/>
  <c r="AP393" i="14" s="1"/>
  <c r="AL393" i="14"/>
  <c r="AM393" i="14" s="1"/>
  <c r="AK393" i="14"/>
  <c r="T393" i="14"/>
  <c r="AO392" i="14"/>
  <c r="AP392" i="14" s="1"/>
  <c r="AL392" i="14"/>
  <c r="AM392" i="14" s="1"/>
  <c r="AK392" i="14"/>
  <c r="T392" i="14"/>
  <c r="AO391" i="14"/>
  <c r="AP391" i="14" s="1"/>
  <c r="AL391" i="14"/>
  <c r="AM391" i="14" s="1"/>
  <c r="AK391" i="14"/>
  <c r="T391" i="14"/>
  <c r="AO390" i="14"/>
  <c r="AP390" i="14" s="1"/>
  <c r="AL390" i="14"/>
  <c r="AM390" i="14" s="1"/>
  <c r="AK390" i="14"/>
  <c r="T390" i="14"/>
  <c r="AO389" i="14"/>
  <c r="AP389" i="14" s="1"/>
  <c r="AL389" i="14"/>
  <c r="AM389" i="14" s="1"/>
  <c r="AK389" i="14"/>
  <c r="T389" i="14"/>
  <c r="AO388" i="14"/>
  <c r="AP388" i="14" s="1"/>
  <c r="AL388" i="14"/>
  <c r="AM388" i="14" s="1"/>
  <c r="AK388" i="14"/>
  <c r="T388" i="14"/>
  <c r="AO387" i="14"/>
  <c r="AP387" i="14" s="1"/>
  <c r="AL387" i="14"/>
  <c r="AM387" i="14" s="1"/>
  <c r="AK387" i="14"/>
  <c r="T387" i="14"/>
  <c r="AO386" i="14"/>
  <c r="AP386" i="14" s="1"/>
  <c r="AL386" i="14"/>
  <c r="AM386" i="14" s="1"/>
  <c r="AK386" i="14"/>
  <c r="T386" i="14"/>
  <c r="AO385" i="14"/>
  <c r="AP385" i="14" s="1"/>
  <c r="AL385" i="14"/>
  <c r="AM385" i="14" s="1"/>
  <c r="AK385" i="14"/>
  <c r="T385" i="14"/>
  <c r="AO384" i="14"/>
  <c r="AP384" i="14" s="1"/>
  <c r="AL384" i="14"/>
  <c r="AM384" i="14" s="1"/>
  <c r="AK384" i="14"/>
  <c r="T384" i="14"/>
  <c r="AO383" i="14"/>
  <c r="AP383" i="14" s="1"/>
  <c r="AL383" i="14"/>
  <c r="AM383" i="14" s="1"/>
  <c r="AK383" i="14"/>
  <c r="T383" i="14"/>
  <c r="AO382" i="14"/>
  <c r="AP382" i="14" s="1"/>
  <c r="AL382" i="14"/>
  <c r="AM382" i="14" s="1"/>
  <c r="AK382" i="14"/>
  <c r="T382" i="14"/>
  <c r="AO381" i="14"/>
  <c r="AP381" i="14" s="1"/>
  <c r="AL381" i="14"/>
  <c r="AM381" i="14" s="1"/>
  <c r="AK381" i="14"/>
  <c r="T381" i="14"/>
  <c r="AO380" i="14"/>
  <c r="AP380" i="14" s="1"/>
  <c r="AL380" i="14"/>
  <c r="AM380" i="14" s="1"/>
  <c r="AK380" i="14"/>
  <c r="T380" i="14"/>
  <c r="AO379" i="14"/>
  <c r="AP379" i="14" s="1"/>
  <c r="AL379" i="14"/>
  <c r="AM379" i="14" s="1"/>
  <c r="AK379" i="14"/>
  <c r="T379" i="14"/>
  <c r="AO378" i="14"/>
  <c r="AP378" i="14" s="1"/>
  <c r="AL378" i="14"/>
  <c r="AM378" i="14" s="1"/>
  <c r="AK378" i="14"/>
  <c r="T378" i="14"/>
  <c r="AO377" i="14"/>
  <c r="AP377" i="14" s="1"/>
  <c r="AL377" i="14"/>
  <c r="AM377" i="14" s="1"/>
  <c r="AK377" i="14"/>
  <c r="T377" i="14"/>
  <c r="AO376" i="14"/>
  <c r="AP376" i="14" s="1"/>
  <c r="AL376" i="14"/>
  <c r="AM376" i="14" s="1"/>
  <c r="AK376" i="14"/>
  <c r="T376" i="14"/>
  <c r="AO375" i="14"/>
  <c r="AL375" i="14"/>
  <c r="AM375" i="14" s="1"/>
  <c r="AK375" i="14"/>
  <c r="T375" i="14"/>
  <c r="AO374" i="14"/>
  <c r="AP374" i="14" s="1"/>
  <c r="AL374" i="14"/>
  <c r="AM374" i="14" s="1"/>
  <c r="AK374" i="14"/>
  <c r="T374" i="14"/>
  <c r="AO373" i="14"/>
  <c r="AP373" i="14" s="1"/>
  <c r="AL373" i="14"/>
  <c r="AM373" i="14" s="1"/>
  <c r="AK373" i="14"/>
  <c r="T373" i="14"/>
  <c r="AO372" i="14"/>
  <c r="AP372" i="14" s="1"/>
  <c r="AL372" i="14"/>
  <c r="AM372" i="14" s="1"/>
  <c r="AK372" i="14"/>
  <c r="T372" i="14"/>
  <c r="AO371" i="14"/>
  <c r="AP371" i="14" s="1"/>
  <c r="AL371" i="14"/>
  <c r="AM371" i="14" s="1"/>
  <c r="AK371" i="14"/>
  <c r="T371" i="14"/>
  <c r="AO370" i="14"/>
  <c r="AP370" i="14" s="1"/>
  <c r="AL370" i="14"/>
  <c r="AM370" i="14" s="1"/>
  <c r="AK370" i="14"/>
  <c r="T370" i="14"/>
  <c r="AO369" i="14"/>
  <c r="AP369" i="14" s="1"/>
  <c r="AL369" i="14"/>
  <c r="AM369" i="14" s="1"/>
  <c r="AK369" i="14"/>
  <c r="T369" i="14"/>
  <c r="AO368" i="14"/>
  <c r="AP368" i="14" s="1"/>
  <c r="AL368" i="14"/>
  <c r="AM368" i="14" s="1"/>
  <c r="AK368" i="14"/>
  <c r="T368" i="14"/>
  <c r="AO367" i="14"/>
  <c r="AP367" i="14" s="1"/>
  <c r="AL367" i="14"/>
  <c r="AM367" i="14" s="1"/>
  <c r="AK367" i="14"/>
  <c r="T367" i="14"/>
  <c r="AO366" i="14"/>
  <c r="AP366" i="14" s="1"/>
  <c r="AL366" i="14"/>
  <c r="AM366" i="14" s="1"/>
  <c r="AK366" i="14"/>
  <c r="T366" i="14"/>
  <c r="AO365" i="14"/>
  <c r="AP365" i="14" s="1"/>
  <c r="AL365" i="14"/>
  <c r="AM365" i="14" s="1"/>
  <c r="AK365" i="14"/>
  <c r="T365" i="14"/>
  <c r="AO364" i="14"/>
  <c r="AP364" i="14" s="1"/>
  <c r="AL364" i="14"/>
  <c r="AM364" i="14" s="1"/>
  <c r="AK364" i="14"/>
  <c r="T364" i="14"/>
  <c r="AO363" i="14"/>
  <c r="AP363" i="14" s="1"/>
  <c r="AL363" i="14"/>
  <c r="AM363" i="14" s="1"/>
  <c r="AK363" i="14"/>
  <c r="T363" i="14"/>
  <c r="AO362" i="14"/>
  <c r="AP362" i="14" s="1"/>
  <c r="AL362" i="14"/>
  <c r="AM362" i="14" s="1"/>
  <c r="AK362" i="14"/>
  <c r="T362" i="14"/>
  <c r="AO361" i="14"/>
  <c r="AP361" i="14" s="1"/>
  <c r="AL361" i="14"/>
  <c r="AM361" i="14" s="1"/>
  <c r="AK361" i="14"/>
  <c r="T361" i="14"/>
  <c r="AO360" i="14"/>
  <c r="AP360" i="14" s="1"/>
  <c r="AL360" i="14"/>
  <c r="AM360" i="14" s="1"/>
  <c r="AK360" i="14"/>
  <c r="T360" i="14"/>
  <c r="AO359" i="14"/>
  <c r="AP359" i="14" s="1"/>
  <c r="AL359" i="14"/>
  <c r="AM359" i="14" s="1"/>
  <c r="AK359" i="14"/>
  <c r="T359" i="14"/>
  <c r="AO358" i="14"/>
  <c r="AP358" i="14" s="1"/>
  <c r="AL358" i="14"/>
  <c r="AM358" i="14" s="1"/>
  <c r="AK358" i="14"/>
  <c r="T358" i="14"/>
  <c r="AO357" i="14"/>
  <c r="AP357" i="14" s="1"/>
  <c r="AL357" i="14"/>
  <c r="AM357" i="14" s="1"/>
  <c r="AK357" i="14"/>
  <c r="T357" i="14"/>
  <c r="AO356" i="14"/>
  <c r="AP356" i="14" s="1"/>
  <c r="AL356" i="14"/>
  <c r="AM356" i="14" s="1"/>
  <c r="AK356" i="14"/>
  <c r="T356" i="14"/>
  <c r="AO355" i="14"/>
  <c r="AP355" i="14" s="1"/>
  <c r="AL355" i="14"/>
  <c r="AM355" i="14" s="1"/>
  <c r="AK355" i="14"/>
  <c r="T355" i="14"/>
  <c r="AO354" i="14"/>
  <c r="AP354" i="14" s="1"/>
  <c r="AL354" i="14"/>
  <c r="AM354" i="14" s="1"/>
  <c r="AK354" i="14"/>
  <c r="T354" i="14"/>
  <c r="AO353" i="14"/>
  <c r="AP353" i="14" s="1"/>
  <c r="AL353" i="14"/>
  <c r="AM353" i="14" s="1"/>
  <c r="AK353" i="14"/>
  <c r="T353" i="14"/>
  <c r="AO352" i="14"/>
  <c r="AP352" i="14" s="1"/>
  <c r="AL352" i="14"/>
  <c r="AM352" i="14" s="1"/>
  <c r="AK352" i="14"/>
  <c r="T352" i="14"/>
  <c r="AO351" i="14"/>
  <c r="AP351" i="14" s="1"/>
  <c r="AL351" i="14"/>
  <c r="AM351" i="14" s="1"/>
  <c r="AK351" i="14"/>
  <c r="T351" i="14"/>
  <c r="AO350" i="14"/>
  <c r="AP350" i="14" s="1"/>
  <c r="AL350" i="14"/>
  <c r="AM350" i="14" s="1"/>
  <c r="AK350" i="14"/>
  <c r="T350" i="14"/>
  <c r="AO349" i="14"/>
  <c r="AP349" i="14" s="1"/>
  <c r="AL349" i="14"/>
  <c r="AM349" i="14" s="1"/>
  <c r="AK349" i="14"/>
  <c r="T349" i="14"/>
  <c r="AO348" i="14"/>
  <c r="AP348" i="14" s="1"/>
  <c r="AL348" i="14"/>
  <c r="AM348" i="14" s="1"/>
  <c r="AK348" i="14"/>
  <c r="T348" i="14"/>
  <c r="AO347" i="14"/>
  <c r="AP347" i="14" s="1"/>
  <c r="AL347" i="14"/>
  <c r="AM347" i="14" s="1"/>
  <c r="AK347" i="14"/>
  <c r="T347" i="14"/>
  <c r="AO346" i="14"/>
  <c r="AP346" i="14" s="1"/>
  <c r="AL346" i="14"/>
  <c r="AM346" i="14" s="1"/>
  <c r="AK346" i="14"/>
  <c r="T346" i="14"/>
  <c r="AO345" i="14"/>
  <c r="AP345" i="14" s="1"/>
  <c r="AL345" i="14"/>
  <c r="AM345" i="14" s="1"/>
  <c r="AK345" i="14"/>
  <c r="T345" i="14"/>
  <c r="AO344" i="14"/>
  <c r="AP344" i="14" s="1"/>
  <c r="AL344" i="14"/>
  <c r="AM344" i="14" s="1"/>
  <c r="AK344" i="14"/>
  <c r="T344" i="14"/>
  <c r="AO343" i="14"/>
  <c r="AP343" i="14" s="1"/>
  <c r="AL343" i="14"/>
  <c r="AM343" i="14" s="1"/>
  <c r="AK343" i="14"/>
  <c r="T343" i="14"/>
  <c r="AO342" i="14"/>
  <c r="AP342" i="14" s="1"/>
  <c r="AL342" i="14"/>
  <c r="AM342" i="14" s="1"/>
  <c r="AK342" i="14"/>
  <c r="T342" i="14"/>
  <c r="AO341" i="14"/>
  <c r="AP341" i="14" s="1"/>
  <c r="AL341" i="14"/>
  <c r="AM341" i="14" s="1"/>
  <c r="AK341" i="14"/>
  <c r="T341" i="14"/>
  <c r="AO340" i="14"/>
  <c r="AP340" i="14" s="1"/>
  <c r="AL340" i="14"/>
  <c r="AM340" i="14" s="1"/>
  <c r="AK340" i="14"/>
  <c r="T340" i="14"/>
  <c r="AO339" i="14"/>
  <c r="AP339" i="14" s="1"/>
  <c r="AL339" i="14"/>
  <c r="AM339" i="14" s="1"/>
  <c r="AK339" i="14"/>
  <c r="T339" i="14"/>
  <c r="AO338" i="14"/>
  <c r="AP338" i="14" s="1"/>
  <c r="AL338" i="14"/>
  <c r="AM338" i="14" s="1"/>
  <c r="AK338" i="14"/>
  <c r="T338" i="14"/>
  <c r="AO337" i="14"/>
  <c r="AP337" i="14" s="1"/>
  <c r="AL337" i="14"/>
  <c r="AM337" i="14" s="1"/>
  <c r="AK337" i="14"/>
  <c r="T337" i="14"/>
  <c r="AO336" i="14"/>
  <c r="AP336" i="14" s="1"/>
  <c r="AL336" i="14"/>
  <c r="AM336" i="14" s="1"/>
  <c r="AK336" i="14"/>
  <c r="T336" i="14"/>
  <c r="AO335" i="14"/>
  <c r="AP335" i="14" s="1"/>
  <c r="AL335" i="14"/>
  <c r="AM335" i="14" s="1"/>
  <c r="AK335" i="14"/>
  <c r="T335" i="14"/>
  <c r="AO334" i="14"/>
  <c r="AP334" i="14" s="1"/>
  <c r="AL334" i="14"/>
  <c r="AM334" i="14" s="1"/>
  <c r="AK334" i="14"/>
  <c r="T334" i="14"/>
  <c r="AO333" i="14"/>
  <c r="AP333" i="14" s="1"/>
  <c r="AL333" i="14"/>
  <c r="AM333" i="14" s="1"/>
  <c r="AK333" i="14"/>
  <c r="T333" i="14"/>
  <c r="AO332" i="14"/>
  <c r="AP332" i="14" s="1"/>
  <c r="AL332" i="14"/>
  <c r="AM332" i="14" s="1"/>
  <c r="AK332" i="14"/>
  <c r="T332" i="14"/>
  <c r="AO331" i="14"/>
  <c r="AP331" i="14" s="1"/>
  <c r="AL331" i="14"/>
  <c r="AM331" i="14" s="1"/>
  <c r="AK331" i="14"/>
  <c r="T331" i="14"/>
  <c r="AO330" i="14"/>
  <c r="AP330" i="14" s="1"/>
  <c r="AL330" i="14"/>
  <c r="AM330" i="14" s="1"/>
  <c r="AK330" i="14"/>
  <c r="T330" i="14"/>
  <c r="AO329" i="14"/>
  <c r="AP329" i="14" s="1"/>
  <c r="AL329" i="14"/>
  <c r="AM329" i="14" s="1"/>
  <c r="AK329" i="14"/>
  <c r="T329" i="14"/>
  <c r="AO328" i="14"/>
  <c r="AP328" i="14" s="1"/>
  <c r="AL328" i="14"/>
  <c r="AM328" i="14" s="1"/>
  <c r="AK328" i="14"/>
  <c r="T328" i="14"/>
  <c r="AO327" i="14"/>
  <c r="AP327" i="14" s="1"/>
  <c r="AL327" i="14"/>
  <c r="AM327" i="14" s="1"/>
  <c r="AK327" i="14"/>
  <c r="T327" i="14"/>
  <c r="AO326" i="14"/>
  <c r="AP326" i="14" s="1"/>
  <c r="AL326" i="14"/>
  <c r="AM326" i="14" s="1"/>
  <c r="AK326" i="14"/>
  <c r="T326" i="14"/>
  <c r="AO325" i="14"/>
  <c r="AP325" i="14" s="1"/>
  <c r="AL325" i="14"/>
  <c r="AM325" i="14" s="1"/>
  <c r="AK325" i="14"/>
  <c r="T325" i="14"/>
  <c r="AO324" i="14"/>
  <c r="AP324" i="14" s="1"/>
  <c r="AL324" i="14"/>
  <c r="AM324" i="14" s="1"/>
  <c r="AK324" i="14"/>
  <c r="T324" i="14"/>
  <c r="AO323" i="14"/>
  <c r="AP323" i="14" s="1"/>
  <c r="AL323" i="14"/>
  <c r="AM323" i="14" s="1"/>
  <c r="AK323" i="14"/>
  <c r="T323" i="14"/>
  <c r="AO322" i="14"/>
  <c r="AP322" i="14" s="1"/>
  <c r="AL322" i="14"/>
  <c r="AM322" i="14" s="1"/>
  <c r="AK322" i="14"/>
  <c r="T322" i="14"/>
  <c r="AO321" i="14"/>
  <c r="AP321" i="14" s="1"/>
  <c r="AL321" i="14"/>
  <c r="AM321" i="14" s="1"/>
  <c r="AK321" i="14"/>
  <c r="T321" i="14"/>
  <c r="AO320" i="14"/>
  <c r="AP320" i="14" s="1"/>
  <c r="AL320" i="14"/>
  <c r="AM320" i="14" s="1"/>
  <c r="AK320" i="14"/>
  <c r="T320" i="14"/>
  <c r="AO319" i="14"/>
  <c r="AP319" i="14" s="1"/>
  <c r="AL319" i="14"/>
  <c r="AM319" i="14" s="1"/>
  <c r="AK319" i="14"/>
  <c r="T319" i="14"/>
  <c r="AO318" i="14"/>
  <c r="AP318" i="14" s="1"/>
  <c r="AL318" i="14"/>
  <c r="AM318" i="14" s="1"/>
  <c r="AK318" i="14"/>
  <c r="T318" i="14"/>
  <c r="AO317" i="14"/>
  <c r="AP317" i="14" s="1"/>
  <c r="AL317" i="14"/>
  <c r="AM317" i="14" s="1"/>
  <c r="AK317" i="14"/>
  <c r="T317" i="14"/>
  <c r="AO316" i="14"/>
  <c r="AP316" i="14" s="1"/>
  <c r="AL316" i="14"/>
  <c r="AM316" i="14" s="1"/>
  <c r="AK316" i="14"/>
  <c r="T316" i="14"/>
  <c r="AO315" i="14"/>
  <c r="AL315" i="14"/>
  <c r="AM315" i="14" s="1"/>
  <c r="AK315" i="14"/>
  <c r="T315" i="14"/>
  <c r="AO314" i="14"/>
  <c r="AP314" i="14" s="1"/>
  <c r="AL314" i="14"/>
  <c r="AM314" i="14" s="1"/>
  <c r="AK314" i="14"/>
  <c r="T314" i="14"/>
  <c r="AO313" i="14"/>
  <c r="AP313" i="14" s="1"/>
  <c r="AL313" i="14"/>
  <c r="AM313" i="14" s="1"/>
  <c r="AK313" i="14"/>
  <c r="T313" i="14"/>
  <c r="AO312" i="14"/>
  <c r="AP312" i="14" s="1"/>
  <c r="AL312" i="14"/>
  <c r="AM312" i="14" s="1"/>
  <c r="AK312" i="14"/>
  <c r="T312" i="14"/>
  <c r="AO311" i="14"/>
  <c r="AP311" i="14" s="1"/>
  <c r="AL311" i="14"/>
  <c r="AM311" i="14" s="1"/>
  <c r="AK311" i="14"/>
  <c r="T311" i="14"/>
  <c r="AO310" i="14"/>
  <c r="AP310" i="14" s="1"/>
  <c r="AL310" i="14"/>
  <c r="AM310" i="14" s="1"/>
  <c r="AK310" i="14"/>
  <c r="T310" i="14"/>
  <c r="AO309" i="14"/>
  <c r="AP309" i="14" s="1"/>
  <c r="AL309" i="14"/>
  <c r="AM309" i="14" s="1"/>
  <c r="AK309" i="14"/>
  <c r="T309" i="14"/>
  <c r="AO308" i="14"/>
  <c r="AP308" i="14" s="1"/>
  <c r="AL308" i="14"/>
  <c r="AM308" i="14" s="1"/>
  <c r="AK308" i="14"/>
  <c r="T308" i="14"/>
  <c r="AO307" i="14"/>
  <c r="AP307" i="14" s="1"/>
  <c r="AL307" i="14"/>
  <c r="AM307" i="14" s="1"/>
  <c r="AK307" i="14"/>
  <c r="T307" i="14"/>
  <c r="AO306" i="14"/>
  <c r="AP306" i="14" s="1"/>
  <c r="AL306" i="14"/>
  <c r="AM306" i="14" s="1"/>
  <c r="AK306" i="14"/>
  <c r="T306" i="14"/>
  <c r="AO305" i="14"/>
  <c r="AP305" i="14" s="1"/>
  <c r="AL305" i="14"/>
  <c r="AM305" i="14" s="1"/>
  <c r="AK305" i="14"/>
  <c r="T305" i="14"/>
  <c r="AO304" i="14"/>
  <c r="AP304" i="14" s="1"/>
  <c r="AL304" i="14"/>
  <c r="AM304" i="14" s="1"/>
  <c r="AK304" i="14"/>
  <c r="T304" i="14"/>
  <c r="AO303" i="14"/>
  <c r="AP303" i="14" s="1"/>
  <c r="AL303" i="14"/>
  <c r="AM303" i="14" s="1"/>
  <c r="AK303" i="14"/>
  <c r="T303" i="14"/>
  <c r="AO302" i="14"/>
  <c r="AP302" i="14" s="1"/>
  <c r="AL302" i="14"/>
  <c r="AM302" i="14" s="1"/>
  <c r="AK302" i="14"/>
  <c r="T302" i="14"/>
  <c r="AO301" i="14"/>
  <c r="AP301" i="14" s="1"/>
  <c r="AL301" i="14"/>
  <c r="AM301" i="14" s="1"/>
  <c r="AK301" i="14"/>
  <c r="T301" i="14"/>
  <c r="AO300" i="14"/>
  <c r="AP300" i="14" s="1"/>
  <c r="AL300" i="14"/>
  <c r="AM300" i="14" s="1"/>
  <c r="AK300" i="14"/>
  <c r="T300" i="14"/>
  <c r="AO299" i="14"/>
  <c r="AP299" i="14" s="1"/>
  <c r="AL299" i="14"/>
  <c r="AM299" i="14" s="1"/>
  <c r="AK299" i="14"/>
  <c r="T299" i="14"/>
  <c r="AO298" i="14"/>
  <c r="AP298" i="14" s="1"/>
  <c r="AL298" i="14"/>
  <c r="AM298" i="14" s="1"/>
  <c r="AK298" i="14"/>
  <c r="T298" i="14"/>
  <c r="AO297" i="14"/>
  <c r="AP297" i="14" s="1"/>
  <c r="AL297" i="14"/>
  <c r="AM297" i="14" s="1"/>
  <c r="AK297" i="14"/>
  <c r="T297" i="14"/>
  <c r="AO296" i="14"/>
  <c r="AP296" i="14" s="1"/>
  <c r="AL296" i="14"/>
  <c r="AM296" i="14" s="1"/>
  <c r="AK296" i="14"/>
  <c r="T296" i="14"/>
  <c r="AO295" i="14"/>
  <c r="AP295" i="14" s="1"/>
  <c r="AL295" i="14"/>
  <c r="AM295" i="14" s="1"/>
  <c r="AK295" i="14"/>
  <c r="T295" i="14"/>
  <c r="AO294" i="14"/>
  <c r="AP294" i="14" s="1"/>
  <c r="AL294" i="14"/>
  <c r="AM294" i="14" s="1"/>
  <c r="AK294" i="14"/>
  <c r="T294" i="14"/>
  <c r="AO293" i="14"/>
  <c r="AP293" i="14" s="1"/>
  <c r="AL293" i="14"/>
  <c r="AM293" i="14" s="1"/>
  <c r="AK293" i="14"/>
  <c r="T293" i="14"/>
  <c r="AO292" i="14"/>
  <c r="AP292" i="14" s="1"/>
  <c r="AL292" i="14"/>
  <c r="AM292" i="14" s="1"/>
  <c r="AK292" i="14"/>
  <c r="T292" i="14"/>
  <c r="AO291" i="14"/>
  <c r="AP291" i="14" s="1"/>
  <c r="AL291" i="14"/>
  <c r="AM291" i="14" s="1"/>
  <c r="AK291" i="14"/>
  <c r="T291" i="14"/>
  <c r="AO290" i="14"/>
  <c r="AP290" i="14" s="1"/>
  <c r="AL290" i="14"/>
  <c r="AM290" i="14" s="1"/>
  <c r="AK290" i="14"/>
  <c r="T290" i="14"/>
  <c r="AO289" i="14"/>
  <c r="AP289" i="14" s="1"/>
  <c r="AL289" i="14"/>
  <c r="AM289" i="14" s="1"/>
  <c r="AK289" i="14"/>
  <c r="T289" i="14"/>
  <c r="AO288" i="14"/>
  <c r="AL288" i="14"/>
  <c r="AM288" i="14" s="1"/>
  <c r="AK288" i="14"/>
  <c r="T288" i="14"/>
  <c r="AO287" i="14"/>
  <c r="AP287" i="14" s="1"/>
  <c r="AL287" i="14"/>
  <c r="AM287" i="14" s="1"/>
  <c r="AK287" i="14"/>
  <c r="T287" i="14"/>
  <c r="AO286" i="14"/>
  <c r="AP286" i="14" s="1"/>
  <c r="AL286" i="14"/>
  <c r="AM286" i="14" s="1"/>
  <c r="AK286" i="14"/>
  <c r="T286" i="14"/>
  <c r="AO285" i="14"/>
  <c r="AP285" i="14" s="1"/>
  <c r="AL285" i="14"/>
  <c r="AM285" i="14" s="1"/>
  <c r="AK285" i="14"/>
  <c r="T285" i="14"/>
  <c r="AO284" i="14"/>
  <c r="AP284" i="14" s="1"/>
  <c r="AL284" i="14"/>
  <c r="AM284" i="14" s="1"/>
  <c r="AK284" i="14"/>
  <c r="T284" i="14"/>
  <c r="AO283" i="14"/>
  <c r="AP283" i="14" s="1"/>
  <c r="AL283" i="14"/>
  <c r="AM283" i="14" s="1"/>
  <c r="AK283" i="14"/>
  <c r="T283" i="14"/>
  <c r="AO282" i="14"/>
  <c r="AP282" i="14" s="1"/>
  <c r="AL282" i="14"/>
  <c r="AM282" i="14" s="1"/>
  <c r="AK282" i="14"/>
  <c r="T282" i="14"/>
  <c r="AO281" i="14"/>
  <c r="AP281" i="14" s="1"/>
  <c r="AL281" i="14"/>
  <c r="AM281" i="14" s="1"/>
  <c r="AK281" i="14"/>
  <c r="T281" i="14"/>
  <c r="AO280" i="14"/>
  <c r="AP280" i="14" s="1"/>
  <c r="AL280" i="14"/>
  <c r="AM280" i="14" s="1"/>
  <c r="AK280" i="14"/>
  <c r="T280" i="14"/>
  <c r="AO279" i="14"/>
  <c r="AP279" i="14" s="1"/>
  <c r="AL279" i="14"/>
  <c r="AM279" i="14" s="1"/>
  <c r="AK279" i="14"/>
  <c r="T279" i="14"/>
  <c r="AO278" i="14"/>
  <c r="AP278" i="14" s="1"/>
  <c r="AL278" i="14"/>
  <c r="AM278" i="14" s="1"/>
  <c r="AK278" i="14"/>
  <c r="T278" i="14"/>
  <c r="AO277" i="14"/>
  <c r="AP277" i="14" s="1"/>
  <c r="AL277" i="14"/>
  <c r="AM277" i="14" s="1"/>
  <c r="AK277" i="14"/>
  <c r="T277" i="14"/>
  <c r="AO276" i="14"/>
  <c r="AP276" i="14" s="1"/>
  <c r="AL276" i="14"/>
  <c r="AM276" i="14" s="1"/>
  <c r="AK276" i="14"/>
  <c r="T276" i="14"/>
  <c r="AO275" i="14"/>
  <c r="AP275" i="14" s="1"/>
  <c r="AL275" i="14"/>
  <c r="AM275" i="14" s="1"/>
  <c r="AK275" i="14"/>
  <c r="T275" i="14"/>
  <c r="AO274" i="14"/>
  <c r="AP274" i="14" s="1"/>
  <c r="AL274" i="14"/>
  <c r="AM274" i="14" s="1"/>
  <c r="AK274" i="14"/>
  <c r="T274" i="14"/>
  <c r="AO273" i="14"/>
  <c r="AP273" i="14" s="1"/>
  <c r="AL273" i="14"/>
  <c r="AM273" i="14" s="1"/>
  <c r="AK273" i="14"/>
  <c r="T273" i="14"/>
  <c r="AO272" i="14"/>
  <c r="AP272" i="14" s="1"/>
  <c r="AL272" i="14"/>
  <c r="AM272" i="14" s="1"/>
  <c r="AK272" i="14"/>
  <c r="T272" i="14"/>
  <c r="AO271" i="14"/>
  <c r="AP271" i="14" s="1"/>
  <c r="AL271" i="14"/>
  <c r="AM271" i="14" s="1"/>
  <c r="AK271" i="14"/>
  <c r="T271" i="14"/>
  <c r="AO270" i="14"/>
  <c r="AP270" i="14" s="1"/>
  <c r="AL270" i="14"/>
  <c r="AM270" i="14" s="1"/>
  <c r="AK270" i="14"/>
  <c r="T270" i="14"/>
  <c r="AO269" i="14"/>
  <c r="AP269" i="14" s="1"/>
  <c r="AL269" i="14"/>
  <c r="AM269" i="14" s="1"/>
  <c r="AK269" i="14"/>
  <c r="T269" i="14"/>
  <c r="AO268" i="14"/>
  <c r="AP268" i="14" s="1"/>
  <c r="AL268" i="14"/>
  <c r="AM268" i="14" s="1"/>
  <c r="AK268" i="14"/>
  <c r="T268" i="14"/>
  <c r="AO267" i="14"/>
  <c r="AP267" i="14" s="1"/>
  <c r="AL267" i="14"/>
  <c r="AM267" i="14" s="1"/>
  <c r="AK267" i="14"/>
  <c r="T267" i="14"/>
  <c r="AO266" i="14"/>
  <c r="AP266" i="14" s="1"/>
  <c r="AL266" i="14"/>
  <c r="AM266" i="14" s="1"/>
  <c r="AK266" i="14"/>
  <c r="T266" i="14"/>
  <c r="AO265" i="14"/>
  <c r="AP265" i="14" s="1"/>
  <c r="AL265" i="14"/>
  <c r="AM265" i="14" s="1"/>
  <c r="AK265" i="14"/>
  <c r="T265" i="14"/>
  <c r="AO264" i="14"/>
  <c r="AP264" i="14" s="1"/>
  <c r="AL264" i="14"/>
  <c r="AM264" i="14" s="1"/>
  <c r="AK264" i="14"/>
  <c r="T264" i="14"/>
  <c r="AO263" i="14"/>
  <c r="AP263" i="14" s="1"/>
  <c r="AL263" i="14"/>
  <c r="AM263" i="14" s="1"/>
  <c r="AK263" i="14"/>
  <c r="T263" i="14"/>
  <c r="AO262" i="14"/>
  <c r="AP262" i="14" s="1"/>
  <c r="AL262" i="14"/>
  <c r="AM262" i="14" s="1"/>
  <c r="AK262" i="14"/>
  <c r="T262" i="14"/>
  <c r="AO261" i="14"/>
  <c r="AP261" i="14" s="1"/>
  <c r="AL261" i="14"/>
  <c r="AM261" i="14" s="1"/>
  <c r="AK261" i="14"/>
  <c r="T261" i="14"/>
  <c r="AO260" i="14"/>
  <c r="AP260" i="14" s="1"/>
  <c r="AL260" i="14"/>
  <c r="AM260" i="14" s="1"/>
  <c r="AK260" i="14"/>
  <c r="T260" i="14"/>
  <c r="AO259" i="14"/>
  <c r="AP259" i="14" s="1"/>
  <c r="AL259" i="14"/>
  <c r="AM259" i="14" s="1"/>
  <c r="AK259" i="14"/>
  <c r="T259" i="14"/>
  <c r="AO258" i="14"/>
  <c r="AP258" i="14" s="1"/>
  <c r="AL258" i="14"/>
  <c r="AM258" i="14" s="1"/>
  <c r="AK258" i="14"/>
  <c r="T258" i="14"/>
  <c r="AO257" i="14"/>
  <c r="AP257" i="14" s="1"/>
  <c r="AL257" i="14"/>
  <c r="AM257" i="14" s="1"/>
  <c r="AK257" i="14"/>
  <c r="T257" i="14"/>
  <c r="AO256" i="14"/>
  <c r="AP256" i="14" s="1"/>
  <c r="AL256" i="14"/>
  <c r="AM256" i="14" s="1"/>
  <c r="AK256" i="14"/>
  <c r="T256" i="14"/>
  <c r="AO255" i="14"/>
  <c r="AP255" i="14" s="1"/>
  <c r="AL255" i="14"/>
  <c r="AM255" i="14" s="1"/>
  <c r="AK255" i="14"/>
  <c r="T255" i="14"/>
  <c r="AO254" i="14"/>
  <c r="AP254" i="14" s="1"/>
  <c r="AL254" i="14"/>
  <c r="AM254" i="14" s="1"/>
  <c r="AK254" i="14"/>
  <c r="T254" i="14"/>
  <c r="AO253" i="14"/>
  <c r="AP253" i="14" s="1"/>
  <c r="AL253" i="14"/>
  <c r="AM253" i="14" s="1"/>
  <c r="AK253" i="14"/>
  <c r="T253" i="14"/>
  <c r="AO252" i="14"/>
  <c r="AP252" i="14" s="1"/>
  <c r="AL252" i="14"/>
  <c r="AM252" i="14" s="1"/>
  <c r="AK252" i="14"/>
  <c r="T252" i="14"/>
  <c r="AO251" i="14"/>
  <c r="AP251" i="14" s="1"/>
  <c r="AL251" i="14"/>
  <c r="AM251" i="14" s="1"/>
  <c r="AK251" i="14"/>
  <c r="T251" i="14"/>
  <c r="AO250" i="14"/>
  <c r="AP250" i="14" s="1"/>
  <c r="AL250" i="14"/>
  <c r="AM250" i="14" s="1"/>
  <c r="AK250" i="14"/>
  <c r="T250" i="14"/>
  <c r="AO249" i="14"/>
  <c r="AP249" i="14" s="1"/>
  <c r="AL249" i="14"/>
  <c r="AM249" i="14" s="1"/>
  <c r="AK249" i="14"/>
  <c r="T249" i="14"/>
  <c r="AO248" i="14"/>
  <c r="AP248" i="14" s="1"/>
  <c r="AL248" i="14"/>
  <c r="AM248" i="14" s="1"/>
  <c r="AK248" i="14"/>
  <c r="T248" i="14"/>
  <c r="AO247" i="14"/>
  <c r="AP247" i="14" s="1"/>
  <c r="AL247" i="14"/>
  <c r="AM247" i="14" s="1"/>
  <c r="AK247" i="14"/>
  <c r="T247" i="14"/>
  <c r="AO246" i="14"/>
  <c r="AP246" i="14" s="1"/>
  <c r="AL246" i="14"/>
  <c r="AM246" i="14" s="1"/>
  <c r="AK246" i="14"/>
  <c r="T246" i="14"/>
  <c r="AO245" i="14"/>
  <c r="AP245" i="14" s="1"/>
  <c r="AL245" i="14"/>
  <c r="AM245" i="14" s="1"/>
  <c r="AK245" i="14"/>
  <c r="T245" i="14"/>
  <c r="AO244" i="14"/>
  <c r="AP244" i="14" s="1"/>
  <c r="AL244" i="14"/>
  <c r="AM244" i="14" s="1"/>
  <c r="AK244" i="14"/>
  <c r="T244" i="14"/>
  <c r="AO243" i="14"/>
  <c r="AP243" i="14" s="1"/>
  <c r="AL243" i="14"/>
  <c r="AM243" i="14" s="1"/>
  <c r="AK243" i="14"/>
  <c r="T243" i="14"/>
  <c r="AO242" i="14"/>
  <c r="AP242" i="14" s="1"/>
  <c r="AL242" i="14"/>
  <c r="AM242" i="14" s="1"/>
  <c r="AK242" i="14"/>
  <c r="T242" i="14"/>
  <c r="AO241" i="14"/>
  <c r="AP241" i="14" s="1"/>
  <c r="AL241" i="14"/>
  <c r="AM241" i="14" s="1"/>
  <c r="AK241" i="14"/>
  <c r="T241" i="14"/>
  <c r="AO240" i="14"/>
  <c r="AP240" i="14" s="1"/>
  <c r="AL240" i="14"/>
  <c r="AM240" i="14" s="1"/>
  <c r="AK240" i="14"/>
  <c r="T240" i="14"/>
  <c r="AO239" i="14"/>
  <c r="AP239" i="14" s="1"/>
  <c r="AL239" i="14"/>
  <c r="AM239" i="14" s="1"/>
  <c r="AK239" i="14"/>
  <c r="T239" i="14"/>
  <c r="AO238" i="14"/>
  <c r="AP238" i="14" s="1"/>
  <c r="AL238" i="14"/>
  <c r="AM238" i="14" s="1"/>
  <c r="AK238" i="14"/>
  <c r="T238" i="14"/>
  <c r="AO237" i="14"/>
  <c r="AP237" i="14" s="1"/>
  <c r="AL237" i="14"/>
  <c r="AM237" i="14" s="1"/>
  <c r="AK237" i="14"/>
  <c r="T237" i="14"/>
  <c r="AO236" i="14"/>
  <c r="AP236" i="14" s="1"/>
  <c r="AL236" i="14"/>
  <c r="AM236" i="14" s="1"/>
  <c r="AK236" i="14"/>
  <c r="T236" i="14"/>
  <c r="AO235" i="14"/>
  <c r="AP235" i="14" s="1"/>
  <c r="AL235" i="14"/>
  <c r="AM235" i="14" s="1"/>
  <c r="AK235" i="14"/>
  <c r="T235" i="14"/>
  <c r="AO234" i="14"/>
  <c r="AP234" i="14" s="1"/>
  <c r="AL234" i="14"/>
  <c r="AM234" i="14" s="1"/>
  <c r="AK234" i="14"/>
  <c r="T234" i="14"/>
  <c r="AO233" i="14"/>
  <c r="AP233" i="14" s="1"/>
  <c r="AL233" i="14"/>
  <c r="AM233" i="14" s="1"/>
  <c r="AK233" i="14"/>
  <c r="T233" i="14"/>
  <c r="AO232" i="14"/>
  <c r="AP232" i="14" s="1"/>
  <c r="AL232" i="14"/>
  <c r="AM232" i="14" s="1"/>
  <c r="AK232" i="14"/>
  <c r="T232" i="14"/>
  <c r="AO231" i="14"/>
  <c r="AP231" i="14" s="1"/>
  <c r="AL231" i="14"/>
  <c r="AM231" i="14" s="1"/>
  <c r="AK231" i="14"/>
  <c r="T231" i="14"/>
  <c r="AO230" i="14"/>
  <c r="AP230" i="14" s="1"/>
  <c r="AL230" i="14"/>
  <c r="AM230" i="14" s="1"/>
  <c r="AK230" i="14"/>
  <c r="T230" i="14"/>
  <c r="AO229" i="14"/>
  <c r="AP229" i="14" s="1"/>
  <c r="AL229" i="14"/>
  <c r="AM229" i="14" s="1"/>
  <c r="AK229" i="14"/>
  <c r="T229" i="14"/>
  <c r="AO228" i="14"/>
  <c r="AP228" i="14" s="1"/>
  <c r="AL228" i="14"/>
  <c r="AM228" i="14" s="1"/>
  <c r="AK228" i="14"/>
  <c r="T228" i="14"/>
  <c r="AO227" i="14"/>
  <c r="AP227" i="14" s="1"/>
  <c r="AL227" i="14"/>
  <c r="AM227" i="14" s="1"/>
  <c r="AK227" i="14"/>
  <c r="T227" i="14"/>
  <c r="AO226" i="14"/>
  <c r="AP226" i="14" s="1"/>
  <c r="AL226" i="14"/>
  <c r="AM226" i="14" s="1"/>
  <c r="AK226" i="14"/>
  <c r="T226" i="14"/>
  <c r="AO225" i="14"/>
  <c r="AP225" i="14" s="1"/>
  <c r="AL225" i="14"/>
  <c r="AM225" i="14" s="1"/>
  <c r="AK225" i="14"/>
  <c r="T225" i="14"/>
  <c r="AO224" i="14"/>
  <c r="AP224" i="14" s="1"/>
  <c r="AL224" i="14"/>
  <c r="AM224" i="14" s="1"/>
  <c r="AK224" i="14"/>
  <c r="T224" i="14"/>
  <c r="AO223" i="14"/>
  <c r="AP223" i="14" s="1"/>
  <c r="AL223" i="14"/>
  <c r="AM223" i="14" s="1"/>
  <c r="AK223" i="14"/>
  <c r="T223" i="14"/>
  <c r="AO222" i="14"/>
  <c r="AP222" i="14" s="1"/>
  <c r="AL222" i="14"/>
  <c r="AM222" i="14" s="1"/>
  <c r="AK222" i="14"/>
  <c r="T222" i="14"/>
  <c r="AO221" i="14"/>
  <c r="AP221" i="14" s="1"/>
  <c r="AL221" i="14"/>
  <c r="AM221" i="14" s="1"/>
  <c r="AK221" i="14"/>
  <c r="T221" i="14"/>
  <c r="AO220" i="14"/>
  <c r="AP220" i="14" s="1"/>
  <c r="AL220" i="14"/>
  <c r="AM220" i="14" s="1"/>
  <c r="AK220" i="14"/>
  <c r="T220" i="14"/>
  <c r="AO219" i="14"/>
  <c r="AP219" i="14" s="1"/>
  <c r="AL219" i="14"/>
  <c r="AM219" i="14" s="1"/>
  <c r="AK219" i="14"/>
  <c r="T219" i="14"/>
  <c r="AO218" i="14"/>
  <c r="AP218" i="14" s="1"/>
  <c r="AL218" i="14"/>
  <c r="AM218" i="14" s="1"/>
  <c r="AK218" i="14"/>
  <c r="T218" i="14"/>
  <c r="AO217" i="14"/>
  <c r="AP217" i="14" s="1"/>
  <c r="AL217" i="14"/>
  <c r="AM217" i="14" s="1"/>
  <c r="AK217" i="14"/>
  <c r="T217" i="14"/>
  <c r="AO216" i="14"/>
  <c r="AP216" i="14" s="1"/>
  <c r="AL216" i="14"/>
  <c r="AM216" i="14" s="1"/>
  <c r="AK216" i="14"/>
  <c r="T216" i="14"/>
  <c r="AO215" i="14"/>
  <c r="AP215" i="14" s="1"/>
  <c r="AL215" i="14"/>
  <c r="AM215" i="14" s="1"/>
  <c r="AK215" i="14"/>
  <c r="T215" i="14"/>
  <c r="AO214" i="14"/>
  <c r="AP214" i="14" s="1"/>
  <c r="AL214" i="14"/>
  <c r="AM214" i="14" s="1"/>
  <c r="AK214" i="14"/>
  <c r="T214" i="14"/>
  <c r="AO213" i="14"/>
  <c r="AP213" i="14" s="1"/>
  <c r="AL213" i="14"/>
  <c r="AM213" i="14" s="1"/>
  <c r="AK213" i="14"/>
  <c r="T213" i="14"/>
  <c r="AO212" i="14"/>
  <c r="AP212" i="14" s="1"/>
  <c r="AL212" i="14"/>
  <c r="AM212" i="14" s="1"/>
  <c r="AK212" i="14"/>
  <c r="T212" i="14"/>
  <c r="AO211" i="14"/>
  <c r="AP211" i="14" s="1"/>
  <c r="AL211" i="14"/>
  <c r="AM211" i="14" s="1"/>
  <c r="AK211" i="14"/>
  <c r="T211" i="14"/>
  <c r="AO210" i="14"/>
  <c r="AP210" i="14" s="1"/>
  <c r="AL210" i="14"/>
  <c r="AM210" i="14" s="1"/>
  <c r="AK210" i="14"/>
  <c r="T210" i="14"/>
  <c r="AO209" i="14"/>
  <c r="AP209" i="14" s="1"/>
  <c r="AL209" i="14"/>
  <c r="AM209" i="14" s="1"/>
  <c r="AK209" i="14"/>
  <c r="T209" i="14"/>
  <c r="AO208" i="14"/>
  <c r="AP208" i="14" s="1"/>
  <c r="AL208" i="14"/>
  <c r="AM208" i="14" s="1"/>
  <c r="AK208" i="14"/>
  <c r="T208" i="14"/>
  <c r="AO207" i="14"/>
  <c r="AP207" i="14" s="1"/>
  <c r="AL207" i="14"/>
  <c r="AM207" i="14" s="1"/>
  <c r="AK207" i="14"/>
  <c r="T207" i="14"/>
  <c r="AO206" i="14"/>
  <c r="AP206" i="14" s="1"/>
  <c r="AL206" i="14"/>
  <c r="AM206" i="14" s="1"/>
  <c r="AK206" i="14"/>
  <c r="T206" i="14"/>
  <c r="AO205" i="14"/>
  <c r="AP205" i="14" s="1"/>
  <c r="AL205" i="14"/>
  <c r="AM205" i="14" s="1"/>
  <c r="AK205" i="14"/>
  <c r="T205" i="14"/>
  <c r="AO204" i="14"/>
  <c r="AP204" i="14" s="1"/>
  <c r="AL204" i="14"/>
  <c r="AM204" i="14" s="1"/>
  <c r="AK204" i="14"/>
  <c r="T204" i="14"/>
  <c r="AO203" i="14"/>
  <c r="AP203" i="14" s="1"/>
  <c r="AL203" i="14"/>
  <c r="AM203" i="14" s="1"/>
  <c r="AK203" i="14"/>
  <c r="T203" i="14"/>
  <c r="AO202" i="14"/>
  <c r="AP202" i="14" s="1"/>
  <c r="AL202" i="14"/>
  <c r="AM202" i="14" s="1"/>
  <c r="AK202" i="14"/>
  <c r="T202" i="14"/>
  <c r="AO201" i="14"/>
  <c r="AP201" i="14" s="1"/>
  <c r="AL201" i="14"/>
  <c r="AM201" i="14" s="1"/>
  <c r="AK201" i="14"/>
  <c r="T201" i="14"/>
  <c r="AO200" i="14"/>
  <c r="AP200" i="14" s="1"/>
  <c r="AL200" i="14"/>
  <c r="AM200" i="14" s="1"/>
  <c r="AK200" i="14"/>
  <c r="T200" i="14"/>
  <c r="AO199" i="14"/>
  <c r="AP199" i="14" s="1"/>
  <c r="AL199" i="14"/>
  <c r="AM199" i="14" s="1"/>
  <c r="AK199" i="14"/>
  <c r="T199" i="14"/>
  <c r="AO198" i="14"/>
  <c r="AP198" i="14" s="1"/>
  <c r="AL198" i="14"/>
  <c r="AM198" i="14" s="1"/>
  <c r="AK198" i="14"/>
  <c r="T198" i="14"/>
  <c r="AO197" i="14"/>
  <c r="AP197" i="14" s="1"/>
  <c r="AL197" i="14"/>
  <c r="AM197" i="14" s="1"/>
  <c r="AK197" i="14"/>
  <c r="T197" i="14"/>
  <c r="AO196" i="14"/>
  <c r="AP196" i="14" s="1"/>
  <c r="AL196" i="14"/>
  <c r="AM196" i="14" s="1"/>
  <c r="AK196" i="14"/>
  <c r="T196" i="14"/>
  <c r="AO195" i="14"/>
  <c r="AP195" i="14" s="1"/>
  <c r="AL195" i="14"/>
  <c r="AM195" i="14" s="1"/>
  <c r="AK195" i="14"/>
  <c r="T195" i="14"/>
  <c r="AO194" i="14"/>
  <c r="AP194" i="14" s="1"/>
  <c r="AL194" i="14"/>
  <c r="AM194" i="14" s="1"/>
  <c r="AK194" i="14"/>
  <c r="T194" i="14"/>
  <c r="AO193" i="14"/>
  <c r="AP193" i="14" s="1"/>
  <c r="AL193" i="14"/>
  <c r="AM193" i="14" s="1"/>
  <c r="AK193" i="14"/>
  <c r="T193" i="14"/>
  <c r="AO192" i="14"/>
  <c r="AP192" i="14" s="1"/>
  <c r="AL192" i="14"/>
  <c r="AM192" i="14" s="1"/>
  <c r="AK192" i="14"/>
  <c r="T192" i="14"/>
  <c r="AO191" i="14"/>
  <c r="AP191" i="14" s="1"/>
  <c r="AL191" i="14"/>
  <c r="AM191" i="14" s="1"/>
  <c r="AK191" i="14"/>
  <c r="T191" i="14"/>
  <c r="AO190" i="14"/>
  <c r="AP190" i="14" s="1"/>
  <c r="AL190" i="14"/>
  <c r="AM190" i="14" s="1"/>
  <c r="AK190" i="14"/>
  <c r="T190" i="14"/>
  <c r="AO189" i="14"/>
  <c r="AP189" i="14" s="1"/>
  <c r="AL189" i="14"/>
  <c r="AM189" i="14" s="1"/>
  <c r="AK189" i="14"/>
  <c r="T189" i="14"/>
  <c r="AO188" i="14"/>
  <c r="AP188" i="14" s="1"/>
  <c r="AL188" i="14"/>
  <c r="AM188" i="14" s="1"/>
  <c r="AK188" i="14"/>
  <c r="T188" i="14"/>
  <c r="AO187" i="14"/>
  <c r="AP187" i="14" s="1"/>
  <c r="AL187" i="14"/>
  <c r="AM187" i="14" s="1"/>
  <c r="AK187" i="14"/>
  <c r="T187" i="14"/>
  <c r="AO186" i="14"/>
  <c r="AP186" i="14" s="1"/>
  <c r="AL186" i="14"/>
  <c r="AM186" i="14" s="1"/>
  <c r="AK186" i="14"/>
  <c r="T186" i="14"/>
  <c r="AO185" i="14"/>
  <c r="AP185" i="14" s="1"/>
  <c r="AL185" i="14"/>
  <c r="AM185" i="14" s="1"/>
  <c r="AK185" i="14"/>
  <c r="T185" i="14"/>
  <c r="AO184" i="14"/>
  <c r="AP184" i="14" s="1"/>
  <c r="AL184" i="14"/>
  <c r="AM184" i="14" s="1"/>
  <c r="AK184" i="14"/>
  <c r="T184" i="14"/>
  <c r="AO183" i="14"/>
  <c r="AP183" i="14" s="1"/>
  <c r="AL183" i="14"/>
  <c r="AM183" i="14" s="1"/>
  <c r="AK183" i="14"/>
  <c r="T183" i="14"/>
  <c r="AO182" i="14"/>
  <c r="AP182" i="14" s="1"/>
  <c r="AL182" i="14"/>
  <c r="AM182" i="14" s="1"/>
  <c r="AK182" i="14"/>
  <c r="T182" i="14"/>
  <c r="AO181" i="14"/>
  <c r="AP181" i="14" s="1"/>
  <c r="AL181" i="14"/>
  <c r="AM181" i="14" s="1"/>
  <c r="AK181" i="14"/>
  <c r="T181" i="14"/>
  <c r="AO180" i="14"/>
  <c r="AP180" i="14" s="1"/>
  <c r="AL180" i="14"/>
  <c r="AM180" i="14" s="1"/>
  <c r="AK180" i="14"/>
  <c r="T180" i="14"/>
  <c r="AO179" i="14"/>
  <c r="AP179" i="14" s="1"/>
  <c r="AL179" i="14"/>
  <c r="AM179" i="14" s="1"/>
  <c r="AK179" i="14"/>
  <c r="T179" i="14"/>
  <c r="AO178" i="14"/>
  <c r="AP178" i="14" s="1"/>
  <c r="AL178" i="14"/>
  <c r="AM178" i="14" s="1"/>
  <c r="AK178" i="14"/>
  <c r="T178" i="14"/>
  <c r="AO177" i="14"/>
  <c r="AP177" i="14" s="1"/>
  <c r="AL177" i="14"/>
  <c r="AM177" i="14" s="1"/>
  <c r="AK177" i="14"/>
  <c r="T177" i="14"/>
  <c r="AO176" i="14"/>
  <c r="AP176" i="14" s="1"/>
  <c r="AL176" i="14"/>
  <c r="AM176" i="14" s="1"/>
  <c r="AK176" i="14"/>
  <c r="T176" i="14"/>
  <c r="AT175" i="14"/>
  <c r="AO175" i="14"/>
  <c r="AP175" i="14" s="1"/>
  <c r="AL175" i="14"/>
  <c r="AM175" i="14" s="1"/>
  <c r="AK175" i="14"/>
  <c r="T175" i="14"/>
  <c r="AO174" i="14"/>
  <c r="AP174" i="14" s="1"/>
  <c r="AL174" i="14"/>
  <c r="AM174" i="14" s="1"/>
  <c r="AK174" i="14"/>
  <c r="T174" i="14"/>
  <c r="AO173" i="14"/>
  <c r="AP173" i="14" s="1"/>
  <c r="AL173" i="14"/>
  <c r="AM173" i="14" s="1"/>
  <c r="AK173" i="14"/>
  <c r="T173" i="14"/>
  <c r="AO172" i="14"/>
  <c r="AP172" i="14" s="1"/>
  <c r="AL172" i="14"/>
  <c r="AM172" i="14" s="1"/>
  <c r="AK172" i="14"/>
  <c r="T172" i="14"/>
  <c r="AO171" i="14"/>
  <c r="AP171" i="14" s="1"/>
  <c r="AL171" i="14"/>
  <c r="AM171" i="14" s="1"/>
  <c r="AK171" i="14"/>
  <c r="T171" i="14"/>
  <c r="AO170" i="14"/>
  <c r="AP170" i="14" s="1"/>
  <c r="AL170" i="14"/>
  <c r="AM170" i="14" s="1"/>
  <c r="AK170" i="14"/>
  <c r="T170" i="14"/>
  <c r="AO169" i="14"/>
  <c r="AP169" i="14" s="1"/>
  <c r="AL169" i="14"/>
  <c r="AM169" i="14" s="1"/>
  <c r="AK169" i="14"/>
  <c r="T169" i="14"/>
  <c r="AO168" i="14"/>
  <c r="AP168" i="14" s="1"/>
  <c r="AL168" i="14"/>
  <c r="AM168" i="14" s="1"/>
  <c r="AK168" i="14"/>
  <c r="T168" i="14"/>
  <c r="AO167" i="14"/>
  <c r="AP167" i="14" s="1"/>
  <c r="AL167" i="14"/>
  <c r="AM167" i="14" s="1"/>
  <c r="AK167" i="14"/>
  <c r="T167" i="14"/>
  <c r="AO166" i="14"/>
  <c r="AP166" i="14" s="1"/>
  <c r="AL166" i="14"/>
  <c r="AM166" i="14" s="1"/>
  <c r="AK166" i="14"/>
  <c r="T166" i="14"/>
  <c r="AO165" i="14"/>
  <c r="AP165" i="14" s="1"/>
  <c r="AL165" i="14"/>
  <c r="AM165" i="14" s="1"/>
  <c r="AK165" i="14"/>
  <c r="T165" i="14"/>
  <c r="AO164" i="14"/>
  <c r="AP164" i="14" s="1"/>
  <c r="AL164" i="14"/>
  <c r="AM164" i="14" s="1"/>
  <c r="AK164" i="14"/>
  <c r="T164" i="14"/>
  <c r="AO163" i="14"/>
  <c r="AP163" i="14" s="1"/>
  <c r="AL163" i="14"/>
  <c r="AM163" i="14" s="1"/>
  <c r="AK163" i="14"/>
  <c r="T163" i="14"/>
  <c r="AO162" i="14"/>
  <c r="AP162" i="14" s="1"/>
  <c r="AL162" i="14"/>
  <c r="AM162" i="14" s="1"/>
  <c r="AK162" i="14"/>
  <c r="T162" i="14"/>
  <c r="AO161" i="14"/>
  <c r="AP161" i="14" s="1"/>
  <c r="AL161" i="14"/>
  <c r="AM161" i="14" s="1"/>
  <c r="AK161" i="14"/>
  <c r="T161" i="14"/>
  <c r="AO160" i="14"/>
  <c r="AP160" i="14" s="1"/>
  <c r="AL160" i="14"/>
  <c r="AM160" i="14" s="1"/>
  <c r="AK160" i="14"/>
  <c r="T160" i="14"/>
  <c r="AO159" i="14"/>
  <c r="AP159" i="14" s="1"/>
  <c r="AL159" i="14"/>
  <c r="AM159" i="14" s="1"/>
  <c r="AK159" i="14"/>
  <c r="T159" i="14"/>
  <c r="AO158" i="14"/>
  <c r="AP158" i="14" s="1"/>
  <c r="AL158" i="14"/>
  <c r="AM158" i="14" s="1"/>
  <c r="AK158" i="14"/>
  <c r="T158" i="14"/>
  <c r="AO157" i="14"/>
  <c r="AP157" i="14" s="1"/>
  <c r="AL157" i="14"/>
  <c r="AM157" i="14" s="1"/>
  <c r="AK157" i="14"/>
  <c r="T157" i="14"/>
  <c r="AO156" i="14"/>
  <c r="AP156" i="14" s="1"/>
  <c r="AL156" i="14"/>
  <c r="AM156" i="14" s="1"/>
  <c r="AK156" i="14"/>
  <c r="T156" i="14"/>
  <c r="AO155" i="14"/>
  <c r="AP155" i="14" s="1"/>
  <c r="AL155" i="14"/>
  <c r="AM155" i="14" s="1"/>
  <c r="AK155" i="14"/>
  <c r="T155" i="14"/>
  <c r="AO154" i="14"/>
  <c r="AP154" i="14" s="1"/>
  <c r="AL154" i="14"/>
  <c r="AM154" i="14" s="1"/>
  <c r="AK154" i="14"/>
  <c r="T154" i="14"/>
  <c r="AO153" i="14"/>
  <c r="AP153" i="14" s="1"/>
  <c r="AL153" i="14"/>
  <c r="AM153" i="14" s="1"/>
  <c r="AK153" i="14"/>
  <c r="T153" i="14"/>
  <c r="AO152" i="14"/>
  <c r="AP152" i="14" s="1"/>
  <c r="AL152" i="14"/>
  <c r="AM152" i="14" s="1"/>
  <c r="AK152" i="14"/>
  <c r="T152" i="14"/>
  <c r="AO151" i="14"/>
  <c r="AL151" i="14"/>
  <c r="AM151" i="14" s="1"/>
  <c r="AK151" i="14"/>
  <c r="T151" i="14"/>
  <c r="AO150" i="14"/>
  <c r="AP150" i="14" s="1"/>
  <c r="AL150" i="14"/>
  <c r="AM150" i="14" s="1"/>
  <c r="AK150" i="14"/>
  <c r="T150" i="14"/>
  <c r="AO149" i="14"/>
  <c r="AP149" i="14" s="1"/>
  <c r="AL149" i="14"/>
  <c r="AM149" i="14" s="1"/>
  <c r="AK149" i="14"/>
  <c r="T149" i="14"/>
  <c r="AO148" i="14"/>
  <c r="AP148" i="14" s="1"/>
  <c r="AL148" i="14"/>
  <c r="AM148" i="14" s="1"/>
  <c r="AK148" i="14"/>
  <c r="T148" i="14"/>
  <c r="AO147" i="14"/>
  <c r="AP147" i="14" s="1"/>
  <c r="AL147" i="14"/>
  <c r="AM147" i="14" s="1"/>
  <c r="AK147" i="14"/>
  <c r="T147" i="14"/>
  <c r="AO146" i="14"/>
  <c r="AP146" i="14" s="1"/>
  <c r="AL146" i="14"/>
  <c r="AM146" i="14" s="1"/>
  <c r="AK146" i="14"/>
  <c r="T146" i="14"/>
  <c r="AO145" i="14"/>
  <c r="AP145" i="14" s="1"/>
  <c r="AL145" i="14"/>
  <c r="AM145" i="14" s="1"/>
  <c r="AK145" i="14"/>
  <c r="T145" i="14"/>
  <c r="AO144" i="14"/>
  <c r="AP144" i="14" s="1"/>
  <c r="AL144" i="14"/>
  <c r="AM144" i="14" s="1"/>
  <c r="AK144" i="14"/>
  <c r="T144" i="14"/>
  <c r="AO143" i="14"/>
  <c r="AP143" i="14" s="1"/>
  <c r="AL143" i="14"/>
  <c r="AM143" i="14" s="1"/>
  <c r="AK143" i="14"/>
  <c r="T143" i="14"/>
  <c r="AO142" i="14"/>
  <c r="AP142" i="14" s="1"/>
  <c r="AL142" i="14"/>
  <c r="AM142" i="14" s="1"/>
  <c r="AK142" i="14"/>
  <c r="T142" i="14"/>
  <c r="AO141" i="14"/>
  <c r="AP141" i="14" s="1"/>
  <c r="AL141" i="14"/>
  <c r="AM141" i="14" s="1"/>
  <c r="AK141" i="14"/>
  <c r="T141" i="14"/>
  <c r="AO140" i="14"/>
  <c r="AP140" i="14" s="1"/>
  <c r="AL140" i="14"/>
  <c r="AM140" i="14" s="1"/>
  <c r="AK140" i="14"/>
  <c r="T140" i="14"/>
  <c r="AO139" i="14"/>
  <c r="AP139" i="14" s="1"/>
  <c r="AL139" i="14"/>
  <c r="AM139" i="14" s="1"/>
  <c r="AK139" i="14"/>
  <c r="T139" i="14"/>
  <c r="AO138" i="14"/>
  <c r="AP138" i="14" s="1"/>
  <c r="AL138" i="14"/>
  <c r="AM138" i="14" s="1"/>
  <c r="AK138" i="14"/>
  <c r="T138" i="14"/>
  <c r="AO137" i="14"/>
  <c r="AP137" i="14" s="1"/>
  <c r="AL137" i="14"/>
  <c r="AM137" i="14" s="1"/>
  <c r="AK137" i="14"/>
  <c r="T137" i="14"/>
  <c r="AO136" i="14"/>
  <c r="AP136" i="14" s="1"/>
  <c r="AL136" i="14"/>
  <c r="AM136" i="14" s="1"/>
  <c r="AK136" i="14"/>
  <c r="T136" i="14"/>
  <c r="AO135" i="14"/>
  <c r="AP135" i="14" s="1"/>
  <c r="AL135" i="14"/>
  <c r="AM135" i="14" s="1"/>
  <c r="AK135" i="14"/>
  <c r="T135" i="14"/>
  <c r="AO134" i="14"/>
  <c r="AP134" i="14" s="1"/>
  <c r="AL134" i="14"/>
  <c r="AM134" i="14" s="1"/>
  <c r="AK134" i="14"/>
  <c r="T134" i="14"/>
  <c r="AO133" i="14"/>
  <c r="AP133" i="14" s="1"/>
  <c r="AL133" i="14"/>
  <c r="AM133" i="14" s="1"/>
  <c r="AK133" i="14"/>
  <c r="T133" i="14"/>
  <c r="AO132" i="14"/>
  <c r="AP132" i="14" s="1"/>
  <c r="AL132" i="14"/>
  <c r="AM132" i="14" s="1"/>
  <c r="AK132" i="14"/>
  <c r="T132" i="14"/>
  <c r="AO131" i="14"/>
  <c r="AP131" i="14" s="1"/>
  <c r="AL131" i="14"/>
  <c r="AM131" i="14" s="1"/>
  <c r="AK131" i="14"/>
  <c r="T131" i="14"/>
  <c r="AO130" i="14"/>
  <c r="AP130" i="14" s="1"/>
  <c r="AL130" i="14"/>
  <c r="AM130" i="14" s="1"/>
  <c r="AK130" i="14"/>
  <c r="T130" i="14"/>
  <c r="AO129" i="14"/>
  <c r="AP129" i="14" s="1"/>
  <c r="AL129" i="14"/>
  <c r="AM129" i="14" s="1"/>
  <c r="AK129" i="14"/>
  <c r="T129" i="14"/>
  <c r="AO128" i="14"/>
  <c r="AP128" i="14" s="1"/>
  <c r="AL128" i="14"/>
  <c r="AM128" i="14" s="1"/>
  <c r="AK128" i="14"/>
  <c r="T128" i="14"/>
  <c r="AO127" i="14"/>
  <c r="AP127" i="14" s="1"/>
  <c r="AL127" i="14"/>
  <c r="AM127" i="14" s="1"/>
  <c r="AK127" i="14"/>
  <c r="T127" i="14"/>
  <c r="AO126" i="14"/>
  <c r="AP126" i="14" s="1"/>
  <c r="AL126" i="14"/>
  <c r="AM126" i="14" s="1"/>
  <c r="AK126" i="14"/>
  <c r="T126" i="14"/>
  <c r="AO125" i="14"/>
  <c r="AP125" i="14" s="1"/>
  <c r="AL125" i="14"/>
  <c r="AM125" i="14" s="1"/>
  <c r="AK125" i="14"/>
  <c r="T125" i="14"/>
  <c r="AO124" i="14"/>
  <c r="AP124" i="14" s="1"/>
  <c r="AL124" i="14"/>
  <c r="AM124" i="14" s="1"/>
  <c r="AK124" i="14"/>
  <c r="T124" i="14"/>
  <c r="AO123" i="14"/>
  <c r="AP123" i="14" s="1"/>
  <c r="AL123" i="14"/>
  <c r="AM123" i="14" s="1"/>
  <c r="AK123" i="14"/>
  <c r="T123" i="14"/>
  <c r="AO122" i="14"/>
  <c r="AP122" i="14" s="1"/>
  <c r="AL122" i="14"/>
  <c r="AM122" i="14" s="1"/>
  <c r="AK122" i="14"/>
  <c r="T122" i="14"/>
  <c r="AO121" i="14"/>
  <c r="AP121" i="14" s="1"/>
  <c r="AL121" i="14"/>
  <c r="AM121" i="14" s="1"/>
  <c r="AK121" i="14"/>
  <c r="T121" i="14"/>
  <c r="AO120" i="14"/>
  <c r="AP120" i="14" s="1"/>
  <c r="AL120" i="14"/>
  <c r="AM120" i="14" s="1"/>
  <c r="AK120" i="14"/>
  <c r="T120" i="14"/>
  <c r="AO119" i="14"/>
  <c r="AP119" i="14" s="1"/>
  <c r="AL119" i="14"/>
  <c r="AM119" i="14" s="1"/>
  <c r="AK119" i="14"/>
  <c r="T119" i="14"/>
  <c r="AO118" i="14"/>
  <c r="AP118" i="14" s="1"/>
  <c r="AL118" i="14"/>
  <c r="AM118" i="14" s="1"/>
  <c r="AK118" i="14"/>
  <c r="T118" i="14"/>
  <c r="AO117" i="14"/>
  <c r="AP117" i="14" s="1"/>
  <c r="AL117" i="14"/>
  <c r="AM117" i="14" s="1"/>
  <c r="AK117" i="14"/>
  <c r="T117" i="14"/>
  <c r="AO116" i="14"/>
  <c r="AP116" i="14" s="1"/>
  <c r="AL116" i="14"/>
  <c r="AM116" i="14" s="1"/>
  <c r="AK116" i="14"/>
  <c r="T116" i="14"/>
  <c r="AO115" i="14"/>
  <c r="AP115" i="14" s="1"/>
  <c r="AL115" i="14"/>
  <c r="AM115" i="14" s="1"/>
  <c r="AK115" i="14"/>
  <c r="T115" i="14"/>
  <c r="AO114" i="14"/>
  <c r="AP114" i="14" s="1"/>
  <c r="AL114" i="14"/>
  <c r="AM114" i="14" s="1"/>
  <c r="AK114" i="14"/>
  <c r="T114" i="14"/>
  <c r="AO113" i="14"/>
  <c r="AP113" i="14" s="1"/>
  <c r="AL113" i="14"/>
  <c r="AM113" i="14" s="1"/>
  <c r="AK113" i="14"/>
  <c r="T113" i="14"/>
  <c r="AO112" i="14"/>
  <c r="AP112" i="14" s="1"/>
  <c r="AL112" i="14"/>
  <c r="AM112" i="14" s="1"/>
  <c r="AK112" i="14"/>
  <c r="T112" i="14"/>
  <c r="AO111" i="14"/>
  <c r="AP111" i="14" s="1"/>
  <c r="AL111" i="14"/>
  <c r="AM111" i="14" s="1"/>
  <c r="AK111" i="14"/>
  <c r="T111" i="14"/>
  <c r="AO110" i="14"/>
  <c r="AP110" i="14" s="1"/>
  <c r="AL110" i="14"/>
  <c r="AM110" i="14" s="1"/>
  <c r="AK110" i="14"/>
  <c r="T110" i="14"/>
  <c r="AO109" i="14"/>
  <c r="AP109" i="14" s="1"/>
  <c r="AL109" i="14"/>
  <c r="AM109" i="14" s="1"/>
  <c r="AK109" i="14"/>
  <c r="T109" i="14"/>
  <c r="AO108" i="14"/>
  <c r="AL108" i="14"/>
  <c r="AM108" i="14" s="1"/>
  <c r="AK108" i="14"/>
  <c r="T108" i="14"/>
  <c r="AO107" i="14"/>
  <c r="AP107" i="14" s="1"/>
  <c r="AL107" i="14"/>
  <c r="AM107" i="14" s="1"/>
  <c r="AK107" i="14"/>
  <c r="T107" i="14"/>
  <c r="AO106" i="14"/>
  <c r="AP106" i="14" s="1"/>
  <c r="AL106" i="14"/>
  <c r="AM106" i="14" s="1"/>
  <c r="AK106" i="14"/>
  <c r="T106" i="14"/>
  <c r="AO105" i="14"/>
  <c r="AP105" i="14" s="1"/>
  <c r="AL105" i="14"/>
  <c r="AM105" i="14" s="1"/>
  <c r="AK105" i="14"/>
  <c r="T105" i="14"/>
  <c r="AO104" i="14"/>
  <c r="AP104" i="14" s="1"/>
  <c r="AL104" i="14"/>
  <c r="AM104" i="14" s="1"/>
  <c r="AK104" i="14"/>
  <c r="T104" i="14"/>
  <c r="AO103" i="14"/>
  <c r="AP103" i="14" s="1"/>
  <c r="AL103" i="14"/>
  <c r="AM103" i="14" s="1"/>
  <c r="AK103" i="14"/>
  <c r="T103" i="14"/>
  <c r="AO102" i="14"/>
  <c r="AP102" i="14" s="1"/>
  <c r="AL102" i="14"/>
  <c r="AM102" i="14" s="1"/>
  <c r="AK102" i="14"/>
  <c r="T102" i="14"/>
  <c r="AO101" i="14"/>
  <c r="AP101" i="14" s="1"/>
  <c r="AL101" i="14"/>
  <c r="AM101" i="14" s="1"/>
  <c r="AK101" i="14"/>
  <c r="T101" i="14"/>
  <c r="AO100" i="14"/>
  <c r="AP100" i="14" s="1"/>
  <c r="AL100" i="14"/>
  <c r="AM100" i="14" s="1"/>
  <c r="AK100" i="14"/>
  <c r="T100" i="14"/>
  <c r="AO99" i="14"/>
  <c r="AP99" i="14" s="1"/>
  <c r="AL99" i="14"/>
  <c r="AM99" i="14" s="1"/>
  <c r="AK99" i="14"/>
  <c r="T99" i="14"/>
  <c r="AO98" i="14"/>
  <c r="AP98" i="14" s="1"/>
  <c r="AL98" i="14"/>
  <c r="AM98" i="14" s="1"/>
  <c r="AK98" i="14"/>
  <c r="T98" i="14"/>
  <c r="AO97" i="14"/>
  <c r="AP97" i="14" s="1"/>
  <c r="AL97" i="14"/>
  <c r="AM97" i="14" s="1"/>
  <c r="AK97" i="14"/>
  <c r="T97" i="14"/>
  <c r="AO96" i="14"/>
  <c r="AP96" i="14" s="1"/>
  <c r="AL96" i="14"/>
  <c r="AM96" i="14" s="1"/>
  <c r="AK96" i="14"/>
  <c r="T96" i="14"/>
  <c r="AO95" i="14"/>
  <c r="AP95" i="14" s="1"/>
  <c r="AL95" i="14"/>
  <c r="AM95" i="14" s="1"/>
  <c r="AK95" i="14"/>
  <c r="T95" i="14"/>
  <c r="AO94" i="14"/>
  <c r="AP94" i="14" s="1"/>
  <c r="AL94" i="14"/>
  <c r="AM94" i="14" s="1"/>
  <c r="AK94" i="14"/>
  <c r="T94" i="14"/>
  <c r="AO93" i="14"/>
  <c r="AP93" i="14" s="1"/>
  <c r="AL93" i="14"/>
  <c r="AM93" i="14" s="1"/>
  <c r="AK93" i="14"/>
  <c r="T93" i="14"/>
  <c r="AO92" i="14"/>
  <c r="AP92" i="14" s="1"/>
  <c r="AL92" i="14"/>
  <c r="AM92" i="14" s="1"/>
  <c r="AK92" i="14"/>
  <c r="T92" i="14"/>
  <c r="AO91" i="14"/>
  <c r="AP91" i="14" s="1"/>
  <c r="AL91" i="14"/>
  <c r="AM91" i="14" s="1"/>
  <c r="AK91" i="14"/>
  <c r="T91" i="14"/>
  <c r="AO90" i="14"/>
  <c r="AP90" i="14" s="1"/>
  <c r="AL90" i="14"/>
  <c r="AM90" i="14" s="1"/>
  <c r="AK90" i="14"/>
  <c r="T90" i="14"/>
  <c r="AO89" i="14"/>
  <c r="AP89" i="14" s="1"/>
  <c r="AL89" i="14"/>
  <c r="AM89" i="14" s="1"/>
  <c r="AK89" i="14"/>
  <c r="T89" i="14"/>
  <c r="AO88" i="14"/>
  <c r="AP88" i="14" s="1"/>
  <c r="AL88" i="14"/>
  <c r="AM88" i="14" s="1"/>
  <c r="AK88" i="14"/>
  <c r="T88" i="14"/>
  <c r="AO87" i="14"/>
  <c r="AP87" i="14" s="1"/>
  <c r="AL87" i="14"/>
  <c r="AM87" i="14" s="1"/>
  <c r="AK87" i="14"/>
  <c r="T87" i="14"/>
  <c r="AO86" i="14"/>
  <c r="AP86" i="14" s="1"/>
  <c r="AL86" i="14"/>
  <c r="AM86" i="14" s="1"/>
  <c r="AK86" i="14"/>
  <c r="T86" i="14"/>
  <c r="AO85" i="14"/>
  <c r="AP85" i="14" s="1"/>
  <c r="AL85" i="14"/>
  <c r="AM85" i="14" s="1"/>
  <c r="AK85" i="14"/>
  <c r="T85" i="14"/>
  <c r="AO84" i="14"/>
  <c r="AP84" i="14" s="1"/>
  <c r="AL84" i="14"/>
  <c r="AM84" i="14" s="1"/>
  <c r="AK84" i="14"/>
  <c r="T84" i="14"/>
  <c r="AO83" i="14"/>
  <c r="AP83" i="14" s="1"/>
  <c r="AL83" i="14"/>
  <c r="AM83" i="14" s="1"/>
  <c r="AK83" i="14"/>
  <c r="T83" i="14"/>
  <c r="AO82" i="14"/>
  <c r="AP82" i="14" s="1"/>
  <c r="AL82" i="14"/>
  <c r="AM82" i="14" s="1"/>
  <c r="AK82" i="14"/>
  <c r="T82" i="14"/>
  <c r="AO81" i="14"/>
  <c r="AP81" i="14" s="1"/>
  <c r="AL81" i="14"/>
  <c r="AM81" i="14" s="1"/>
  <c r="AK81" i="14"/>
  <c r="T81" i="14"/>
  <c r="AO80" i="14"/>
  <c r="AP80" i="14" s="1"/>
  <c r="AL80" i="14"/>
  <c r="AM80" i="14" s="1"/>
  <c r="AK80" i="14"/>
  <c r="T80" i="14"/>
  <c r="AO79" i="14"/>
  <c r="AP79" i="14" s="1"/>
  <c r="AL79" i="14"/>
  <c r="AM79" i="14" s="1"/>
  <c r="AK79" i="14"/>
  <c r="T79" i="14"/>
  <c r="AO78" i="14"/>
  <c r="AP78" i="14" s="1"/>
  <c r="AL78" i="14"/>
  <c r="AM78" i="14" s="1"/>
  <c r="AK78" i="14"/>
  <c r="T78" i="14"/>
  <c r="AO77" i="14"/>
  <c r="AP77" i="14" s="1"/>
  <c r="AL77" i="14"/>
  <c r="AM77" i="14" s="1"/>
  <c r="AK77" i="14"/>
  <c r="T77" i="14"/>
  <c r="AO76" i="14"/>
  <c r="AP76" i="14" s="1"/>
  <c r="AL76" i="14"/>
  <c r="AM76" i="14" s="1"/>
  <c r="AK76" i="14"/>
  <c r="T76" i="14"/>
  <c r="AO75" i="14"/>
  <c r="AP75" i="14" s="1"/>
  <c r="AL75" i="14"/>
  <c r="AM75" i="14" s="1"/>
  <c r="AK75" i="14"/>
  <c r="T75" i="14"/>
  <c r="AO74" i="14"/>
  <c r="AP74" i="14" s="1"/>
  <c r="AL74" i="14"/>
  <c r="AM74" i="14" s="1"/>
  <c r="AK74" i="14"/>
  <c r="T74" i="14"/>
  <c r="AO73" i="14"/>
  <c r="AP73" i="14" s="1"/>
  <c r="AL73" i="14"/>
  <c r="AM73" i="14" s="1"/>
  <c r="AK73" i="14"/>
  <c r="T73" i="14"/>
  <c r="AO72" i="14"/>
  <c r="AP72" i="14" s="1"/>
  <c r="AL72" i="14"/>
  <c r="AM72" i="14" s="1"/>
  <c r="AK72" i="14"/>
  <c r="T72" i="14"/>
  <c r="AO71" i="14"/>
  <c r="AP71" i="14" s="1"/>
  <c r="AL71" i="14"/>
  <c r="AM71" i="14" s="1"/>
  <c r="AK71" i="14"/>
  <c r="T71" i="14"/>
  <c r="AO70" i="14"/>
  <c r="AP70" i="14" s="1"/>
  <c r="AL70" i="14"/>
  <c r="AM70" i="14" s="1"/>
  <c r="AK70" i="14"/>
  <c r="T70" i="14"/>
  <c r="AO69" i="14"/>
  <c r="AP69" i="14" s="1"/>
  <c r="AL69" i="14"/>
  <c r="AM69" i="14" s="1"/>
  <c r="AK69" i="14"/>
  <c r="T69" i="14"/>
  <c r="AO68" i="14"/>
  <c r="AP68" i="14" s="1"/>
  <c r="AL68" i="14"/>
  <c r="AM68" i="14" s="1"/>
  <c r="AK68" i="14"/>
  <c r="T68" i="14"/>
  <c r="AO67" i="14"/>
  <c r="AP67" i="14" s="1"/>
  <c r="AL67" i="14"/>
  <c r="AM67" i="14" s="1"/>
  <c r="AK67" i="14"/>
  <c r="T67" i="14"/>
  <c r="AO66" i="14"/>
  <c r="AP66" i="14" s="1"/>
  <c r="AL66" i="14"/>
  <c r="AM66" i="14" s="1"/>
  <c r="AK66" i="14"/>
  <c r="T66" i="14"/>
  <c r="AO65" i="14"/>
  <c r="AP65" i="14" s="1"/>
  <c r="AL65" i="14"/>
  <c r="AM65" i="14" s="1"/>
  <c r="AK65" i="14"/>
  <c r="T65" i="14"/>
  <c r="AO64" i="14"/>
  <c r="AP64" i="14" s="1"/>
  <c r="AL64" i="14"/>
  <c r="AM64" i="14" s="1"/>
  <c r="AK64" i="14"/>
  <c r="T64" i="14"/>
  <c r="AO63" i="14"/>
  <c r="AP63" i="14" s="1"/>
  <c r="AL63" i="14"/>
  <c r="AM63" i="14" s="1"/>
  <c r="AK63" i="14"/>
  <c r="T63" i="14"/>
  <c r="AO62" i="14"/>
  <c r="AP62" i="14" s="1"/>
  <c r="AL62" i="14"/>
  <c r="AM62" i="14" s="1"/>
  <c r="AK62" i="14"/>
  <c r="T62" i="14"/>
  <c r="AO61" i="14"/>
  <c r="AP61" i="14" s="1"/>
  <c r="AL61" i="14"/>
  <c r="AM61" i="14" s="1"/>
  <c r="AK61" i="14"/>
  <c r="T61" i="14"/>
  <c r="AO60" i="14"/>
  <c r="AP60" i="14" s="1"/>
  <c r="AL60" i="14"/>
  <c r="AM60" i="14" s="1"/>
  <c r="AK60" i="14"/>
  <c r="T60" i="14"/>
  <c r="AO59" i="14"/>
  <c r="AP59" i="14" s="1"/>
  <c r="AL59" i="14"/>
  <c r="AM59" i="14" s="1"/>
  <c r="AK59" i="14"/>
  <c r="T59" i="14"/>
  <c r="AO58" i="14"/>
  <c r="AP58" i="14" s="1"/>
  <c r="AL58" i="14"/>
  <c r="AM58" i="14" s="1"/>
  <c r="AK58" i="14"/>
  <c r="T58" i="14"/>
  <c r="AO57" i="14"/>
  <c r="AP57" i="14" s="1"/>
  <c r="AL57" i="14"/>
  <c r="AM57" i="14" s="1"/>
  <c r="AK57" i="14"/>
  <c r="T57" i="14"/>
  <c r="AO56" i="14"/>
  <c r="AP56" i="14" s="1"/>
  <c r="AL56" i="14"/>
  <c r="AM56" i="14" s="1"/>
  <c r="AK56" i="14"/>
  <c r="T56" i="14"/>
  <c r="AO55" i="14"/>
  <c r="AP55" i="14" s="1"/>
  <c r="AL55" i="14"/>
  <c r="AM55" i="14" s="1"/>
  <c r="AK55" i="14"/>
  <c r="T55" i="14"/>
  <c r="AO54" i="14"/>
  <c r="AP54" i="14" s="1"/>
  <c r="AL54" i="14"/>
  <c r="AM54" i="14" s="1"/>
  <c r="AK54" i="14"/>
  <c r="T54" i="14"/>
  <c r="AO53" i="14"/>
  <c r="AP53" i="14" s="1"/>
  <c r="AL53" i="14"/>
  <c r="AM53" i="14" s="1"/>
  <c r="AK53" i="14"/>
  <c r="T53" i="14"/>
  <c r="AO52" i="14"/>
  <c r="AP52" i="14" s="1"/>
  <c r="AL52" i="14"/>
  <c r="AM52" i="14" s="1"/>
  <c r="AK52" i="14"/>
  <c r="T52" i="14"/>
  <c r="AO51" i="14"/>
  <c r="AP51" i="14" s="1"/>
  <c r="AL51" i="14"/>
  <c r="AM51" i="14" s="1"/>
  <c r="AK51" i="14"/>
  <c r="T51" i="14"/>
  <c r="AO50" i="14"/>
  <c r="AP50" i="14" s="1"/>
  <c r="AL50" i="14"/>
  <c r="AM50" i="14" s="1"/>
  <c r="AK50" i="14"/>
  <c r="T50" i="14"/>
  <c r="AO49" i="14"/>
  <c r="AP49" i="14" s="1"/>
  <c r="AL49" i="14"/>
  <c r="AM49" i="14" s="1"/>
  <c r="AK49" i="14"/>
  <c r="T49" i="14"/>
  <c r="AO48" i="14"/>
  <c r="AP48" i="14" s="1"/>
  <c r="AL48" i="14"/>
  <c r="AM48" i="14" s="1"/>
  <c r="AK48" i="14"/>
  <c r="T48" i="14"/>
  <c r="AO47" i="14"/>
  <c r="AP47" i="14" s="1"/>
  <c r="AL47" i="14"/>
  <c r="AM47" i="14" s="1"/>
  <c r="AK47" i="14"/>
  <c r="T47" i="14"/>
  <c r="AO46" i="14"/>
  <c r="AP46" i="14" s="1"/>
  <c r="AL46" i="14"/>
  <c r="AM46" i="14" s="1"/>
  <c r="AK46" i="14"/>
  <c r="T46" i="14"/>
  <c r="AO45" i="14"/>
  <c r="AP45" i="14" s="1"/>
  <c r="AL45" i="14"/>
  <c r="AM45" i="14" s="1"/>
  <c r="AK45" i="14"/>
  <c r="T45" i="14"/>
  <c r="AO44" i="14"/>
  <c r="AP44" i="14" s="1"/>
  <c r="AL44" i="14"/>
  <c r="AM44" i="14" s="1"/>
  <c r="AK44" i="14"/>
  <c r="T44" i="14"/>
  <c r="AO43" i="14"/>
  <c r="AP43" i="14" s="1"/>
  <c r="AL43" i="14"/>
  <c r="AM43" i="14" s="1"/>
  <c r="AK43" i="14"/>
  <c r="T43" i="14"/>
  <c r="AO42" i="14"/>
  <c r="AP42" i="14" s="1"/>
  <c r="AL42" i="14"/>
  <c r="AM42" i="14" s="1"/>
  <c r="AK42" i="14"/>
  <c r="T42" i="14"/>
  <c r="AO41" i="14"/>
  <c r="AP41" i="14" s="1"/>
  <c r="AL41" i="14"/>
  <c r="AM41" i="14" s="1"/>
  <c r="AK41" i="14"/>
  <c r="T41" i="14"/>
  <c r="AO40" i="14"/>
  <c r="AP40" i="14" s="1"/>
  <c r="AL40" i="14"/>
  <c r="AM40" i="14" s="1"/>
  <c r="AK40" i="14"/>
  <c r="T40" i="14"/>
  <c r="AO39" i="14"/>
  <c r="AP39" i="14" s="1"/>
  <c r="AL39" i="14"/>
  <c r="AM39" i="14" s="1"/>
  <c r="AK39" i="14"/>
  <c r="T39" i="14"/>
  <c r="AO38" i="14"/>
  <c r="AP38" i="14" s="1"/>
  <c r="AL38" i="14"/>
  <c r="AM38" i="14" s="1"/>
  <c r="AK38" i="14"/>
  <c r="T38" i="14"/>
  <c r="AO37" i="14"/>
  <c r="AP37" i="14" s="1"/>
  <c r="AL37" i="14"/>
  <c r="AM37" i="14" s="1"/>
  <c r="AK37" i="14"/>
  <c r="T37" i="14"/>
  <c r="AO36" i="14"/>
  <c r="AP36" i="14" s="1"/>
  <c r="AL36" i="14"/>
  <c r="AM36" i="14" s="1"/>
  <c r="AK36" i="14"/>
  <c r="T36" i="14"/>
  <c r="AO35" i="14"/>
  <c r="AP35" i="14" s="1"/>
  <c r="AL35" i="14"/>
  <c r="AM35" i="14" s="1"/>
  <c r="AK35" i="14"/>
  <c r="T35" i="14"/>
  <c r="AO34" i="14"/>
  <c r="AP34" i="14" s="1"/>
  <c r="AL34" i="14"/>
  <c r="AM34" i="14" s="1"/>
  <c r="AK34" i="14"/>
  <c r="T34" i="14"/>
  <c r="AO33" i="14"/>
  <c r="AP33" i="14" s="1"/>
  <c r="AL33" i="14"/>
  <c r="AM33" i="14" s="1"/>
  <c r="AK33" i="14"/>
  <c r="T33" i="14"/>
  <c r="AO32" i="14"/>
  <c r="AP32" i="14" s="1"/>
  <c r="AL32" i="14"/>
  <c r="AM32" i="14" s="1"/>
  <c r="AK32" i="14"/>
  <c r="T32" i="14"/>
  <c r="AO31" i="14"/>
  <c r="AP31" i="14" s="1"/>
  <c r="AL31" i="14"/>
  <c r="AM31" i="14" s="1"/>
  <c r="AK31" i="14"/>
  <c r="T31" i="14"/>
  <c r="AO30" i="14"/>
  <c r="AP30" i="14" s="1"/>
  <c r="AL30" i="14"/>
  <c r="AM30" i="14" s="1"/>
  <c r="AK30" i="14"/>
  <c r="T30" i="14"/>
  <c r="AO29" i="14"/>
  <c r="AP29" i="14" s="1"/>
  <c r="AL29" i="14"/>
  <c r="AM29" i="14" s="1"/>
  <c r="AK29" i="14"/>
  <c r="T29" i="14"/>
  <c r="AO28" i="14"/>
  <c r="AP28" i="14" s="1"/>
  <c r="AL28" i="14"/>
  <c r="AM28" i="14" s="1"/>
  <c r="AK28" i="14"/>
  <c r="T28" i="14"/>
  <c r="AO27" i="14"/>
  <c r="AP27" i="14" s="1"/>
  <c r="AL27" i="14"/>
  <c r="AM27" i="14" s="1"/>
  <c r="AK27" i="14"/>
  <c r="T27" i="14"/>
  <c r="AO26" i="14"/>
  <c r="AP26" i="14" s="1"/>
  <c r="AL26" i="14"/>
  <c r="AM26" i="14" s="1"/>
  <c r="AK26" i="14"/>
  <c r="T26" i="14"/>
  <c r="AO25" i="14"/>
  <c r="AP25" i="14" s="1"/>
  <c r="AL25" i="14"/>
  <c r="AM25" i="14" s="1"/>
  <c r="AK25" i="14"/>
  <c r="T25" i="14"/>
  <c r="AO24" i="14"/>
  <c r="AP24" i="14" s="1"/>
  <c r="AL24" i="14"/>
  <c r="AM24" i="14" s="1"/>
  <c r="AK24" i="14"/>
  <c r="T24" i="14"/>
  <c r="AO23" i="14"/>
  <c r="AP23" i="14" s="1"/>
  <c r="AL23" i="14"/>
  <c r="AM23" i="14" s="1"/>
  <c r="AK23" i="14"/>
  <c r="T23" i="14"/>
  <c r="AO22" i="14"/>
  <c r="AP22" i="14" s="1"/>
  <c r="AL22" i="14"/>
  <c r="AM22" i="14" s="1"/>
  <c r="AK22" i="14"/>
  <c r="T22" i="14"/>
  <c r="AO21" i="14"/>
  <c r="AP21" i="14" s="1"/>
  <c r="AL21" i="14"/>
  <c r="AM21" i="14" s="1"/>
  <c r="AK21" i="14"/>
  <c r="T21" i="14"/>
  <c r="AO20" i="14"/>
  <c r="AP20" i="14" s="1"/>
  <c r="AL20" i="14"/>
  <c r="AM20" i="14" s="1"/>
  <c r="AK20" i="14"/>
  <c r="T20" i="14"/>
  <c r="AO19" i="14"/>
  <c r="AP19" i="14" s="1"/>
  <c r="AL19" i="14"/>
  <c r="AM19" i="14" s="1"/>
  <c r="AK19" i="14"/>
  <c r="T19" i="14"/>
  <c r="AO18" i="14"/>
  <c r="AP18" i="14" s="1"/>
  <c r="AL18" i="14"/>
  <c r="AM18" i="14" s="1"/>
  <c r="AK18" i="14"/>
  <c r="T18" i="14"/>
  <c r="AO17" i="14"/>
  <c r="AP17" i="14" s="1"/>
  <c r="AL17" i="14"/>
  <c r="AM17" i="14" s="1"/>
  <c r="AK17" i="14"/>
  <c r="T17" i="14"/>
  <c r="AO16" i="14"/>
  <c r="AP16" i="14" s="1"/>
  <c r="AL16" i="14"/>
  <c r="AM16" i="14" s="1"/>
  <c r="AK16" i="14"/>
  <c r="T16" i="14"/>
  <c r="AO15" i="14"/>
  <c r="AP15" i="14" s="1"/>
  <c r="AL15" i="14"/>
  <c r="AM15" i="14" s="1"/>
  <c r="AK15" i="14"/>
  <c r="T15" i="14"/>
  <c r="AO14" i="14"/>
  <c r="AP14" i="14" s="1"/>
  <c r="AL14" i="14"/>
  <c r="AM14" i="14" s="1"/>
  <c r="AK14" i="14"/>
  <c r="T14" i="14"/>
  <c r="AI10" i="14"/>
  <c r="AI9" i="14"/>
  <c r="G5" i="14"/>
  <c r="K3" i="14"/>
  <c r="K4" i="14" s="1"/>
  <c r="T2" i="14"/>
  <c r="W53" i="7"/>
  <c r="Y53" i="7" s="1"/>
  <c r="T53" i="7"/>
  <c r="Q53" i="7"/>
  <c r="P53" i="7"/>
  <c r="O53" i="7"/>
  <c r="AP53" i="7" s="1"/>
  <c r="N53" i="7"/>
  <c r="M53" i="7"/>
  <c r="K53" i="7"/>
  <c r="C53" i="7"/>
  <c r="W51" i="7"/>
  <c r="Y51" i="7" s="1"/>
  <c r="T51" i="7"/>
  <c r="V51" i="7" s="1"/>
  <c r="Q51" i="7"/>
  <c r="P51" i="7"/>
  <c r="O51" i="7"/>
  <c r="AP51" i="7" s="1"/>
  <c r="N51" i="7"/>
  <c r="M51" i="7"/>
  <c r="K51" i="7"/>
  <c r="C51" i="7"/>
  <c r="W49" i="7"/>
  <c r="T49" i="7"/>
  <c r="Q49" i="7"/>
  <c r="P49" i="7"/>
  <c r="O49" i="7"/>
  <c r="N49" i="7"/>
  <c r="M49" i="7"/>
  <c r="K49" i="7"/>
  <c r="W47" i="7"/>
  <c r="T47" i="7"/>
  <c r="V47" i="7" s="1"/>
  <c r="Q47" i="7"/>
  <c r="P47" i="7"/>
  <c r="O47" i="7"/>
  <c r="N47" i="7"/>
  <c r="M47" i="7"/>
  <c r="K47" i="7"/>
  <c r="W43" i="7"/>
  <c r="Y43" i="7" s="1"/>
  <c r="T43" i="7"/>
  <c r="V43" i="7" s="1"/>
  <c r="Q43" i="7"/>
  <c r="P43" i="7"/>
  <c r="O43" i="7"/>
  <c r="N43" i="7"/>
  <c r="M43" i="7"/>
  <c r="K43" i="7"/>
  <c r="W41" i="7"/>
  <c r="Y41" i="7" s="1"/>
  <c r="T41" i="7"/>
  <c r="V41" i="7" s="1"/>
  <c r="Q41" i="7"/>
  <c r="P41" i="7"/>
  <c r="O41" i="7"/>
  <c r="N41" i="7"/>
  <c r="M41" i="7"/>
  <c r="K41" i="7"/>
  <c r="AM39" i="7"/>
  <c r="X39" i="7"/>
  <c r="U39" i="7"/>
  <c r="W37" i="7"/>
  <c r="Y37" i="7" s="1"/>
  <c r="T37" i="7"/>
  <c r="V37" i="7" s="1"/>
  <c r="Q37" i="7"/>
  <c r="P37" i="7"/>
  <c r="O37" i="7"/>
  <c r="N37" i="7"/>
  <c r="M37" i="7"/>
  <c r="K37" i="7"/>
  <c r="D37" i="7"/>
  <c r="B37" i="7"/>
  <c r="W35" i="7"/>
  <c r="Y35" i="7" s="1"/>
  <c r="T35" i="7"/>
  <c r="Q35" i="7"/>
  <c r="P35" i="7"/>
  <c r="O35" i="7"/>
  <c r="N35" i="7"/>
  <c r="M35" i="7"/>
  <c r="K35" i="7"/>
  <c r="D35" i="7"/>
  <c r="B35" i="7"/>
  <c r="Q33" i="7"/>
  <c r="P33" i="7"/>
  <c r="O33" i="7"/>
  <c r="N33" i="7"/>
  <c r="M33" i="7"/>
  <c r="K33" i="7"/>
  <c r="D33" i="7"/>
  <c r="B33" i="7"/>
  <c r="A33" i="7"/>
  <c r="W31" i="7"/>
  <c r="T31" i="7"/>
  <c r="V31" i="7" s="1"/>
  <c r="Q31" i="7"/>
  <c r="P31" i="7"/>
  <c r="O31" i="7"/>
  <c r="N31" i="7"/>
  <c r="M31" i="7"/>
  <c r="K31" i="7"/>
  <c r="D31" i="7"/>
  <c r="B31" i="7"/>
  <c r="AL31" i="7" s="1"/>
  <c r="A31" i="7"/>
  <c r="W29" i="7"/>
  <c r="T29" i="7"/>
  <c r="Q29" i="7"/>
  <c r="P29" i="7"/>
  <c r="O29" i="7"/>
  <c r="N29" i="7"/>
  <c r="M29" i="7"/>
  <c r="K29" i="7"/>
  <c r="D29" i="7"/>
  <c r="B29" i="7"/>
  <c r="A29" i="7"/>
  <c r="V27" i="7"/>
  <c r="Z27" i="7" s="1"/>
  <c r="Q27" i="7"/>
  <c r="P27" i="7"/>
  <c r="O27" i="7"/>
  <c r="N27" i="7"/>
  <c r="M27" i="7"/>
  <c r="K27" i="7"/>
  <c r="D27" i="7"/>
  <c r="B27" i="7"/>
  <c r="AM24" i="7"/>
  <c r="X24" i="7"/>
  <c r="X55" i="7" s="1"/>
  <c r="U24" i="7"/>
  <c r="U55" i="7" s="1"/>
  <c r="W22" i="7"/>
  <c r="Y22" i="7" s="1"/>
  <c r="T22" i="7"/>
  <c r="Q22" i="7"/>
  <c r="P22" i="7"/>
  <c r="O22" i="7"/>
  <c r="AP22" i="7" s="1"/>
  <c r="N22" i="7"/>
  <c r="M22" i="7"/>
  <c r="K22" i="7"/>
  <c r="C22" i="7"/>
  <c r="W20" i="7"/>
  <c r="T20" i="7"/>
  <c r="V20" i="7" s="1"/>
  <c r="Q20" i="7"/>
  <c r="P20" i="7"/>
  <c r="O20" i="7"/>
  <c r="N20" i="7"/>
  <c r="M20" i="7"/>
  <c r="K20" i="7"/>
  <c r="W18" i="7"/>
  <c r="T18" i="7"/>
  <c r="V18" i="7" s="1"/>
  <c r="Q18" i="7"/>
  <c r="P18" i="7"/>
  <c r="O18" i="7"/>
  <c r="N18" i="7"/>
  <c r="M18" i="7"/>
  <c r="K18" i="7"/>
  <c r="Q16" i="7"/>
  <c r="P16" i="7"/>
  <c r="O16" i="7"/>
  <c r="N16" i="7"/>
  <c r="M16" i="7"/>
  <c r="K16" i="7"/>
  <c r="W14" i="7"/>
  <c r="T14" i="7"/>
  <c r="V14" i="7" s="1"/>
  <c r="Q14" i="7"/>
  <c r="P14" i="7"/>
  <c r="O14" i="7"/>
  <c r="N14" i="7"/>
  <c r="M14" i="7"/>
  <c r="K14" i="7"/>
  <c r="W12" i="7"/>
  <c r="Y12" i="7" s="1"/>
  <c r="T12" i="7"/>
  <c r="Q12" i="7"/>
  <c r="P12" i="7"/>
  <c r="O12" i="7"/>
  <c r="N12" i="7"/>
  <c r="M12" i="7"/>
  <c r="K12" i="7"/>
  <c r="W10" i="7"/>
  <c r="Y10" i="7" s="1"/>
  <c r="T10" i="7"/>
  <c r="Q10" i="7"/>
  <c r="P10" i="7"/>
  <c r="O10" i="7"/>
  <c r="N10" i="7"/>
  <c r="M10" i="7"/>
  <c r="K10" i="7"/>
  <c r="AQ8" i="7"/>
  <c r="AP8" i="7"/>
  <c r="Y8" i="7"/>
  <c r="X8" i="7"/>
  <c r="P8" i="7"/>
  <c r="AH8" i="7" s="1"/>
  <c r="O8" i="7"/>
  <c r="AG8" i="7" s="1"/>
  <c r="H8" i="7"/>
  <c r="C3" i="11" s="1"/>
  <c r="F13" i="15"/>
  <c r="F10" i="15"/>
  <c r="W3" i="14"/>
  <c r="V4" i="14"/>
  <c r="F11" i="15"/>
  <c r="F9" i="15"/>
  <c r="Z3" i="14"/>
  <c r="F12" i="15"/>
  <c r="L8" i="15"/>
  <c r="Q3" i="14"/>
  <c r="L9" i="15"/>
  <c r="F15" i="15"/>
  <c r="S4" i="14"/>
  <c r="A3" i="14"/>
  <c r="V45" i="7" l="1"/>
  <c r="AN45" i="7" s="1"/>
  <c r="AL45" i="7"/>
  <c r="S63" i="15"/>
  <c r="P65" i="15"/>
  <c r="AM55" i="7"/>
  <c r="L16" i="7"/>
  <c r="L53" i="7"/>
  <c r="L35" i="7"/>
  <c r="L47" i="7"/>
  <c r="L43" i="7"/>
  <c r="L22" i="7"/>
  <c r="L10" i="7"/>
  <c r="AN27" i="7"/>
  <c r="AQ51" i="7"/>
  <c r="C35" i="7"/>
  <c r="L14" i="7"/>
  <c r="C29" i="7"/>
  <c r="C31" i="7"/>
  <c r="C33" i="7"/>
  <c r="O34" i="16"/>
  <c r="AF45" i="7" s="1"/>
  <c r="Q10" i="16"/>
  <c r="N53" i="8"/>
  <c r="M58" i="8"/>
  <c r="M54" i="8"/>
  <c r="N54" i="8" s="1"/>
  <c r="O54" i="8" s="1"/>
  <c r="L15" i="8"/>
  <c r="M15" i="8" s="1"/>
  <c r="N15" i="8" s="1"/>
  <c r="O15" i="8" s="1"/>
  <c r="M178" i="8"/>
  <c r="N178" i="8" s="1"/>
  <c r="O178" i="8" s="1"/>
  <c r="L170" i="8"/>
  <c r="M170" i="8" s="1"/>
  <c r="N170" i="8" s="1"/>
  <c r="O170" i="8" s="1"/>
  <c r="AD108" i="11"/>
  <c r="W108" i="11" s="1"/>
  <c r="X108" i="11" s="1"/>
  <c r="Z108" i="11" s="1"/>
  <c r="N183" i="8"/>
  <c r="O183" i="8" s="1"/>
  <c r="L82" i="8"/>
  <c r="B18" i="7" s="1"/>
  <c r="AL18" i="7" s="1"/>
  <c r="I177" i="8"/>
  <c r="J177" i="8" s="1"/>
  <c r="K177" i="8" s="1"/>
  <c r="AF86" i="11"/>
  <c r="AM86" i="11" s="1"/>
  <c r="K182" i="8"/>
  <c r="O82" i="8"/>
  <c r="N192" i="8"/>
  <c r="O192" i="8" s="1"/>
  <c r="K199" i="8"/>
  <c r="L177" i="8"/>
  <c r="M177" i="8" s="1"/>
  <c r="M182" i="8"/>
  <c r="N182" i="8" s="1"/>
  <c r="O182" i="8" s="1"/>
  <c r="L200" i="8"/>
  <c r="M200" i="8" s="1"/>
  <c r="N200" i="8" s="1"/>
  <c r="O200" i="8" s="1"/>
  <c r="L207" i="8"/>
  <c r="M207" i="8" s="1"/>
  <c r="N207" i="8" s="1"/>
  <c r="O207" i="8" s="1"/>
  <c r="K191" i="8"/>
  <c r="N90" i="8"/>
  <c r="R92" i="11"/>
  <c r="AF34" i="10"/>
  <c r="AF28" i="11"/>
  <c r="AI28" i="11" s="1"/>
  <c r="AO28" i="11" s="1"/>
  <c r="I181" i="8"/>
  <c r="J181" i="8" s="1"/>
  <c r="K181" i="8" s="1"/>
  <c r="K197" i="8"/>
  <c r="L181" i="8"/>
  <c r="M181" i="8" s="1"/>
  <c r="AF26" i="11"/>
  <c r="AF16" i="11"/>
  <c r="AM16" i="11" s="1"/>
  <c r="AF25" i="11"/>
  <c r="AM25" i="11" s="1"/>
  <c r="AF18" i="11"/>
  <c r="M68" i="8"/>
  <c r="D16" i="7" s="1"/>
  <c r="AD29" i="11"/>
  <c r="W29" i="11" s="1"/>
  <c r="X29" i="11" s="1"/>
  <c r="Z29" i="11" s="1"/>
  <c r="L20" i="8"/>
  <c r="M20" i="8" s="1"/>
  <c r="N20" i="8" s="1"/>
  <c r="O20" i="8" s="1"/>
  <c r="L68" i="8"/>
  <c r="B16" i="7" s="1"/>
  <c r="AL16" i="7" s="1"/>
  <c r="AF33" i="11"/>
  <c r="AM33" i="11" s="1"/>
  <c r="N198" i="8"/>
  <c r="O198" i="8" s="1"/>
  <c r="AF15" i="11"/>
  <c r="AI15" i="11" s="1"/>
  <c r="AO15" i="11" s="1"/>
  <c r="AF30" i="11"/>
  <c r="AI30" i="11" s="1"/>
  <c r="AF38" i="11"/>
  <c r="L168" i="8"/>
  <c r="M168" i="8" s="1"/>
  <c r="M191" i="8"/>
  <c r="N191" i="8" s="1"/>
  <c r="O191" i="8" s="1"/>
  <c r="AF35" i="11"/>
  <c r="AM35" i="11" s="1"/>
  <c r="M14" i="8"/>
  <c r="N14" i="8" s="1"/>
  <c r="O14" i="8" s="1"/>
  <c r="N73" i="8"/>
  <c r="O86" i="8"/>
  <c r="O90" i="8" s="1"/>
  <c r="K169" i="8"/>
  <c r="L18" i="8"/>
  <c r="M18" i="8" s="1"/>
  <c r="N18" i="8" s="1"/>
  <c r="O18" i="8" s="1"/>
  <c r="O61" i="8"/>
  <c r="AD64" i="10"/>
  <c r="AD53" i="10"/>
  <c r="AD43" i="10"/>
  <c r="AD15" i="10"/>
  <c r="AD84" i="10"/>
  <c r="AD75" i="10"/>
  <c r="AD69" i="10"/>
  <c r="AD57" i="10"/>
  <c r="AD37" i="10"/>
  <c r="AD34" i="10"/>
  <c r="AD29" i="10"/>
  <c r="AD89" i="10"/>
  <c r="AD62" i="10"/>
  <c r="AD40" i="10"/>
  <c r="AD23" i="10"/>
  <c r="AD20" i="10"/>
  <c r="AD112" i="10"/>
  <c r="AD108" i="10"/>
  <c r="AD107" i="10"/>
  <c r="AD74" i="10"/>
  <c r="AD45" i="10"/>
  <c r="AD26" i="10"/>
  <c r="AD17" i="10"/>
  <c r="AD106" i="10"/>
  <c r="AD81" i="10"/>
  <c r="AD68" i="10"/>
  <c r="AD61" i="10"/>
  <c r="AD56" i="10"/>
  <c r="AD52" i="10"/>
  <c r="AD31" i="10"/>
  <c r="AD88" i="10"/>
  <c r="AD42" i="10"/>
  <c r="AD33" i="10"/>
  <c r="AD14" i="10"/>
  <c r="AD117" i="10"/>
  <c r="AD78" i="10"/>
  <c r="AD67" i="10"/>
  <c r="AD39" i="10"/>
  <c r="AD28" i="10"/>
  <c r="AD19" i="10"/>
  <c r="AD101" i="10"/>
  <c r="I179" i="8"/>
  <c r="J179" i="8" s="1"/>
  <c r="K179" i="8" s="1"/>
  <c r="AD38" i="10"/>
  <c r="AF49" i="10"/>
  <c r="N66" i="8"/>
  <c r="O66" i="8" s="1"/>
  <c r="AD147" i="10"/>
  <c r="AD30" i="10"/>
  <c r="AD71" i="10"/>
  <c r="AF238" i="10"/>
  <c r="AF232" i="10"/>
  <c r="AF191" i="10"/>
  <c r="AF227" i="10"/>
  <c r="AF211" i="10"/>
  <c r="AF237" i="10"/>
  <c r="AF217" i="10"/>
  <c r="AF233" i="10"/>
  <c r="AF229" i="10"/>
  <c r="AF219" i="10"/>
  <c r="AF226" i="10"/>
  <c r="AF210" i="10"/>
  <c r="AF192" i="10"/>
  <c r="AF153" i="10"/>
  <c r="AF141" i="10"/>
  <c r="AF124" i="10"/>
  <c r="AF111" i="10"/>
  <c r="AF231" i="10"/>
  <c r="AF228" i="10"/>
  <c r="AF212" i="10"/>
  <c r="AF185" i="10"/>
  <c r="AF170" i="10"/>
  <c r="AF161" i="10"/>
  <c r="AF148" i="10"/>
  <c r="AF230" i="10"/>
  <c r="AF218" i="10"/>
  <c r="AF188" i="10"/>
  <c r="AF172" i="10"/>
  <c r="AF150" i="10"/>
  <c r="AF186" i="10"/>
  <c r="AF171" i="10"/>
  <c r="AF165" i="10"/>
  <c r="AF159" i="10"/>
  <c r="AF123" i="10"/>
  <c r="AF119" i="10"/>
  <c r="AF106" i="10"/>
  <c r="AF84" i="10"/>
  <c r="AF71" i="10"/>
  <c r="AF64" i="10"/>
  <c r="AF225" i="10"/>
  <c r="AF126" i="10"/>
  <c r="AF116" i="10"/>
  <c r="AF184" i="10"/>
  <c r="AF158" i="10"/>
  <c r="AF149" i="10"/>
  <c r="AF145" i="10"/>
  <c r="AF139" i="10"/>
  <c r="AF136" i="10"/>
  <c r="AF164" i="10"/>
  <c r="AF154" i="10"/>
  <c r="AF142" i="10"/>
  <c r="AF113" i="10"/>
  <c r="AF183" i="10"/>
  <c r="AF169" i="10"/>
  <c r="AF129" i="10"/>
  <c r="AF122" i="10"/>
  <c r="AF118" i="10"/>
  <c r="AF157" i="10"/>
  <c r="AF125" i="10"/>
  <c r="AF182" i="10"/>
  <c r="AF168" i="10"/>
  <c r="AF144" i="10"/>
  <c r="AF138" i="10"/>
  <c r="AF115" i="10"/>
  <c r="AF163" i="10"/>
  <c r="AF147" i="10"/>
  <c r="AF135" i="10"/>
  <c r="AF112" i="10"/>
  <c r="AF107" i="10"/>
  <c r="AF85" i="10"/>
  <c r="AF72" i="10"/>
  <c r="AF65" i="10"/>
  <c r="AF53" i="10"/>
  <c r="AF194" i="10"/>
  <c r="AF156" i="10"/>
  <c r="AF152" i="10"/>
  <c r="AF128" i="10"/>
  <c r="AF121" i="10"/>
  <c r="AF102" i="10"/>
  <c r="AF93" i="10"/>
  <c r="AF80" i="10"/>
  <c r="AF60" i="10"/>
  <c r="AF181" i="10"/>
  <c r="AF151" i="10"/>
  <c r="AF146" i="10"/>
  <c r="AF140" i="10"/>
  <c r="AF137" i="10"/>
  <c r="AF114" i="10"/>
  <c r="AF104" i="10"/>
  <c r="AF95" i="10"/>
  <c r="AF82" i="10"/>
  <c r="AF62" i="10"/>
  <c r="AF50" i="10"/>
  <c r="AF38" i="10"/>
  <c r="AF24" i="10"/>
  <c r="AF110" i="10"/>
  <c r="AF109" i="10"/>
  <c r="AF89" i="10"/>
  <c r="AF83" i="10"/>
  <c r="AF40" i="10"/>
  <c r="AF23" i="10"/>
  <c r="AF20" i="10"/>
  <c r="AF108" i="10"/>
  <c r="AF74" i="10"/>
  <c r="AF48" i="10"/>
  <c r="AF45" i="10"/>
  <c r="AF26" i="10"/>
  <c r="AF17" i="10"/>
  <c r="AF193" i="10"/>
  <c r="AF190" i="10"/>
  <c r="AF81" i="10"/>
  <c r="AF68" i="10"/>
  <c r="AF61" i="10"/>
  <c r="AF56" i="10"/>
  <c r="AF52" i="10"/>
  <c r="AF31" i="10"/>
  <c r="AF196" i="10"/>
  <c r="AF167" i="10"/>
  <c r="AF105" i="10"/>
  <c r="AF88" i="10"/>
  <c r="AF42" i="10"/>
  <c r="AF36" i="10"/>
  <c r="AF33" i="10"/>
  <c r="AF14" i="10"/>
  <c r="AF117" i="10"/>
  <c r="AF96" i="10"/>
  <c r="AF78" i="10"/>
  <c r="AF67" i="10"/>
  <c r="AF51" i="10"/>
  <c r="AF39" i="10"/>
  <c r="AF28" i="10"/>
  <c r="AF22" i="10"/>
  <c r="AF19" i="10"/>
  <c r="AF155" i="10"/>
  <c r="AF103" i="10"/>
  <c r="AF87" i="10"/>
  <c r="AF73" i="10"/>
  <c r="AF55" i="10"/>
  <c r="AF47" i="10"/>
  <c r="AF25" i="10"/>
  <c r="AF94" i="10"/>
  <c r="AF77" i="10"/>
  <c r="AF59" i="10"/>
  <c r="AF44" i="10"/>
  <c r="AF16" i="10"/>
  <c r="AF143" i="10"/>
  <c r="AF101" i="10"/>
  <c r="AF41" i="10"/>
  <c r="AF35" i="10"/>
  <c r="AF30" i="10"/>
  <c r="AF92" i="10"/>
  <c r="AF76" i="10"/>
  <c r="AF70" i="10"/>
  <c r="AF66" i="10"/>
  <c r="AF58" i="10"/>
  <c r="AF32" i="10"/>
  <c r="AF27" i="10"/>
  <c r="AF21" i="10"/>
  <c r="AF91" i="10"/>
  <c r="AF43" i="10"/>
  <c r="AF15" i="10"/>
  <c r="AF75" i="10"/>
  <c r="M90" i="8"/>
  <c r="D20" i="7" s="1"/>
  <c r="C20" i="7" s="1"/>
  <c r="AD41" i="10"/>
  <c r="AF37" i="10"/>
  <c r="AD54" i="10"/>
  <c r="AF134" i="10"/>
  <c r="AF29" i="10"/>
  <c r="AF54" i="10"/>
  <c r="AD86" i="10"/>
  <c r="AD18" i="10"/>
  <c r="AD46" i="10"/>
  <c r="AF57" i="10"/>
  <c r="AF86" i="10"/>
  <c r="AD119" i="10"/>
  <c r="AF195" i="10"/>
  <c r="M197" i="8"/>
  <c r="N197" i="8" s="1"/>
  <c r="O197" i="8" s="1"/>
  <c r="AF18" i="10"/>
  <c r="AF63" i="10"/>
  <c r="AF69" i="10"/>
  <c r="M73" i="8"/>
  <c r="D12" i="7" s="1"/>
  <c r="C12" i="7" s="1"/>
  <c r="I168" i="8"/>
  <c r="J168" i="8" s="1"/>
  <c r="K168" i="8" s="1"/>
  <c r="AD35" i="10"/>
  <c r="AF46" i="10"/>
  <c r="AD49" i="10"/>
  <c r="AD85" i="10"/>
  <c r="AD21" i="10"/>
  <c r="AD24" i="10"/>
  <c r="AD27" i="10"/>
  <c r="AD32" i="10"/>
  <c r="AD65" i="10"/>
  <c r="AD66" i="10"/>
  <c r="AD76" i="10"/>
  <c r="AD92" i="10"/>
  <c r="AD233" i="10"/>
  <c r="AD238" i="10"/>
  <c r="AD230" i="10"/>
  <c r="AD218" i="10"/>
  <c r="AD188" i="10"/>
  <c r="AD225" i="10"/>
  <c r="AD196" i="10"/>
  <c r="AD227" i="10"/>
  <c r="AD211" i="10"/>
  <c r="AD237" i="10"/>
  <c r="AD217" i="10"/>
  <c r="AD229" i="10"/>
  <c r="AD195" i="10"/>
  <c r="AD219" i="10"/>
  <c r="AD190" i="10"/>
  <c r="AD181" i="10"/>
  <c r="AD151" i="10"/>
  <c r="AD139" i="10"/>
  <c r="AD122" i="10"/>
  <c r="AD232" i="10"/>
  <c r="AD226" i="10"/>
  <c r="AD210" i="10"/>
  <c r="AD183" i="10"/>
  <c r="AD168" i="10"/>
  <c r="AD158" i="10"/>
  <c r="AD146" i="10"/>
  <c r="AD231" i="10"/>
  <c r="AD228" i="10"/>
  <c r="AD212" i="10"/>
  <c r="AD185" i="10"/>
  <c r="AD170" i="10"/>
  <c r="AD161" i="10"/>
  <c r="AD191" i="10"/>
  <c r="AD172" i="10"/>
  <c r="AD140" i="10"/>
  <c r="AD137" i="10"/>
  <c r="AD114" i="10"/>
  <c r="AD111" i="10"/>
  <c r="AD104" i="10"/>
  <c r="AD95" i="10"/>
  <c r="AD82" i="10"/>
  <c r="AD155" i="10"/>
  <c r="AD143" i="10"/>
  <c r="AD134" i="10"/>
  <c r="AD186" i="10"/>
  <c r="AD171" i="10"/>
  <c r="AD165" i="10"/>
  <c r="AD159" i="10"/>
  <c r="AD150" i="10"/>
  <c r="AD123" i="10"/>
  <c r="AD126" i="10"/>
  <c r="AD116" i="10"/>
  <c r="AD184" i="10"/>
  <c r="AD149" i="10"/>
  <c r="AD145" i="10"/>
  <c r="AD136" i="10"/>
  <c r="AD164" i="10"/>
  <c r="AD154" i="10"/>
  <c r="AD148" i="10"/>
  <c r="AD142" i="10"/>
  <c r="AD113" i="10"/>
  <c r="AD110" i="10"/>
  <c r="AD169" i="10"/>
  <c r="AD153" i="10"/>
  <c r="AD129" i="10"/>
  <c r="AD118" i="10"/>
  <c r="AD157" i="10"/>
  <c r="AD125" i="10"/>
  <c r="AD105" i="10"/>
  <c r="AD96" i="10"/>
  <c r="AD83" i="10"/>
  <c r="AD70" i="10"/>
  <c r="AD63" i="10"/>
  <c r="AD51" i="10"/>
  <c r="AD182" i="10"/>
  <c r="AD144" i="10"/>
  <c r="AD141" i="10"/>
  <c r="AD138" i="10"/>
  <c r="AD115" i="10"/>
  <c r="AD91" i="10"/>
  <c r="AD77" i="10"/>
  <c r="AD58" i="10"/>
  <c r="AD194" i="10"/>
  <c r="AD156" i="10"/>
  <c r="AD152" i="10"/>
  <c r="AD128" i="10"/>
  <c r="AD124" i="10"/>
  <c r="AD121" i="10"/>
  <c r="AD102" i="10"/>
  <c r="AD93" i="10"/>
  <c r="AD80" i="10"/>
  <c r="AD60" i="10"/>
  <c r="AD48" i="10"/>
  <c r="AD36" i="10"/>
  <c r="AD22" i="10"/>
  <c r="AD16" i="10"/>
  <c r="AD44" i="10"/>
  <c r="AD50" i="10"/>
  <c r="AD59" i="10"/>
  <c r="AD94" i="10"/>
  <c r="AD25" i="10"/>
  <c r="AD47" i="10"/>
  <c r="AD55" i="10"/>
  <c r="AD72" i="10"/>
  <c r="AD73" i="10"/>
  <c r="AD87" i="10"/>
  <c r="AD103" i="10"/>
  <c r="AD163" i="10"/>
  <c r="AD167" i="10"/>
  <c r="AD193" i="10"/>
  <c r="AD135" i="10"/>
  <c r="AD109" i="10"/>
  <c r="AD192" i="10"/>
  <c r="AD14" i="11"/>
  <c r="AD24" i="11"/>
  <c r="AF105" i="11"/>
  <c r="AF65" i="11"/>
  <c r="AF59" i="11"/>
  <c r="AF49" i="11"/>
  <c r="AF88" i="11"/>
  <c r="AF82" i="11"/>
  <c r="AF34" i="11"/>
  <c r="AF27" i="11"/>
  <c r="AF107" i="11"/>
  <c r="AF74" i="11"/>
  <c r="AF66" i="11"/>
  <c r="AF60" i="11"/>
  <c r="AF90" i="11"/>
  <c r="AF83" i="11"/>
  <c r="AF71" i="11"/>
  <c r="AF67" i="11"/>
  <c r="AF39" i="11"/>
  <c r="AF75" i="11"/>
  <c r="AF61" i="11"/>
  <c r="AF55" i="11"/>
  <c r="AF45" i="11"/>
  <c r="AF84" i="11"/>
  <c r="AF72" i="11"/>
  <c r="AF68" i="11"/>
  <c r="AF36" i="11"/>
  <c r="AF76" i="11"/>
  <c r="AF62" i="11"/>
  <c r="AF56" i="11"/>
  <c r="AF46" i="11"/>
  <c r="AF106" i="11"/>
  <c r="AF85" i="11"/>
  <c r="AF69" i="11"/>
  <c r="AF37" i="11"/>
  <c r="AF24" i="11"/>
  <c r="AF89" i="11"/>
  <c r="AF63" i="11"/>
  <c r="AF57" i="11"/>
  <c r="AF47" i="11"/>
  <c r="AF31" i="11"/>
  <c r="AF13" i="11"/>
  <c r="AF64" i="11"/>
  <c r="AF58" i="11"/>
  <c r="AF48" i="11"/>
  <c r="AF32" i="11"/>
  <c r="AF14" i="11"/>
  <c r="AF29" i="11"/>
  <c r="AD64" i="11"/>
  <c r="AD58" i="11"/>
  <c r="AD48" i="11"/>
  <c r="AD32" i="11"/>
  <c r="AD87" i="11"/>
  <c r="AD33" i="11"/>
  <c r="AD26" i="11"/>
  <c r="AD105" i="11"/>
  <c r="AD65" i="11"/>
  <c r="AD59" i="11"/>
  <c r="AD49" i="11"/>
  <c r="AD88" i="11"/>
  <c r="AD82" i="11"/>
  <c r="AD107" i="11"/>
  <c r="AD74" i="11"/>
  <c r="AD66" i="11"/>
  <c r="AD60" i="11"/>
  <c r="AD50" i="11"/>
  <c r="AD90" i="11"/>
  <c r="AD83" i="11"/>
  <c r="AD71" i="11"/>
  <c r="AD67" i="11"/>
  <c r="AD39" i="11"/>
  <c r="AD35" i="11"/>
  <c r="AD75" i="11"/>
  <c r="AD61" i="11"/>
  <c r="AD55" i="11"/>
  <c r="AD45" i="11"/>
  <c r="AD84" i="11"/>
  <c r="AD72" i="11"/>
  <c r="AD68" i="11"/>
  <c r="AD36" i="11"/>
  <c r="AD76" i="11"/>
  <c r="AD62" i="11"/>
  <c r="AD56" i="11"/>
  <c r="AD46" i="11"/>
  <c r="AD30" i="11"/>
  <c r="AD89" i="11"/>
  <c r="AD63" i="11"/>
  <c r="AD57" i="11"/>
  <c r="AD47" i="11"/>
  <c r="AD31" i="11"/>
  <c r="AD13" i="11"/>
  <c r="AD15" i="11"/>
  <c r="AF108" i="11"/>
  <c r="R20" i="11"/>
  <c r="AD69" i="11"/>
  <c r="AD86" i="11"/>
  <c r="AF87" i="11"/>
  <c r="AD27" i="11"/>
  <c r="AD18" i="11"/>
  <c r="AD16" i="11"/>
  <c r="AD25" i="11"/>
  <c r="AD34" i="11"/>
  <c r="AD85" i="11"/>
  <c r="AD106" i="11"/>
  <c r="AD38" i="11"/>
  <c r="AD28" i="11"/>
  <c r="AI35" i="11"/>
  <c r="AO35" i="11" s="1"/>
  <c r="AD37" i="11"/>
  <c r="R52" i="11"/>
  <c r="R79" i="11"/>
  <c r="AN621" i="14"/>
  <c r="AR621" i="14" s="1"/>
  <c r="AZ31" i="15"/>
  <c r="AN624" i="14"/>
  <c r="AS624" i="14" s="1"/>
  <c r="AT624" i="14" s="1"/>
  <c r="AN633" i="14"/>
  <c r="AR633" i="14" s="1"/>
  <c r="AN648" i="14"/>
  <c r="AR648" i="14" s="1"/>
  <c r="AN657" i="14"/>
  <c r="AS657" i="14" s="1"/>
  <c r="AT657" i="14" s="1"/>
  <c r="AN295" i="14"/>
  <c r="AR295" i="14" s="1"/>
  <c r="AN474" i="14"/>
  <c r="AS474" i="14" s="1"/>
  <c r="AT474" i="14" s="1"/>
  <c r="AN492" i="14"/>
  <c r="AS492" i="14" s="1"/>
  <c r="AT492" i="14" s="1"/>
  <c r="AN575" i="14"/>
  <c r="AR575" i="14" s="1"/>
  <c r="AN472" i="14"/>
  <c r="AQ472" i="14" s="1"/>
  <c r="AN432" i="14"/>
  <c r="AQ432" i="14" s="1"/>
  <c r="Z45" i="7"/>
  <c r="C45" i="7"/>
  <c r="L20" i="7"/>
  <c r="L27" i="7"/>
  <c r="L29" i="7"/>
  <c r="L31" i="7"/>
  <c r="L33" i="7"/>
  <c r="L51" i="7"/>
  <c r="L49" i="7"/>
  <c r="L12" i="7"/>
  <c r="P39" i="7"/>
  <c r="L45" i="7"/>
  <c r="AQ53" i="7"/>
  <c r="C37" i="7"/>
  <c r="M39" i="7"/>
  <c r="N39" i="7"/>
  <c r="O39" i="7"/>
  <c r="L37" i="7"/>
  <c r="L41" i="7"/>
  <c r="K24" i="7"/>
  <c r="M24" i="7"/>
  <c r="Q8" i="7"/>
  <c r="AI8" i="7" s="1"/>
  <c r="D39" i="7"/>
  <c r="O24" i="7"/>
  <c r="AL27" i="7"/>
  <c r="N24" i="7"/>
  <c r="AQ22" i="7"/>
  <c r="P24" i="7"/>
  <c r="Q39" i="7"/>
  <c r="Q24" i="7"/>
  <c r="Z8" i="7"/>
  <c r="AL29" i="7"/>
  <c r="AL53" i="7"/>
  <c r="X11" i="11"/>
  <c r="AB11" i="11"/>
  <c r="AA11" i="11"/>
  <c r="B39" i="7"/>
  <c r="B40" i="7" s="1"/>
  <c r="L18" i="7"/>
  <c r="AR8" i="7"/>
  <c r="AL12" i="7"/>
  <c r="C3" i="10"/>
  <c r="C27" i="7"/>
  <c r="A3" i="4"/>
  <c r="K39" i="7"/>
  <c r="AL22" i="7"/>
  <c r="AL35" i="7"/>
  <c r="A3" i="1"/>
  <c r="A3" i="8"/>
  <c r="S10" i="4"/>
  <c r="P121" i="4"/>
  <c r="O54" i="4"/>
  <c r="N54" i="4"/>
  <c r="M54" i="4"/>
  <c r="M21" i="4"/>
  <c r="D41" i="7" s="1"/>
  <c r="AN41" i="7" s="1"/>
  <c r="N6" i="8"/>
  <c r="AN623" i="14"/>
  <c r="AR623" i="14" s="1"/>
  <c r="AN632" i="14"/>
  <c r="AQ632" i="14" s="1"/>
  <c r="AN644" i="14"/>
  <c r="AS644" i="14" s="1"/>
  <c r="AT644" i="14" s="1"/>
  <c r="AN656" i="14"/>
  <c r="AR656" i="14" s="1"/>
  <c r="AN677" i="14"/>
  <c r="AS677" i="14" s="1"/>
  <c r="AT677" i="14" s="1"/>
  <c r="AN686" i="14"/>
  <c r="AR686" i="14" s="1"/>
  <c r="AN684" i="14"/>
  <c r="AS684" i="14" s="1"/>
  <c r="AT684" i="14" s="1"/>
  <c r="N7" i="8"/>
  <c r="Q71" i="8" s="1"/>
  <c r="N2" i="1"/>
  <c r="AN58" i="14"/>
  <c r="AR58" i="14" s="1"/>
  <c r="AN37" i="14"/>
  <c r="AR37" i="14" s="1"/>
  <c r="AN61" i="14"/>
  <c r="AR61" i="14" s="1"/>
  <c r="AN31" i="14"/>
  <c r="AS31" i="14" s="1"/>
  <c r="AT31" i="14" s="1"/>
  <c r="AN55" i="14"/>
  <c r="AQ55" i="14" s="1"/>
  <c r="N3" i="1"/>
  <c r="N3" i="4"/>
  <c r="N4" i="4"/>
  <c r="N4" i="1"/>
  <c r="N5" i="1"/>
  <c r="N71" i="4"/>
  <c r="O71" i="4" s="1"/>
  <c r="M89" i="4"/>
  <c r="D49" i="7" s="1"/>
  <c r="C49" i="7" s="1"/>
  <c r="N61" i="4"/>
  <c r="O57" i="4"/>
  <c r="O61" i="4" s="1"/>
  <c r="Q121" i="4"/>
  <c r="R121" i="4" s="1"/>
  <c r="S121" i="4" s="1"/>
  <c r="N89" i="4"/>
  <c r="O83" i="4"/>
  <c r="O89" i="4" s="1"/>
  <c r="O116" i="4"/>
  <c r="AL49" i="7"/>
  <c r="M29" i="4"/>
  <c r="N29" i="4" s="1"/>
  <c r="O29" i="4" s="1"/>
  <c r="O12" i="4"/>
  <c r="N64" i="4"/>
  <c r="B43" i="7"/>
  <c r="AL43" i="7" s="1"/>
  <c r="M61" i="4"/>
  <c r="M69" i="4"/>
  <c r="N69" i="4" s="1"/>
  <c r="O69" i="4" s="1"/>
  <c r="N14" i="4"/>
  <c r="O14" i="4" s="1"/>
  <c r="N24" i="4"/>
  <c r="M36" i="4"/>
  <c r="N36" i="4" s="1"/>
  <c r="O36" i="4" s="1"/>
  <c r="L79" i="4"/>
  <c r="B47" i="7" s="1"/>
  <c r="AN352" i="14"/>
  <c r="AR352" i="14" s="1"/>
  <c r="AN355" i="14"/>
  <c r="AQ355" i="14" s="1"/>
  <c r="AN361" i="14"/>
  <c r="AS361" i="14" s="1"/>
  <c r="AT361" i="14" s="1"/>
  <c r="AN380" i="14"/>
  <c r="AS380" i="14" s="1"/>
  <c r="AT380" i="14" s="1"/>
  <c r="AN204" i="14"/>
  <c r="AR204" i="14" s="1"/>
  <c r="AN247" i="14"/>
  <c r="AR247" i="14" s="1"/>
  <c r="AN562" i="14"/>
  <c r="AS562" i="14" s="1"/>
  <c r="AT562" i="14" s="1"/>
  <c r="AN14" i="14"/>
  <c r="AQ14" i="14" s="1"/>
  <c r="AN17" i="14"/>
  <c r="AQ17" i="14" s="1"/>
  <c r="AN20" i="14"/>
  <c r="AR20" i="14" s="1"/>
  <c r="AN41" i="14"/>
  <c r="AR41" i="14" s="1"/>
  <c r="AN113" i="14"/>
  <c r="AQ113" i="14" s="1"/>
  <c r="AN504" i="14"/>
  <c r="AQ504" i="14" s="1"/>
  <c r="AN205" i="14"/>
  <c r="AQ205" i="14" s="1"/>
  <c r="AN542" i="14"/>
  <c r="AQ542" i="14" s="1"/>
  <c r="AN196" i="14"/>
  <c r="AR196" i="14" s="1"/>
  <c r="AN518" i="14"/>
  <c r="AR518" i="14" s="1"/>
  <c r="AN494" i="14"/>
  <c r="AS494" i="14" s="1"/>
  <c r="AT494" i="14" s="1"/>
  <c r="AN515" i="14"/>
  <c r="AR515" i="14" s="1"/>
  <c r="AN48" i="14"/>
  <c r="AQ48" i="14" s="1"/>
  <c r="AN197" i="14"/>
  <c r="AQ197" i="14" s="1"/>
  <c r="AN434" i="14"/>
  <c r="AR434" i="14" s="1"/>
  <c r="AN134" i="14"/>
  <c r="AR134" i="14" s="1"/>
  <c r="AN137" i="14"/>
  <c r="AR137" i="14" s="1"/>
  <c r="AN410" i="14"/>
  <c r="AR410" i="14" s="1"/>
  <c r="AN425" i="14"/>
  <c r="AS425" i="14" s="1"/>
  <c r="AT425" i="14" s="1"/>
  <c r="AN480" i="14"/>
  <c r="AR480" i="14" s="1"/>
  <c r="AN595" i="14"/>
  <c r="AS595" i="14" s="1"/>
  <c r="AT595" i="14" s="1"/>
  <c r="AN598" i="14"/>
  <c r="AQ598" i="14" s="1"/>
  <c r="AN138" i="14"/>
  <c r="AR138" i="14" s="1"/>
  <c r="AN328" i="14"/>
  <c r="AR328" i="14" s="1"/>
  <c r="AN153" i="14"/>
  <c r="AR153" i="14" s="1"/>
  <c r="AN230" i="14"/>
  <c r="AR230" i="14" s="1"/>
  <c r="AN236" i="14"/>
  <c r="AQ236" i="14" s="1"/>
  <c r="AN239" i="14"/>
  <c r="AR239" i="14" s="1"/>
  <c r="AN242" i="14"/>
  <c r="AQ242" i="14" s="1"/>
  <c r="AN573" i="14"/>
  <c r="AQ573" i="14" s="1"/>
  <c r="AN643" i="14"/>
  <c r="AS643" i="14" s="1"/>
  <c r="AT643" i="14" s="1"/>
  <c r="AN475" i="14"/>
  <c r="AQ475" i="14" s="1"/>
  <c r="AN658" i="14"/>
  <c r="AQ658" i="14" s="1"/>
  <c r="AN325" i="14"/>
  <c r="AQ325" i="14" s="1"/>
  <c r="AN593" i="14"/>
  <c r="AR593" i="14" s="1"/>
  <c r="AN85" i="14"/>
  <c r="AQ85" i="14" s="1"/>
  <c r="AN198" i="14"/>
  <c r="AR198" i="14" s="1"/>
  <c r="AN206" i="14"/>
  <c r="AR206" i="14" s="1"/>
  <c r="AN42" i="14"/>
  <c r="AR42" i="14" s="1"/>
  <c r="AN194" i="14"/>
  <c r="AQ194" i="14" s="1"/>
  <c r="AN655" i="14"/>
  <c r="AR655" i="14" s="1"/>
  <c r="AN670" i="14"/>
  <c r="AS670" i="14" s="1"/>
  <c r="AT670" i="14" s="1"/>
  <c r="AN139" i="14"/>
  <c r="AR139" i="14" s="1"/>
  <c r="AN335" i="14"/>
  <c r="AR335" i="14" s="1"/>
  <c r="AN344" i="14"/>
  <c r="AR344" i="14" s="1"/>
  <c r="AN412" i="14"/>
  <c r="AR412" i="14" s="1"/>
  <c r="AN418" i="14"/>
  <c r="AR418" i="14" s="1"/>
  <c r="AN582" i="14"/>
  <c r="AQ582" i="14" s="1"/>
  <c r="AN600" i="14"/>
  <c r="AQ600" i="14" s="1"/>
  <c r="AN84" i="14"/>
  <c r="AQ84" i="14" s="1"/>
  <c r="AN203" i="14"/>
  <c r="AR203" i="14" s="1"/>
  <c r="AN145" i="14"/>
  <c r="AR145" i="14" s="1"/>
  <c r="AN468" i="14"/>
  <c r="AR468" i="14" s="1"/>
  <c r="AN571" i="14"/>
  <c r="AQ571" i="14" s="1"/>
  <c r="AN60" i="14"/>
  <c r="AR60" i="14" s="1"/>
  <c r="AN469" i="14"/>
  <c r="AR469" i="14" s="1"/>
  <c r="AN99" i="14"/>
  <c r="AS99" i="14" s="1"/>
  <c r="AT99" i="14" s="1"/>
  <c r="AN191" i="14"/>
  <c r="AR191" i="14" s="1"/>
  <c r="AN551" i="14"/>
  <c r="AR551" i="14" s="1"/>
  <c r="AN507" i="14"/>
  <c r="AQ507" i="14" s="1"/>
  <c r="AN393" i="14"/>
  <c r="AR393" i="14" s="1"/>
  <c r="AN519" i="14"/>
  <c r="AR519" i="14" s="1"/>
  <c r="AN577" i="14"/>
  <c r="AN662" i="14"/>
  <c r="AR662" i="14" s="1"/>
  <c r="AL20" i="7"/>
  <c r="AN182" i="14"/>
  <c r="AS182" i="14" s="1"/>
  <c r="AT182" i="14" s="1"/>
  <c r="AN288" i="14"/>
  <c r="AR288" i="14" s="1"/>
  <c r="AN294" i="14"/>
  <c r="AR294" i="14" s="1"/>
  <c r="AN297" i="14"/>
  <c r="AS297" i="14" s="1"/>
  <c r="AT297" i="14" s="1"/>
  <c r="AN426" i="14"/>
  <c r="AQ426" i="14" s="1"/>
  <c r="AN429" i="14"/>
  <c r="AQ429" i="14" s="1"/>
  <c r="AN67" i="14"/>
  <c r="AS67" i="14" s="1"/>
  <c r="AT67" i="14" s="1"/>
  <c r="AN73" i="14"/>
  <c r="AQ73" i="14" s="1"/>
  <c r="AN108" i="14"/>
  <c r="AR108" i="14" s="1"/>
  <c r="AN140" i="14"/>
  <c r="AR140" i="14" s="1"/>
  <c r="AN166" i="14"/>
  <c r="AR166" i="14" s="1"/>
  <c r="AN216" i="14"/>
  <c r="AN390" i="14"/>
  <c r="AS390" i="14" s="1"/>
  <c r="AT390" i="14" s="1"/>
  <c r="AN513" i="14"/>
  <c r="AR513" i="14" s="1"/>
  <c r="AN132" i="14"/>
  <c r="AR132" i="14" s="1"/>
  <c r="AN473" i="14"/>
  <c r="AS473" i="14" s="1"/>
  <c r="AT473" i="14" s="1"/>
  <c r="AN596" i="14"/>
  <c r="AS596" i="14" s="1"/>
  <c r="AT596" i="14" s="1"/>
  <c r="AN543" i="14"/>
  <c r="AR543" i="14" s="1"/>
  <c r="AN585" i="14"/>
  <c r="AQ585" i="14" s="1"/>
  <c r="AN453" i="14"/>
  <c r="AQ453" i="14" s="1"/>
  <c r="AN64" i="14"/>
  <c r="AR64" i="14" s="1"/>
  <c r="AN105" i="14"/>
  <c r="AQ105" i="14" s="1"/>
  <c r="AN208" i="14"/>
  <c r="AN370" i="14"/>
  <c r="AR370" i="14" s="1"/>
  <c r="AN53" i="14"/>
  <c r="AR53" i="14" s="1"/>
  <c r="AN254" i="14"/>
  <c r="AR254" i="14" s="1"/>
  <c r="AN286" i="14"/>
  <c r="AN175" i="14"/>
  <c r="AQ175" i="14" s="1"/>
  <c r="AN333" i="14"/>
  <c r="AR333" i="14" s="1"/>
  <c r="AN619" i="14"/>
  <c r="AS619" i="14" s="1"/>
  <c r="AT619" i="14" s="1"/>
  <c r="AN416" i="14"/>
  <c r="AQ416" i="14" s="1"/>
  <c r="AN631" i="14"/>
  <c r="AR631" i="14" s="1"/>
  <c r="AN45" i="14"/>
  <c r="AN68" i="14"/>
  <c r="AS68" i="14" s="1"/>
  <c r="AT68" i="14" s="1"/>
  <c r="AN161" i="14"/>
  <c r="AR161" i="14" s="1"/>
  <c r="AN164" i="14"/>
  <c r="AQ164" i="14" s="1"/>
  <c r="AN368" i="14"/>
  <c r="AR368" i="14" s="1"/>
  <c r="AN374" i="14"/>
  <c r="AQ374" i="14" s="1"/>
  <c r="AN377" i="14"/>
  <c r="AR377" i="14" s="1"/>
  <c r="AN436" i="14"/>
  <c r="AQ436" i="14" s="1"/>
  <c r="AN445" i="14"/>
  <c r="AR445" i="14" s="1"/>
  <c r="AN465" i="14"/>
  <c r="AN499" i="14"/>
  <c r="AQ499" i="14" s="1"/>
  <c r="AN505" i="14"/>
  <c r="AS505" i="14" s="1"/>
  <c r="AT505" i="14" s="1"/>
  <c r="AN566" i="14"/>
  <c r="AR566" i="14" s="1"/>
  <c r="AN634" i="14"/>
  <c r="AQ634" i="14" s="1"/>
  <c r="AN645" i="14"/>
  <c r="AS645" i="14" s="1"/>
  <c r="AT645" i="14" s="1"/>
  <c r="AN367" i="14"/>
  <c r="AQ367" i="14" s="1"/>
  <c r="AN647" i="14"/>
  <c r="AQ647" i="14" s="1"/>
  <c r="AN315" i="14"/>
  <c r="AR315" i="14" s="1"/>
  <c r="AN123" i="14"/>
  <c r="AN189" i="14"/>
  <c r="AR189" i="14" s="1"/>
  <c r="AN33" i="14"/>
  <c r="AS33" i="14" s="1"/>
  <c r="AT33" i="14" s="1"/>
  <c r="AN158" i="14"/>
  <c r="AR158" i="14" s="1"/>
  <c r="AN625" i="14"/>
  <c r="AQ625" i="14" s="1"/>
  <c r="AN668" i="14"/>
  <c r="AR668" i="14" s="1"/>
  <c r="AN51" i="14"/>
  <c r="AR51" i="14" s="1"/>
  <c r="AN80" i="14"/>
  <c r="AR80" i="14" s="1"/>
  <c r="AN112" i="14"/>
  <c r="AN115" i="14"/>
  <c r="AR115" i="14" s="1"/>
  <c r="AN261" i="14"/>
  <c r="AR261" i="14" s="1"/>
  <c r="AN264" i="14"/>
  <c r="AR264" i="14" s="1"/>
  <c r="AN296" i="14"/>
  <c r="AQ296" i="14" s="1"/>
  <c r="AN319" i="14"/>
  <c r="AQ319" i="14" s="1"/>
  <c r="AN348" i="14"/>
  <c r="AR348" i="14" s="1"/>
  <c r="AN471" i="14"/>
  <c r="AN511" i="14"/>
  <c r="AR511" i="14" s="1"/>
  <c r="AN523" i="14"/>
  <c r="AN526" i="14"/>
  <c r="AQ526" i="14" s="1"/>
  <c r="AN637" i="14"/>
  <c r="AN396" i="14"/>
  <c r="AS396" i="14" s="1"/>
  <c r="AT396" i="14" s="1"/>
  <c r="AN54" i="14"/>
  <c r="AR54" i="14" s="1"/>
  <c r="AN92" i="14"/>
  <c r="AR92" i="14" s="1"/>
  <c r="AN136" i="14"/>
  <c r="AQ136" i="14" s="1"/>
  <c r="AN193" i="14"/>
  <c r="AR193" i="14" s="1"/>
  <c r="AN241" i="14"/>
  <c r="AQ241" i="14" s="1"/>
  <c r="AN302" i="14"/>
  <c r="AR302" i="14" s="1"/>
  <c r="AN331" i="14"/>
  <c r="AQ331" i="14" s="1"/>
  <c r="AN351" i="14"/>
  <c r="AR351" i="14" s="1"/>
  <c r="AN414" i="14"/>
  <c r="AS414" i="14" s="1"/>
  <c r="AT414" i="14" s="1"/>
  <c r="AN431" i="14"/>
  <c r="AS431" i="14" s="1"/>
  <c r="AT431" i="14" s="1"/>
  <c r="AN373" i="14"/>
  <c r="AQ373" i="14" s="1"/>
  <c r="AN607" i="14"/>
  <c r="AS607" i="14" s="1"/>
  <c r="AT607" i="14" s="1"/>
  <c r="AN292" i="14"/>
  <c r="AR292" i="14" s="1"/>
  <c r="AN318" i="14"/>
  <c r="AQ318" i="14" s="1"/>
  <c r="AN126" i="14"/>
  <c r="AR126" i="14" s="1"/>
  <c r="AN269" i="14"/>
  <c r="AS269" i="14" s="1"/>
  <c r="AT269" i="14" s="1"/>
  <c r="AN610" i="14"/>
  <c r="AR610" i="14" s="1"/>
  <c r="AN97" i="14"/>
  <c r="AR97" i="14" s="1"/>
  <c r="AN482" i="14"/>
  <c r="AS482" i="14" s="1"/>
  <c r="AT482" i="14" s="1"/>
  <c r="AN602" i="14"/>
  <c r="AQ602" i="14" s="1"/>
  <c r="AN659" i="14"/>
  <c r="AQ659" i="14" s="1"/>
  <c r="AN679" i="14"/>
  <c r="AS679" i="14" s="1"/>
  <c r="AT679" i="14" s="1"/>
  <c r="AN260" i="14"/>
  <c r="AQ260" i="14" s="1"/>
  <c r="AN283" i="14"/>
  <c r="AR283" i="14" s="1"/>
  <c r="AN94" i="14"/>
  <c r="AS94" i="14" s="1"/>
  <c r="AT94" i="14" s="1"/>
  <c r="AN211" i="14"/>
  <c r="AQ211" i="14" s="1"/>
  <c r="AN382" i="14"/>
  <c r="AR382" i="14" s="1"/>
  <c r="AN36" i="14"/>
  <c r="AS36" i="14" s="1"/>
  <c r="AT36" i="14" s="1"/>
  <c r="AN249" i="14"/>
  <c r="AR249" i="14" s="1"/>
  <c r="AN69" i="14"/>
  <c r="AR69" i="14" s="1"/>
  <c r="AN72" i="14"/>
  <c r="AQ72" i="14" s="1"/>
  <c r="AN75" i="14"/>
  <c r="AR75" i="14" s="1"/>
  <c r="AN142" i="14"/>
  <c r="AQ142" i="14" s="1"/>
  <c r="AN210" i="14"/>
  <c r="AQ210" i="14" s="1"/>
  <c r="AN253" i="14"/>
  <c r="AQ253" i="14" s="1"/>
  <c r="AN279" i="14"/>
  <c r="AR279" i="14" s="1"/>
  <c r="AN372" i="14"/>
  <c r="AR372" i="14" s="1"/>
  <c r="AN375" i="14"/>
  <c r="AR375" i="14" s="1"/>
  <c r="AN449" i="14"/>
  <c r="AR449" i="14" s="1"/>
  <c r="AN452" i="14"/>
  <c r="AQ452" i="14" s="1"/>
  <c r="AN635" i="14"/>
  <c r="AS635" i="14" s="1"/>
  <c r="AT635" i="14" s="1"/>
  <c r="Y16" i="7"/>
  <c r="AN275" i="14"/>
  <c r="AR275" i="14" s="1"/>
  <c r="AN362" i="14"/>
  <c r="AR362" i="14" s="1"/>
  <c r="AN21" i="14"/>
  <c r="AP288" i="14"/>
  <c r="AN535" i="14"/>
  <c r="AQ535" i="14" s="1"/>
  <c r="AN111" i="14"/>
  <c r="AS111" i="14" s="1"/>
  <c r="AT111" i="14" s="1"/>
  <c r="AN114" i="14"/>
  <c r="AR114" i="14" s="1"/>
  <c r="AN326" i="14"/>
  <c r="AQ326" i="14" s="1"/>
  <c r="AN329" i="14"/>
  <c r="AQ329" i="14" s="1"/>
  <c r="AN332" i="14"/>
  <c r="AQ332" i="14" s="1"/>
  <c r="AN342" i="14"/>
  <c r="AQ342" i="14" s="1"/>
  <c r="AN530" i="14"/>
  <c r="AR530" i="14" s="1"/>
  <c r="AN26" i="14"/>
  <c r="AQ26" i="14" s="1"/>
  <c r="AN29" i="14"/>
  <c r="AR29" i="14" s="1"/>
  <c r="AN59" i="14"/>
  <c r="AR59" i="14" s="1"/>
  <c r="AN100" i="14"/>
  <c r="AQ100" i="14" s="1"/>
  <c r="AN119" i="14"/>
  <c r="AR119" i="14" s="1"/>
  <c r="AN135" i="14"/>
  <c r="AN172" i="14"/>
  <c r="AQ172" i="14" s="1"/>
  <c r="AN177" i="14"/>
  <c r="AR177" i="14" s="1"/>
  <c r="AN214" i="14"/>
  <c r="AR214" i="14" s="1"/>
  <c r="AN277" i="14"/>
  <c r="AQ277" i="14" s="1"/>
  <c r="AN394" i="14"/>
  <c r="AS394" i="14" s="1"/>
  <c r="AT394" i="14" s="1"/>
  <c r="AN405" i="14"/>
  <c r="AS405" i="14" s="1"/>
  <c r="AT405" i="14" s="1"/>
  <c r="AN417" i="14"/>
  <c r="AQ417" i="14" s="1"/>
  <c r="AN422" i="14"/>
  <c r="AQ422" i="14" s="1"/>
  <c r="AN441" i="14"/>
  <c r="AS441" i="14" s="1"/>
  <c r="AT441" i="14" s="1"/>
  <c r="AN459" i="14"/>
  <c r="AR459" i="14" s="1"/>
  <c r="AN516" i="14"/>
  <c r="AR516" i="14" s="1"/>
  <c r="AN524" i="14"/>
  <c r="AN611" i="14"/>
  <c r="AS611" i="14" s="1"/>
  <c r="AT611" i="14" s="1"/>
  <c r="AN650" i="14"/>
  <c r="AR650" i="14" s="1"/>
  <c r="AN669" i="14"/>
  <c r="AS669" i="14" s="1"/>
  <c r="AT669" i="14" s="1"/>
  <c r="AN674" i="14"/>
  <c r="AS674" i="14" s="1"/>
  <c r="AT674" i="14" s="1"/>
  <c r="AN420" i="14"/>
  <c r="AQ420" i="14" s="1"/>
  <c r="AN46" i="14"/>
  <c r="AR46" i="14" s="1"/>
  <c r="AN120" i="14"/>
  <c r="AR120" i="14" s="1"/>
  <c r="AN289" i="14"/>
  <c r="AR289" i="14" s="1"/>
  <c r="AN667" i="14"/>
  <c r="AR667" i="14" s="1"/>
  <c r="AN128" i="14"/>
  <c r="AR128" i="14" s="1"/>
  <c r="AN237" i="14"/>
  <c r="AN442" i="14"/>
  <c r="AR442" i="14" s="1"/>
  <c r="AN654" i="14"/>
  <c r="AS654" i="14" s="1"/>
  <c r="AT654" i="14" s="1"/>
  <c r="AN675" i="14"/>
  <c r="AR675" i="14" s="1"/>
  <c r="AN35" i="14"/>
  <c r="AQ35" i="14" s="1"/>
  <c r="AN49" i="14"/>
  <c r="AR49" i="14" s="1"/>
  <c r="AN52" i="14"/>
  <c r="AS52" i="14" s="1"/>
  <c r="AT52" i="14" s="1"/>
  <c r="AN79" i="14"/>
  <c r="AR79" i="14" s="1"/>
  <c r="AN82" i="14"/>
  <c r="AQ82" i="14" s="1"/>
  <c r="AN146" i="14"/>
  <c r="AR146" i="14" s="1"/>
  <c r="AN165" i="14"/>
  <c r="AR165" i="14" s="1"/>
  <c r="AN173" i="14"/>
  <c r="AR173" i="14" s="1"/>
  <c r="AN215" i="14"/>
  <c r="AN232" i="14"/>
  <c r="AR232" i="14" s="1"/>
  <c r="AN251" i="14"/>
  <c r="AR251" i="14" s="1"/>
  <c r="AN281" i="14"/>
  <c r="AR281" i="14" s="1"/>
  <c r="AN284" i="14"/>
  <c r="AR284" i="14" s="1"/>
  <c r="AN324" i="14"/>
  <c r="AR324" i="14" s="1"/>
  <c r="AN330" i="14"/>
  <c r="AQ330" i="14" s="1"/>
  <c r="AN340" i="14"/>
  <c r="AQ340" i="14" s="1"/>
  <c r="AN350" i="14"/>
  <c r="AR350" i="14" s="1"/>
  <c r="AN360" i="14"/>
  <c r="AS360" i="14" s="1"/>
  <c r="AT360" i="14" s="1"/>
  <c r="AN371" i="14"/>
  <c r="AR371" i="14" s="1"/>
  <c r="AN496" i="14"/>
  <c r="AS496" i="14" s="1"/>
  <c r="AT496" i="14" s="1"/>
  <c r="AN517" i="14"/>
  <c r="AR517" i="14" s="1"/>
  <c r="AN533" i="14"/>
  <c r="AR533" i="14" s="1"/>
  <c r="AN544" i="14"/>
  <c r="AR544" i="14" s="1"/>
  <c r="AN555" i="14"/>
  <c r="AQ555" i="14" s="1"/>
  <c r="AN563" i="14"/>
  <c r="AQ563" i="14" s="1"/>
  <c r="AN576" i="14"/>
  <c r="AS576" i="14" s="1"/>
  <c r="AT576" i="14" s="1"/>
  <c r="AN589" i="14"/>
  <c r="AQ589" i="14" s="1"/>
  <c r="AN594" i="14"/>
  <c r="AS594" i="14" s="1"/>
  <c r="AT594" i="14" s="1"/>
  <c r="AN599" i="14"/>
  <c r="AS599" i="14" s="1"/>
  <c r="AT599" i="14" s="1"/>
  <c r="AN604" i="14"/>
  <c r="AQ604" i="14" s="1"/>
  <c r="AN620" i="14"/>
  <c r="AS620" i="14" s="1"/>
  <c r="AT620" i="14" s="1"/>
  <c r="AN678" i="14"/>
  <c r="AR678" i="14" s="1"/>
  <c r="AN683" i="14"/>
  <c r="AN403" i="14"/>
  <c r="AN467" i="14"/>
  <c r="AR467" i="14" s="1"/>
  <c r="AN141" i="14"/>
  <c r="AR141" i="14" s="1"/>
  <c r="AN303" i="14"/>
  <c r="AQ303" i="14" s="1"/>
  <c r="AN506" i="14"/>
  <c r="AS506" i="14" s="1"/>
  <c r="AT506" i="14" s="1"/>
  <c r="AN57" i="14"/>
  <c r="AR57" i="14" s="1"/>
  <c r="AN181" i="14"/>
  <c r="AQ181" i="14" s="1"/>
  <c r="AN321" i="14"/>
  <c r="AR321" i="14" s="1"/>
  <c r="AN483" i="14"/>
  <c r="AS483" i="14" s="1"/>
  <c r="AT483" i="14" s="1"/>
  <c r="AN525" i="14"/>
  <c r="AQ525" i="14" s="1"/>
  <c r="AN609" i="14"/>
  <c r="AQ609" i="14" s="1"/>
  <c r="AN22" i="14"/>
  <c r="AQ22" i="14" s="1"/>
  <c r="AN74" i="14"/>
  <c r="AN401" i="14"/>
  <c r="AR401" i="14" s="1"/>
  <c r="AN421" i="14"/>
  <c r="AQ421" i="14" s="1"/>
  <c r="AN455" i="14"/>
  <c r="AR455" i="14" s="1"/>
  <c r="AN528" i="14"/>
  <c r="AR528" i="14" s="1"/>
  <c r="AN547" i="14"/>
  <c r="AQ547" i="14" s="1"/>
  <c r="AN574" i="14"/>
  <c r="AR574" i="14" s="1"/>
  <c r="AN685" i="14"/>
  <c r="AS685" i="14" s="1"/>
  <c r="AT685" i="14" s="1"/>
  <c r="AN259" i="14"/>
  <c r="AN300" i="14"/>
  <c r="AQ300" i="14" s="1"/>
  <c r="AN591" i="14"/>
  <c r="AN27" i="14"/>
  <c r="AQ27" i="14" s="1"/>
  <c r="AN76" i="14"/>
  <c r="AR76" i="14" s="1"/>
  <c r="AN101" i="14"/>
  <c r="AS101" i="14" s="1"/>
  <c r="AT101" i="14" s="1"/>
  <c r="AN387" i="14"/>
  <c r="AS387" i="14" s="1"/>
  <c r="AT387" i="14" s="1"/>
  <c r="AN578" i="14"/>
  <c r="AR578" i="14" s="1"/>
  <c r="AN44" i="14"/>
  <c r="AR44" i="14" s="1"/>
  <c r="AN63" i="14"/>
  <c r="AQ63" i="14" s="1"/>
  <c r="AN66" i="14"/>
  <c r="AS66" i="14" s="1"/>
  <c r="AT66" i="14" s="1"/>
  <c r="AN91" i="14"/>
  <c r="AQ91" i="14" s="1"/>
  <c r="AN129" i="14"/>
  <c r="AR129" i="14" s="1"/>
  <c r="AN213" i="14"/>
  <c r="AQ213" i="14" s="1"/>
  <c r="AN235" i="14"/>
  <c r="AR235" i="14" s="1"/>
  <c r="AN304" i="14"/>
  <c r="AN309" i="14"/>
  <c r="AR309" i="14" s="1"/>
  <c r="AN346" i="14"/>
  <c r="AN366" i="14"/>
  <c r="AS366" i="14" s="1"/>
  <c r="AT366" i="14" s="1"/>
  <c r="AN476" i="14"/>
  <c r="AQ476" i="14" s="1"/>
  <c r="AN491" i="14"/>
  <c r="AQ491" i="14" s="1"/>
  <c r="AN550" i="14"/>
  <c r="AS550" i="14" s="1"/>
  <c r="AT550" i="14" s="1"/>
  <c r="AN553" i="14"/>
  <c r="AQ553" i="14" s="1"/>
  <c r="AN584" i="14"/>
  <c r="AR584" i="14" s="1"/>
  <c r="AN618" i="14"/>
  <c r="AR618" i="14" s="1"/>
  <c r="AN630" i="14"/>
  <c r="AR630" i="14" s="1"/>
  <c r="AN639" i="14"/>
  <c r="AR639" i="14" s="1"/>
  <c r="AN642" i="14"/>
  <c r="AS642" i="14" s="1"/>
  <c r="AT642" i="14" s="1"/>
  <c r="AN649" i="14"/>
  <c r="AR649" i="14" s="1"/>
  <c r="AN681" i="14"/>
  <c r="AQ681" i="14" s="1"/>
  <c r="AN485" i="14"/>
  <c r="AS485" i="14" s="1"/>
  <c r="AT485" i="14" s="1"/>
  <c r="AN661" i="14"/>
  <c r="AS661" i="14" s="1"/>
  <c r="AT661" i="14" s="1"/>
  <c r="AN98" i="14"/>
  <c r="AR98" i="14" s="1"/>
  <c r="AN345" i="14"/>
  <c r="AR345" i="14" s="1"/>
  <c r="AN437" i="14"/>
  <c r="AN265" i="14"/>
  <c r="AR265" i="14" s="1"/>
  <c r="AN651" i="14"/>
  <c r="AR651" i="14" s="1"/>
  <c r="T33" i="7"/>
  <c r="AL33" i="7" s="1"/>
  <c r="AN121" i="14"/>
  <c r="AR121" i="14" s="1"/>
  <c r="AN314" i="14"/>
  <c r="AR314" i="14" s="1"/>
  <c r="AN404" i="14"/>
  <c r="AR404" i="14" s="1"/>
  <c r="AN419" i="14"/>
  <c r="AR419" i="14" s="1"/>
  <c r="AN557" i="14"/>
  <c r="AR557" i="14" s="1"/>
  <c r="AN570" i="14"/>
  <c r="AR570" i="14" s="1"/>
  <c r="AN217" i="14"/>
  <c r="AQ217" i="14" s="1"/>
  <c r="AN638" i="14"/>
  <c r="AN212" i="14"/>
  <c r="AQ212" i="14" s="1"/>
  <c r="AN278" i="14"/>
  <c r="AN488" i="14"/>
  <c r="AQ488" i="14" s="1"/>
  <c r="AN568" i="14"/>
  <c r="AS568" i="14" s="1"/>
  <c r="AT568" i="14" s="1"/>
  <c r="AN612" i="14"/>
  <c r="AQ612" i="14" s="1"/>
  <c r="AN307" i="14"/>
  <c r="AQ307" i="14" s="1"/>
  <c r="AN407" i="14"/>
  <c r="AR407" i="14" s="1"/>
  <c r="AN479" i="14"/>
  <c r="AQ479" i="14" s="1"/>
  <c r="AN497" i="14"/>
  <c r="AS497" i="14" s="1"/>
  <c r="AT497" i="14" s="1"/>
  <c r="AN430" i="14"/>
  <c r="AS430" i="14" s="1"/>
  <c r="AT430" i="14" s="1"/>
  <c r="AN606" i="14"/>
  <c r="AS606" i="14" s="1"/>
  <c r="AT606" i="14" s="1"/>
  <c r="AN672" i="14"/>
  <c r="AN62" i="14"/>
  <c r="AQ62" i="14" s="1"/>
  <c r="AN117" i="14"/>
  <c r="AS117" i="14" s="1"/>
  <c r="AT117" i="14" s="1"/>
  <c r="AN234" i="14"/>
  <c r="AR234" i="14" s="1"/>
  <c r="AN498" i="14"/>
  <c r="AQ498" i="14" s="1"/>
  <c r="AN549" i="14"/>
  <c r="AS549" i="14" s="1"/>
  <c r="AT549" i="14" s="1"/>
  <c r="AN16" i="14"/>
  <c r="AQ16" i="14" s="1"/>
  <c r="AN159" i="14"/>
  <c r="AR159" i="14" s="1"/>
  <c r="AN520" i="14"/>
  <c r="AQ520" i="14" s="1"/>
  <c r="AN538" i="14"/>
  <c r="AR538" i="14" s="1"/>
  <c r="AN23" i="14"/>
  <c r="AR23" i="14" s="1"/>
  <c r="AN336" i="14"/>
  <c r="AR336" i="14" s="1"/>
  <c r="AN391" i="14"/>
  <c r="AS391" i="14" s="1"/>
  <c r="AT391" i="14" s="1"/>
  <c r="AN399" i="14"/>
  <c r="AN402" i="14"/>
  <c r="AQ402" i="14" s="1"/>
  <c r="AN424" i="14"/>
  <c r="AR424" i="14" s="1"/>
  <c r="AN487" i="14"/>
  <c r="AS487" i="14" s="1"/>
  <c r="AT487" i="14" s="1"/>
  <c r="AN529" i="14"/>
  <c r="AR529" i="14" s="1"/>
  <c r="AN534" i="14"/>
  <c r="AS534" i="14" s="1"/>
  <c r="AT534" i="14" s="1"/>
  <c r="AN548" i="14"/>
  <c r="AR548" i="14" s="1"/>
  <c r="AN572" i="14"/>
  <c r="AN15" i="14"/>
  <c r="AS15" i="14" s="1"/>
  <c r="AT15" i="14" s="1"/>
  <c r="AN162" i="14"/>
  <c r="AR162" i="14" s="1"/>
  <c r="Y18" i="7"/>
  <c r="AN218" i="14"/>
  <c r="AQ218" i="14" s="1"/>
  <c r="AN131" i="14"/>
  <c r="AQ131" i="14" s="1"/>
  <c r="AP513" i="14"/>
  <c r="AN228" i="14"/>
  <c r="AR228" i="14" s="1"/>
  <c r="AN207" i="14"/>
  <c r="AQ207" i="14" s="1"/>
  <c r="AN152" i="14"/>
  <c r="AR152" i="14" s="1"/>
  <c r="AN223" i="14"/>
  <c r="AQ223" i="14" s="1"/>
  <c r="AN258" i="14"/>
  <c r="AQ258" i="14" s="1"/>
  <c r="AN40" i="14"/>
  <c r="AR40" i="14" s="1"/>
  <c r="AN118" i="14"/>
  <c r="AN448" i="14"/>
  <c r="AR448" i="14" s="1"/>
  <c r="AN291" i="14"/>
  <c r="AR291" i="14" s="1"/>
  <c r="AN384" i="14"/>
  <c r="AR384" i="14" s="1"/>
  <c r="AN188" i="14"/>
  <c r="AR188" i="14" s="1"/>
  <c r="AP375" i="14"/>
  <c r="AN545" i="14"/>
  <c r="AS545" i="14" s="1"/>
  <c r="AT545" i="14" s="1"/>
  <c r="AN312" i="14"/>
  <c r="AQ312" i="14" s="1"/>
  <c r="AN389" i="14"/>
  <c r="AQ389" i="14" s="1"/>
  <c r="AN502" i="14"/>
  <c r="AS502" i="14" s="1"/>
  <c r="AT502" i="14" s="1"/>
  <c r="AN622" i="14"/>
  <c r="AN660" i="14"/>
  <c r="AN28" i="14"/>
  <c r="AQ28" i="14" s="1"/>
  <c r="AN81" i="14"/>
  <c r="AR81" i="14" s="1"/>
  <c r="AN95" i="14"/>
  <c r="AQ95" i="14" s="1"/>
  <c r="AN102" i="14"/>
  <c r="AS102" i="14" s="1"/>
  <c r="AT102" i="14" s="1"/>
  <c r="AN116" i="14"/>
  <c r="AS116" i="14" s="1"/>
  <c r="AT116" i="14" s="1"/>
  <c r="AN150" i="14"/>
  <c r="AS150" i="14" s="1"/>
  <c r="AT150" i="14" s="1"/>
  <c r="AN195" i="14"/>
  <c r="AR195" i="14" s="1"/>
  <c r="AN226" i="14"/>
  <c r="AR226" i="14" s="1"/>
  <c r="AN233" i="14"/>
  <c r="AQ233" i="14" s="1"/>
  <c r="AN287" i="14"/>
  <c r="AR287" i="14" s="1"/>
  <c r="AN306" i="14"/>
  <c r="AQ306" i="14" s="1"/>
  <c r="AN310" i="14"/>
  <c r="AN327" i="14"/>
  <c r="AQ327" i="14" s="1"/>
  <c r="AN343" i="14"/>
  <c r="AQ343" i="14" s="1"/>
  <c r="AN364" i="14"/>
  <c r="AR364" i="14" s="1"/>
  <c r="AN376" i="14"/>
  <c r="AR376" i="14" s="1"/>
  <c r="AN408" i="14"/>
  <c r="AR408" i="14" s="1"/>
  <c r="AN413" i="14"/>
  <c r="AR413" i="14" s="1"/>
  <c r="AN531" i="14"/>
  <c r="AS531" i="14" s="1"/>
  <c r="AT531" i="14" s="1"/>
  <c r="AN583" i="14"/>
  <c r="AR583" i="14" s="1"/>
  <c r="AN71" i="14"/>
  <c r="AS71" i="14" s="1"/>
  <c r="AT71" i="14" s="1"/>
  <c r="AN122" i="14"/>
  <c r="AR122" i="14" s="1"/>
  <c r="AN298" i="14"/>
  <c r="AS298" i="14" s="1"/>
  <c r="AT298" i="14" s="1"/>
  <c r="AN478" i="14"/>
  <c r="AQ478" i="14" s="1"/>
  <c r="AN38" i="14"/>
  <c r="AS38" i="14" s="1"/>
  <c r="AT38" i="14" s="1"/>
  <c r="AN43" i="14"/>
  <c r="AQ43" i="14" s="1"/>
  <c r="AN65" i="14"/>
  <c r="AS65" i="14" s="1"/>
  <c r="AT65" i="14" s="1"/>
  <c r="AN86" i="14"/>
  <c r="AR86" i="14" s="1"/>
  <c r="AN107" i="14"/>
  <c r="AQ107" i="14" s="1"/>
  <c r="AN171" i="14"/>
  <c r="AR171" i="14" s="1"/>
  <c r="AN186" i="14"/>
  <c r="AR186" i="14" s="1"/>
  <c r="AN199" i="14"/>
  <c r="AQ199" i="14" s="1"/>
  <c r="AN224" i="14"/>
  <c r="AR224" i="14" s="1"/>
  <c r="AN268" i="14"/>
  <c r="AN270" i="14"/>
  <c r="AQ270" i="14" s="1"/>
  <c r="AN320" i="14"/>
  <c r="AQ320" i="14" s="1"/>
  <c r="AN359" i="14"/>
  <c r="AQ359" i="14" s="1"/>
  <c r="AN397" i="14"/>
  <c r="AN406" i="14"/>
  <c r="AR406" i="14" s="1"/>
  <c r="AN411" i="14"/>
  <c r="AQ411" i="14" s="1"/>
  <c r="AN444" i="14"/>
  <c r="AR444" i="14" s="1"/>
  <c r="AN588" i="14"/>
  <c r="AN25" i="14"/>
  <c r="AR25" i="14" s="1"/>
  <c r="AN78" i="14"/>
  <c r="AQ78" i="14" s="1"/>
  <c r="AN521" i="14"/>
  <c r="AQ521" i="14" s="1"/>
  <c r="AN379" i="14"/>
  <c r="AR379" i="14" s="1"/>
  <c r="AN427" i="14"/>
  <c r="AR427" i="14" s="1"/>
  <c r="AN470" i="14"/>
  <c r="AS470" i="14" s="1"/>
  <c r="AT470" i="14" s="1"/>
  <c r="AN503" i="14"/>
  <c r="AS503" i="14" s="1"/>
  <c r="AT503" i="14" s="1"/>
  <c r="AN527" i="14"/>
  <c r="AR527" i="14" s="1"/>
  <c r="AN581" i="14"/>
  <c r="AR581" i="14" s="1"/>
  <c r="AN605" i="14"/>
  <c r="AR605" i="14" s="1"/>
  <c r="AN608" i="14"/>
  <c r="AR608" i="14" s="1"/>
  <c r="AN666" i="14"/>
  <c r="AR666" i="14" s="1"/>
  <c r="AN305" i="14"/>
  <c r="AR305" i="14" s="1"/>
  <c r="AN415" i="14"/>
  <c r="AQ415" i="14" s="1"/>
  <c r="AN30" i="14"/>
  <c r="AS30" i="14" s="1"/>
  <c r="AT30" i="14" s="1"/>
  <c r="AN201" i="14"/>
  <c r="AR201" i="14" s="1"/>
  <c r="AN317" i="14"/>
  <c r="AQ317" i="14" s="1"/>
  <c r="AN356" i="14"/>
  <c r="AR356" i="14" s="1"/>
  <c r="AN592" i="14"/>
  <c r="AS592" i="14" s="1"/>
  <c r="AT592" i="14" s="1"/>
  <c r="AO51" i="7"/>
  <c r="AN19" i="14"/>
  <c r="AS19" i="14" s="1"/>
  <c r="AT19" i="14" s="1"/>
  <c r="AN50" i="14"/>
  <c r="AS50" i="14" s="1"/>
  <c r="AT50" i="14" s="1"/>
  <c r="AN89" i="14"/>
  <c r="AQ89" i="14" s="1"/>
  <c r="AN144" i="14"/>
  <c r="AS144" i="14" s="1"/>
  <c r="AT144" i="14" s="1"/>
  <c r="AN151" i="14"/>
  <c r="AR151" i="14" s="1"/>
  <c r="AN163" i="14"/>
  <c r="AN180" i="14"/>
  <c r="AQ180" i="14" s="1"/>
  <c r="AN229" i="14"/>
  <c r="AQ229" i="14" s="1"/>
  <c r="AN240" i="14"/>
  <c r="AN395" i="14"/>
  <c r="AR395" i="14" s="1"/>
  <c r="AN400" i="14"/>
  <c r="AR400" i="14" s="1"/>
  <c r="AN438" i="14"/>
  <c r="AS438" i="14" s="1"/>
  <c r="AT438" i="14" s="1"/>
  <c r="AN463" i="14"/>
  <c r="AQ463" i="14" s="1"/>
  <c r="AN490" i="14"/>
  <c r="AN532" i="14"/>
  <c r="AQ532" i="14" s="1"/>
  <c r="AN560" i="14"/>
  <c r="AR560" i="14" s="1"/>
  <c r="AN564" i="14"/>
  <c r="AN636" i="14"/>
  <c r="AS636" i="14" s="1"/>
  <c r="AT636" i="14" s="1"/>
  <c r="AN263" i="14"/>
  <c r="AQ263" i="14" s="1"/>
  <c r="AN301" i="14"/>
  <c r="AQ301" i="14" s="1"/>
  <c r="AN439" i="14"/>
  <c r="AQ439" i="14" s="1"/>
  <c r="AN77" i="14"/>
  <c r="AR77" i="14" s="1"/>
  <c r="AN597" i="14"/>
  <c r="AS597" i="14" s="1"/>
  <c r="AT597" i="14" s="1"/>
  <c r="AN190" i="14"/>
  <c r="AQ190" i="14" s="1"/>
  <c r="AN347" i="14"/>
  <c r="AR347" i="14" s="1"/>
  <c r="AN244" i="14"/>
  <c r="AN24" i="14"/>
  <c r="AQ24" i="14" s="1"/>
  <c r="AN70" i="14"/>
  <c r="AR70" i="14" s="1"/>
  <c r="AN130" i="14"/>
  <c r="AR130" i="14" s="1"/>
  <c r="AN149" i="14"/>
  <c r="AS149" i="14" s="1"/>
  <c r="AT149" i="14" s="1"/>
  <c r="AN178" i="14"/>
  <c r="AR178" i="14" s="1"/>
  <c r="AN222" i="14"/>
  <c r="AR222" i="14" s="1"/>
  <c r="AN227" i="14"/>
  <c r="AQ227" i="14" s="1"/>
  <c r="AN252" i="14"/>
  <c r="AQ252" i="14" s="1"/>
  <c r="AN257" i="14"/>
  <c r="AR257" i="14" s="1"/>
  <c r="AN271" i="14"/>
  <c r="AR271" i="14" s="1"/>
  <c r="AN290" i="14"/>
  <c r="AR290" i="14" s="1"/>
  <c r="AN456" i="14"/>
  <c r="AR456" i="14" s="1"/>
  <c r="AN614" i="14"/>
  <c r="AN83" i="14"/>
  <c r="AN104" i="14"/>
  <c r="AQ104" i="14" s="1"/>
  <c r="AN334" i="14"/>
  <c r="AQ334" i="14" s="1"/>
  <c r="AN18" i="14"/>
  <c r="AS18" i="14" s="1"/>
  <c r="AT18" i="14" s="1"/>
  <c r="AN56" i="14"/>
  <c r="AN88" i="14"/>
  <c r="AQ88" i="14" s="1"/>
  <c r="AN109" i="14"/>
  <c r="AR109" i="14" s="1"/>
  <c r="AN446" i="14"/>
  <c r="AQ446" i="14" s="1"/>
  <c r="AO22" i="7"/>
  <c r="AN34" i="14"/>
  <c r="AR34" i="14" s="1"/>
  <c r="AN39" i="14"/>
  <c r="AR39" i="14" s="1"/>
  <c r="AN176" i="14"/>
  <c r="AR176" i="14" s="1"/>
  <c r="AN200" i="14"/>
  <c r="AN276" i="14"/>
  <c r="AN388" i="14"/>
  <c r="AR388" i="14" s="1"/>
  <c r="AN454" i="14"/>
  <c r="AS454" i="14" s="1"/>
  <c r="AT454" i="14" s="1"/>
  <c r="AN461" i="14"/>
  <c r="AR461" i="14" s="1"/>
  <c r="AN464" i="14"/>
  <c r="AR464" i="14" s="1"/>
  <c r="AN466" i="14"/>
  <c r="AN484" i="14"/>
  <c r="AR484" i="14" s="1"/>
  <c r="AN509" i="14"/>
  <c r="AQ509" i="14" s="1"/>
  <c r="AN124" i="14"/>
  <c r="AQ124" i="14" s="1"/>
  <c r="AN246" i="14"/>
  <c r="AQ246" i="14" s="1"/>
  <c r="AN272" i="14"/>
  <c r="AQ272" i="14" s="1"/>
  <c r="AN338" i="14"/>
  <c r="AQ338" i="14" s="1"/>
  <c r="AN47" i="14"/>
  <c r="AQ47" i="14" s="1"/>
  <c r="AN32" i="14"/>
  <c r="AS32" i="14" s="1"/>
  <c r="AT32" i="14" s="1"/>
  <c r="AN90" i="14"/>
  <c r="AR90" i="14" s="1"/>
  <c r="AN106" i="14"/>
  <c r="AR106" i="14" s="1"/>
  <c r="AN147" i="14"/>
  <c r="AS147" i="14" s="1"/>
  <c r="AT147" i="14" s="1"/>
  <c r="AN154" i="14"/>
  <c r="AQ154" i="14" s="1"/>
  <c r="AN185" i="14"/>
  <c r="AS185" i="14" s="1"/>
  <c r="AT185" i="14" s="1"/>
  <c r="AN209" i="14"/>
  <c r="AQ209" i="14" s="1"/>
  <c r="AN220" i="14"/>
  <c r="AR220" i="14" s="1"/>
  <c r="AN225" i="14"/>
  <c r="AS225" i="14" s="1"/>
  <c r="AT225" i="14" s="1"/>
  <c r="AN243" i="14"/>
  <c r="AR243" i="14" s="1"/>
  <c r="AN274" i="14"/>
  <c r="AS274" i="14" s="1"/>
  <c r="AT274" i="14" s="1"/>
  <c r="AN558" i="14"/>
  <c r="AR558" i="14" s="1"/>
  <c r="AN587" i="14"/>
  <c r="AR587" i="14" s="1"/>
  <c r="AN601" i="14"/>
  <c r="AN148" i="14"/>
  <c r="AR148" i="14" s="1"/>
  <c r="AN157" i="14"/>
  <c r="AQ157" i="14" s="1"/>
  <c r="AN168" i="14"/>
  <c r="AS168" i="14" s="1"/>
  <c r="AT168" i="14" s="1"/>
  <c r="AN219" i="14"/>
  <c r="AN231" i="14"/>
  <c r="AR231" i="14" s="1"/>
  <c r="AN256" i="14"/>
  <c r="AN316" i="14"/>
  <c r="AQ316" i="14" s="1"/>
  <c r="AN354" i="14"/>
  <c r="AQ354" i="14" s="1"/>
  <c r="AN358" i="14"/>
  <c r="AN385" i="14"/>
  <c r="AR385" i="14" s="1"/>
  <c r="AN398" i="14"/>
  <c r="AQ398" i="14" s="1"/>
  <c r="AN428" i="14"/>
  <c r="AQ428" i="14" s="1"/>
  <c r="AN443" i="14"/>
  <c r="AS443" i="14" s="1"/>
  <c r="AT443" i="14" s="1"/>
  <c r="AN514" i="14"/>
  <c r="AR514" i="14" s="1"/>
  <c r="AN541" i="14"/>
  <c r="AQ541" i="14" s="1"/>
  <c r="AN546" i="14"/>
  <c r="AR546" i="14" s="1"/>
  <c r="AN616" i="14"/>
  <c r="AS616" i="14" s="1"/>
  <c r="AT616" i="14" s="1"/>
  <c r="AN628" i="14"/>
  <c r="AR628" i="14" s="1"/>
  <c r="AN641" i="14"/>
  <c r="AR641" i="14" s="1"/>
  <c r="AN671" i="14"/>
  <c r="AQ671" i="14" s="1"/>
  <c r="AN673" i="14"/>
  <c r="AQ673" i="14" s="1"/>
  <c r="AN363" i="14"/>
  <c r="AQ363" i="14" s="1"/>
  <c r="AN381" i="14"/>
  <c r="AS381" i="14" s="1"/>
  <c r="AT381" i="14" s="1"/>
  <c r="AN510" i="14"/>
  <c r="AR510" i="14" s="1"/>
  <c r="AN539" i="14"/>
  <c r="AR539" i="14" s="1"/>
  <c r="AN586" i="14"/>
  <c r="AQ586" i="14" s="1"/>
  <c r="AN590" i="14"/>
  <c r="AR590" i="14" s="1"/>
  <c r="AN646" i="14"/>
  <c r="AN680" i="14"/>
  <c r="AQ680" i="14" s="1"/>
  <c r="AN682" i="14"/>
  <c r="AQ682" i="14" s="1"/>
  <c r="AN383" i="14"/>
  <c r="AR383" i="14" s="1"/>
  <c r="AN451" i="14"/>
  <c r="AR451" i="14" s="1"/>
  <c r="AN462" i="14"/>
  <c r="AR462" i="14" s="1"/>
  <c r="AN561" i="14"/>
  <c r="AR561" i="14" s="1"/>
  <c r="AN565" i="14"/>
  <c r="AR565" i="14" s="1"/>
  <c r="AN626" i="14"/>
  <c r="AS626" i="14" s="1"/>
  <c r="AT626" i="14" s="1"/>
  <c r="AN652" i="14"/>
  <c r="AS652" i="14" s="1"/>
  <c r="AT652" i="14" s="1"/>
  <c r="AN337" i="14"/>
  <c r="AR337" i="14" s="1"/>
  <c r="AN392" i="14"/>
  <c r="AR392" i="14" s="1"/>
  <c r="AN435" i="14"/>
  <c r="AR435" i="14" s="1"/>
  <c r="AN460" i="14"/>
  <c r="AS460" i="14" s="1"/>
  <c r="AT460" i="14" s="1"/>
  <c r="AN493" i="14"/>
  <c r="AN495" i="14"/>
  <c r="AS495" i="14" s="1"/>
  <c r="AT495" i="14" s="1"/>
  <c r="AN501" i="14"/>
  <c r="AS501" i="14" s="1"/>
  <c r="AT501" i="14" s="1"/>
  <c r="AN508" i="14"/>
  <c r="AR508" i="14" s="1"/>
  <c r="AN522" i="14"/>
  <c r="AS522" i="14" s="1"/>
  <c r="AT522" i="14" s="1"/>
  <c r="AN559" i="14"/>
  <c r="AR559" i="14" s="1"/>
  <c r="AN676" i="14"/>
  <c r="AS676" i="14" s="1"/>
  <c r="AT676" i="14" s="1"/>
  <c r="AN613" i="14"/>
  <c r="Z41" i="7"/>
  <c r="Z43" i="7"/>
  <c r="Z37" i="7"/>
  <c r="AN37" i="7"/>
  <c r="AN51" i="7"/>
  <c r="Z51" i="7"/>
  <c r="AR51" i="7" s="1"/>
  <c r="AN31" i="7"/>
  <c r="V10" i="7"/>
  <c r="V12" i="7"/>
  <c r="Y14" i="7"/>
  <c r="V16" i="7"/>
  <c r="V22" i="7"/>
  <c r="V29" i="7"/>
  <c r="Y29" i="7"/>
  <c r="AN221" i="14"/>
  <c r="T24" i="7"/>
  <c r="W24" i="7"/>
  <c r="AL37" i="7"/>
  <c r="AL41" i="7"/>
  <c r="AO53" i="7"/>
  <c r="AN96" i="14"/>
  <c r="AN103" i="14"/>
  <c r="AN170" i="14"/>
  <c r="AN183" i="14"/>
  <c r="AN238" i="14"/>
  <c r="Y20" i="7"/>
  <c r="Y31" i="7"/>
  <c r="AL51" i="7"/>
  <c r="AN160" i="14"/>
  <c r="Y47" i="7"/>
  <c r="V49" i="7"/>
  <c r="AP151" i="14"/>
  <c r="AN167" i="14"/>
  <c r="AN125" i="14"/>
  <c r="Y49" i="7"/>
  <c r="V35" i="7"/>
  <c r="V53" i="7"/>
  <c r="AP108" i="14"/>
  <c r="AN192" i="14"/>
  <c r="AN110" i="14"/>
  <c r="AN127" i="14"/>
  <c r="AN87" i="14"/>
  <c r="AN179" i="14"/>
  <c r="AN250" i="14"/>
  <c r="AN202" i="14"/>
  <c r="AN93" i="14"/>
  <c r="AN155" i="14"/>
  <c r="AN184" i="14"/>
  <c r="AN262" i="14"/>
  <c r="AP315" i="14"/>
  <c r="AN133" i="14"/>
  <c r="AN156" i="14"/>
  <c r="AN187" i="14"/>
  <c r="AN267" i="14"/>
  <c r="AN280" i="14"/>
  <c r="AN313" i="14"/>
  <c r="AN143" i="14"/>
  <c r="AN245" i="14"/>
  <c r="AN311" i="14"/>
  <c r="AN282" i="14"/>
  <c r="AN174" i="14"/>
  <c r="AN255" i="14"/>
  <c r="AN266" i="14"/>
  <c r="AN323" i="14"/>
  <c r="AN512" i="14"/>
  <c r="AN285" i="14"/>
  <c r="AN308" i="14"/>
  <c r="AN341" i="14"/>
  <c r="AN169" i="14"/>
  <c r="AN293" i="14"/>
  <c r="AN357" i="14"/>
  <c r="AN273" i="14"/>
  <c r="AN299" i="14"/>
  <c r="AN409" i="14"/>
  <c r="AN423" i="14"/>
  <c r="AN369" i="14"/>
  <c r="AN248" i="14"/>
  <c r="AN349" i="14"/>
  <c r="AN489" i="14"/>
  <c r="AN353" i="14"/>
  <c r="AN433" i="14"/>
  <c r="AN322" i="14"/>
  <c r="AN339" i="14"/>
  <c r="AN365" i="14"/>
  <c r="AN486" i="14"/>
  <c r="AN556" i="14"/>
  <c r="AN378" i="14"/>
  <c r="AN386" i="14"/>
  <c r="AN440" i="14"/>
  <c r="AN537" i="14"/>
  <c r="AN450" i="14"/>
  <c r="AN579" i="14"/>
  <c r="AN457" i="14"/>
  <c r="AN477" i="14"/>
  <c r="AN481" i="14"/>
  <c r="AN500" i="14"/>
  <c r="AN447" i="14"/>
  <c r="AN458" i="14"/>
  <c r="AN536" i="14"/>
  <c r="R64" i="15"/>
  <c r="S64" i="15" s="1"/>
  <c r="S65" i="15" s="1"/>
  <c r="AN617" i="14"/>
  <c r="AN653" i="14"/>
  <c r="AN540" i="14"/>
  <c r="AN554" i="14"/>
  <c r="AN569" i="14"/>
  <c r="AN629" i="14"/>
  <c r="AN627" i="14"/>
  <c r="AN567" i="14"/>
  <c r="AN615" i="14"/>
  <c r="AN664" i="14"/>
  <c r="AN552" i="14"/>
  <c r="AN663" i="14"/>
  <c r="AN665" i="14"/>
  <c r="AN603" i="14"/>
  <c r="AN580" i="14"/>
  <c r="AN640" i="14"/>
  <c r="AZ30" i="15"/>
  <c r="T35" i="9"/>
  <c r="T84" i="9" s="1"/>
  <c r="V18" i="9"/>
  <c r="V35" i="9" s="1"/>
  <c r="V84" i="9" s="1"/>
  <c r="T18" i="9"/>
  <c r="AB11" i="9"/>
  <c r="Y17" i="9"/>
  <c r="AJ17" i="9"/>
  <c r="AF55" i="7" l="1"/>
  <c r="P55" i="7"/>
  <c r="M55" i="7"/>
  <c r="K55" i="7"/>
  <c r="K56" i="7" s="1"/>
  <c r="C39" i="7"/>
  <c r="Q55" i="7"/>
  <c r="B56" i="7"/>
  <c r="N55" i="7"/>
  <c r="N56" i="7" s="1"/>
  <c r="O55" i="7"/>
  <c r="Q34" i="16"/>
  <c r="AH45" i="7" s="1"/>
  <c r="R10" i="16"/>
  <c r="R34" i="16" s="1"/>
  <c r="AI45" i="7" s="1"/>
  <c r="AQ418" i="14"/>
  <c r="O53" i="8"/>
  <c r="O58" i="8" s="1"/>
  <c r="N58" i="8"/>
  <c r="L46" i="8"/>
  <c r="P71" i="8"/>
  <c r="P73" i="8" s="1"/>
  <c r="E12" i="7" s="1"/>
  <c r="AO12" i="7" s="1"/>
  <c r="R71" i="8"/>
  <c r="S71" i="8" s="1"/>
  <c r="P212" i="8"/>
  <c r="R211" i="8"/>
  <c r="S211" i="8" s="1"/>
  <c r="P211" i="8"/>
  <c r="R212" i="8"/>
  <c r="S212" i="8" s="1"/>
  <c r="AI86" i="11"/>
  <c r="AO86" i="11" s="1"/>
  <c r="Q210" i="8"/>
  <c r="Q211" i="8"/>
  <c r="Q212" i="8"/>
  <c r="AI16" i="11"/>
  <c r="AO16" i="11" s="1"/>
  <c r="R210" i="8"/>
  <c r="S210" i="8" s="1"/>
  <c r="P210" i="8"/>
  <c r="Q208" i="8"/>
  <c r="Q209" i="8"/>
  <c r="R209" i="8"/>
  <c r="S209" i="8" s="1"/>
  <c r="P209" i="8"/>
  <c r="R53" i="8"/>
  <c r="R208" i="8"/>
  <c r="S208" i="8" s="1"/>
  <c r="P208" i="8"/>
  <c r="AM30" i="11"/>
  <c r="N82" i="8"/>
  <c r="AQ570" i="14"/>
  <c r="AS570" i="14"/>
  <c r="AT570" i="14" s="1"/>
  <c r="AQ474" i="14"/>
  <c r="AS426" i="14"/>
  <c r="AT426" i="14" s="1"/>
  <c r="AS445" i="14"/>
  <c r="AT445" i="14" s="1"/>
  <c r="AS621" i="14"/>
  <c r="AT621" i="14" s="1"/>
  <c r="AQ621" i="14"/>
  <c r="AQ596" i="14"/>
  <c r="AQ58" i="14"/>
  <c r="AS58" i="14" s="1"/>
  <c r="AT58" i="14" s="1"/>
  <c r="AQ61" i="14"/>
  <c r="AS61" i="14" s="1"/>
  <c r="AT61" i="14" s="1"/>
  <c r="AR426" i="14"/>
  <c r="AR33" i="14"/>
  <c r="AI33" i="11"/>
  <c r="AO33" i="11" s="1"/>
  <c r="M82" i="8"/>
  <c r="D18" i="7" s="1"/>
  <c r="AM15" i="11"/>
  <c r="AI25" i="11"/>
  <c r="AO25" i="11" s="1"/>
  <c r="AM28" i="11"/>
  <c r="N181" i="8"/>
  <c r="O181" i="8" s="1"/>
  <c r="P181" i="8" s="1"/>
  <c r="N177" i="8"/>
  <c r="O177" i="8" s="1"/>
  <c r="C16" i="7"/>
  <c r="Q203" i="8"/>
  <c r="Q201" i="8"/>
  <c r="N46" i="8"/>
  <c r="P200" i="8"/>
  <c r="P201" i="8"/>
  <c r="R201" i="8"/>
  <c r="S201" i="8" s="1"/>
  <c r="Q29" i="11"/>
  <c r="U29" i="11" s="1"/>
  <c r="AA29" i="11" s="1"/>
  <c r="AB29" i="11" s="1"/>
  <c r="AS213" i="14"/>
  <c r="AT213" i="14" s="1"/>
  <c r="AR360" i="14"/>
  <c r="AQ483" i="14"/>
  <c r="AR483" i="14"/>
  <c r="AR604" i="14"/>
  <c r="AR300" i="14"/>
  <c r="AS618" i="14"/>
  <c r="AT618" i="14" s="1"/>
  <c r="AR596" i="14"/>
  <c r="AQ584" i="14"/>
  <c r="AS584" i="14" s="1"/>
  <c r="AT584" i="14" s="1"/>
  <c r="AQ543" i="14"/>
  <c r="AS543" i="14" s="1"/>
  <c r="AT543" i="14" s="1"/>
  <c r="AS593" i="14"/>
  <c r="AT593" i="14" s="1"/>
  <c r="AQ685" i="14"/>
  <c r="AR67" i="14"/>
  <c r="AQ494" i="14"/>
  <c r="AQ247" i="14"/>
  <c r="AS247" i="14" s="1"/>
  <c r="AT247" i="14" s="1"/>
  <c r="AQ289" i="14"/>
  <c r="AS289" i="14" s="1"/>
  <c r="AT289" i="14" s="1"/>
  <c r="AS37" i="14"/>
  <c r="AT37" i="14" s="1"/>
  <c r="AQ618" i="14"/>
  <c r="AQ37" i="14"/>
  <c r="AQ633" i="14"/>
  <c r="AS300" i="14"/>
  <c r="AT300" i="14" s="1"/>
  <c r="AS633" i="14"/>
  <c r="AT633" i="14" s="1"/>
  <c r="AQ624" i="14"/>
  <c r="AS305" i="14"/>
  <c r="AT305" i="14" s="1"/>
  <c r="AR624" i="14"/>
  <c r="AR441" i="14"/>
  <c r="AR496" i="14"/>
  <c r="AQ20" i="14"/>
  <c r="AS20" i="14" s="1"/>
  <c r="AT20" i="14" s="1"/>
  <c r="R186" i="8"/>
  <c r="S186" i="8" s="1"/>
  <c r="R159" i="8"/>
  <c r="M46" i="8"/>
  <c r="D10" i="7" s="1"/>
  <c r="AN20" i="7"/>
  <c r="AM18" i="11"/>
  <c r="AI18" i="11"/>
  <c r="O46" i="8"/>
  <c r="AM26" i="11"/>
  <c r="AI26" i="11"/>
  <c r="AO26" i="11" s="1"/>
  <c r="Q66" i="11"/>
  <c r="W66" i="11"/>
  <c r="X66" i="11" s="1"/>
  <c r="Z66" i="11" s="1"/>
  <c r="P192" i="8"/>
  <c r="P183" i="8"/>
  <c r="P30" i="8"/>
  <c r="P157" i="8"/>
  <c r="S157" i="8" s="1"/>
  <c r="Q37" i="11"/>
  <c r="W37" i="11"/>
  <c r="X37" i="11" s="1"/>
  <c r="Z37" i="11" s="1"/>
  <c r="W38" i="11"/>
  <c r="X38" i="11" s="1"/>
  <c r="Z38" i="11" s="1"/>
  <c r="Q38" i="11"/>
  <c r="W63" i="11"/>
  <c r="X63" i="11" s="1"/>
  <c r="Z63" i="11" s="1"/>
  <c r="Q63" i="11"/>
  <c r="W55" i="11"/>
  <c r="X55" i="11" s="1"/>
  <c r="Z55" i="11" s="1"/>
  <c r="Q55" i="11"/>
  <c r="Q74" i="11"/>
  <c r="W74" i="11"/>
  <c r="X74" i="11" s="1"/>
  <c r="Z74" i="11" s="1"/>
  <c r="W48" i="11"/>
  <c r="X48" i="11" s="1"/>
  <c r="Z48" i="11" s="1"/>
  <c r="Q48" i="11"/>
  <c r="AM31" i="11"/>
  <c r="AI31" i="11"/>
  <c r="AO31" i="11" s="1"/>
  <c r="AM62" i="11"/>
  <c r="AI62" i="11"/>
  <c r="AI71" i="11"/>
  <c r="AO71" i="11" s="1"/>
  <c r="AM71" i="11"/>
  <c r="AM59" i="11"/>
  <c r="AI59" i="11"/>
  <c r="AO59" i="11" s="1"/>
  <c r="Q80" i="10"/>
  <c r="W80" i="10"/>
  <c r="X80" i="10" s="1"/>
  <c r="Z80" i="10" s="1"/>
  <c r="W115" i="10"/>
  <c r="X115" i="10" s="1"/>
  <c r="Z115" i="10" s="1"/>
  <c r="Q115" i="10"/>
  <c r="W157" i="10"/>
  <c r="X157" i="10" s="1"/>
  <c r="Z157" i="10" s="1"/>
  <c r="Q157" i="10"/>
  <c r="W145" i="10"/>
  <c r="X145" i="10" s="1"/>
  <c r="Z145" i="10" s="1"/>
  <c r="Q145" i="10"/>
  <c r="W143" i="10"/>
  <c r="X143" i="10" s="1"/>
  <c r="Z143" i="10" s="1"/>
  <c r="Q143" i="10"/>
  <c r="Q170" i="10"/>
  <c r="W170" i="10"/>
  <c r="X170" i="10" s="1"/>
  <c r="Z170" i="10" s="1"/>
  <c r="Q122" i="10"/>
  <c r="W122" i="10"/>
  <c r="X122" i="10" s="1"/>
  <c r="Z122" i="10" s="1"/>
  <c r="W196" i="10"/>
  <c r="X196" i="10" s="1"/>
  <c r="Z196" i="10" s="1"/>
  <c r="Q196" i="10"/>
  <c r="W76" i="10"/>
  <c r="X76" i="10" s="1"/>
  <c r="Z76" i="10" s="1"/>
  <c r="Q76" i="10"/>
  <c r="W49" i="10"/>
  <c r="X49" i="10" s="1"/>
  <c r="Z49" i="10" s="1"/>
  <c r="Q49" i="10"/>
  <c r="Q14" i="10"/>
  <c r="W14" i="10"/>
  <c r="X14" i="10" s="1"/>
  <c r="Z14" i="10" s="1"/>
  <c r="Q26" i="10"/>
  <c r="W26" i="10"/>
  <c r="X26" i="10" s="1"/>
  <c r="Z26" i="10" s="1"/>
  <c r="W34" i="10"/>
  <c r="X34" i="10" s="1"/>
  <c r="Z34" i="10" s="1"/>
  <c r="Q34" i="10"/>
  <c r="W57" i="11"/>
  <c r="X57" i="11" s="1"/>
  <c r="Z57" i="11" s="1"/>
  <c r="Q57" i="11"/>
  <c r="Q161" i="10"/>
  <c r="W161" i="10"/>
  <c r="X161" i="10" s="1"/>
  <c r="Z161" i="10" s="1"/>
  <c r="Q71" i="10"/>
  <c r="W71" i="10"/>
  <c r="X71" i="10" s="1"/>
  <c r="Z71" i="10" s="1"/>
  <c r="P182" i="8"/>
  <c r="R117" i="8"/>
  <c r="P140" i="8"/>
  <c r="S140" i="8" s="1"/>
  <c r="R113" i="8"/>
  <c r="R129" i="8"/>
  <c r="W106" i="11"/>
  <c r="X106" i="11" s="1"/>
  <c r="Z106" i="11" s="1"/>
  <c r="Q106" i="11"/>
  <c r="W89" i="11"/>
  <c r="X89" i="11" s="1"/>
  <c r="Z89" i="11" s="1"/>
  <c r="Q89" i="11"/>
  <c r="W61" i="11"/>
  <c r="X61" i="11" s="1"/>
  <c r="Z61" i="11" s="1"/>
  <c r="Q61" i="11"/>
  <c r="Q107" i="11"/>
  <c r="W107" i="11"/>
  <c r="X107" i="11" s="1"/>
  <c r="Z107" i="11" s="1"/>
  <c r="W58" i="11"/>
  <c r="X58" i="11" s="1"/>
  <c r="Z58" i="11" s="1"/>
  <c r="Q58" i="11"/>
  <c r="AM47" i="11"/>
  <c r="AI47" i="11"/>
  <c r="AO47" i="11" s="1"/>
  <c r="AM76" i="11"/>
  <c r="AI76" i="11"/>
  <c r="AI83" i="11"/>
  <c r="AO83" i="11" s="1"/>
  <c r="AM83" i="11"/>
  <c r="AM65" i="11"/>
  <c r="AI65" i="11"/>
  <c r="AO65" i="11" s="1"/>
  <c r="Q93" i="10"/>
  <c r="W93" i="10"/>
  <c r="X93" i="10" s="1"/>
  <c r="Z93" i="10" s="1"/>
  <c r="W138" i="10"/>
  <c r="X138" i="10" s="1"/>
  <c r="Z138" i="10" s="1"/>
  <c r="Q138" i="10"/>
  <c r="W118" i="10"/>
  <c r="X118" i="10" s="1"/>
  <c r="Z118" i="10" s="1"/>
  <c r="Q118" i="10"/>
  <c r="W149" i="10"/>
  <c r="X149" i="10" s="1"/>
  <c r="Z149" i="10" s="1"/>
  <c r="Q149" i="10"/>
  <c r="W155" i="10"/>
  <c r="X155" i="10" s="1"/>
  <c r="Z155" i="10" s="1"/>
  <c r="Q155" i="10"/>
  <c r="Q185" i="10"/>
  <c r="W185" i="10"/>
  <c r="X185" i="10" s="1"/>
  <c r="Z185" i="10" s="1"/>
  <c r="Q139" i="10"/>
  <c r="W139" i="10"/>
  <c r="X139" i="10" s="1"/>
  <c r="Z139" i="10" s="1"/>
  <c r="W225" i="10"/>
  <c r="X225" i="10" s="1"/>
  <c r="Z225" i="10" s="1"/>
  <c r="Q225" i="10"/>
  <c r="W66" i="10"/>
  <c r="X66" i="10" s="1"/>
  <c r="Z66" i="10" s="1"/>
  <c r="Q66" i="10"/>
  <c r="W18" i="10"/>
  <c r="X18" i="10" s="1"/>
  <c r="Z18" i="10" s="1"/>
  <c r="Q18" i="10"/>
  <c r="W30" i="10"/>
  <c r="X30" i="10" s="1"/>
  <c r="Z30" i="10" s="1"/>
  <c r="Q30" i="10"/>
  <c r="Q33" i="10"/>
  <c r="W33" i="10"/>
  <c r="X33" i="10" s="1"/>
  <c r="Z33" i="10" s="1"/>
  <c r="Q45" i="10"/>
  <c r="W45" i="10"/>
  <c r="X45" i="10" s="1"/>
  <c r="Z45" i="10" s="1"/>
  <c r="W37" i="10"/>
  <c r="X37" i="10" s="1"/>
  <c r="Z37" i="10" s="1"/>
  <c r="Q37" i="10"/>
  <c r="P204" i="8"/>
  <c r="Q27" i="11"/>
  <c r="W27" i="11"/>
  <c r="X27" i="11" s="1"/>
  <c r="Z27" i="11" s="1"/>
  <c r="Q192" i="8"/>
  <c r="P125" i="8"/>
  <c r="S125" i="8" s="1"/>
  <c r="P87" i="8"/>
  <c r="P205" i="8"/>
  <c r="R54" i="8"/>
  <c r="S54" i="8" s="1"/>
  <c r="R118" i="8"/>
  <c r="W85" i="11"/>
  <c r="X85" i="11" s="1"/>
  <c r="Z85" i="11" s="1"/>
  <c r="Q85" i="11"/>
  <c r="W18" i="11"/>
  <c r="X18" i="11" s="1"/>
  <c r="Z18" i="11" s="1"/>
  <c r="Q18" i="11"/>
  <c r="Q30" i="11"/>
  <c r="W30" i="11"/>
  <c r="X30" i="11" s="1"/>
  <c r="Z30" i="11" s="1"/>
  <c r="W75" i="11"/>
  <c r="X75" i="11" s="1"/>
  <c r="Z75" i="11" s="1"/>
  <c r="Q75" i="11"/>
  <c r="Q82" i="11"/>
  <c r="W82" i="11"/>
  <c r="W64" i="11"/>
  <c r="X64" i="11" s="1"/>
  <c r="Z64" i="11" s="1"/>
  <c r="Q64" i="11"/>
  <c r="AM57" i="11"/>
  <c r="AI57" i="11"/>
  <c r="AO57" i="11" s="1"/>
  <c r="AM36" i="11"/>
  <c r="AI36" i="11"/>
  <c r="AO36" i="11" s="1"/>
  <c r="Q102" i="10"/>
  <c r="W102" i="10"/>
  <c r="X102" i="10" s="1"/>
  <c r="Z102" i="10" s="1"/>
  <c r="Q141" i="10"/>
  <c r="W141" i="10"/>
  <c r="X141" i="10" s="1"/>
  <c r="Z141" i="10" s="1"/>
  <c r="W129" i="10"/>
  <c r="X129" i="10" s="1"/>
  <c r="Z129" i="10" s="1"/>
  <c r="Q129" i="10"/>
  <c r="W184" i="10"/>
  <c r="X184" i="10" s="1"/>
  <c r="Z184" i="10" s="1"/>
  <c r="Q184" i="10"/>
  <c r="Q82" i="10"/>
  <c r="W82" i="10"/>
  <c r="X82" i="10" s="1"/>
  <c r="Z82" i="10" s="1"/>
  <c r="W212" i="10"/>
  <c r="X212" i="10" s="1"/>
  <c r="Z212" i="10" s="1"/>
  <c r="Q212" i="10"/>
  <c r="W151" i="10"/>
  <c r="X151" i="10" s="1"/>
  <c r="Z151" i="10" s="1"/>
  <c r="Q151" i="10"/>
  <c r="Q188" i="10"/>
  <c r="W188" i="10"/>
  <c r="X188" i="10" s="1"/>
  <c r="Z188" i="10" s="1"/>
  <c r="Q65" i="10"/>
  <c r="W65" i="10"/>
  <c r="X65" i="10" s="1"/>
  <c r="Z65" i="10" s="1"/>
  <c r="W35" i="10"/>
  <c r="X35" i="10" s="1"/>
  <c r="Z35" i="10" s="1"/>
  <c r="Q35" i="10"/>
  <c r="W119" i="10"/>
  <c r="X119" i="10" s="1"/>
  <c r="Z119" i="10" s="1"/>
  <c r="Q119" i="10"/>
  <c r="W86" i="10"/>
  <c r="X86" i="10" s="1"/>
  <c r="Z86" i="10" s="1"/>
  <c r="Q86" i="10"/>
  <c r="W147" i="10"/>
  <c r="X147" i="10" s="1"/>
  <c r="Z147" i="10" s="1"/>
  <c r="Q147" i="10"/>
  <c r="W101" i="10"/>
  <c r="Q101" i="10"/>
  <c r="W42" i="10"/>
  <c r="X42" i="10" s="1"/>
  <c r="Z42" i="10" s="1"/>
  <c r="Q42" i="10"/>
  <c r="Q74" i="10"/>
  <c r="W74" i="10"/>
  <c r="X74" i="10" s="1"/>
  <c r="Z74" i="10" s="1"/>
  <c r="W57" i="10"/>
  <c r="X57" i="10" s="1"/>
  <c r="Z57" i="10" s="1"/>
  <c r="Q57" i="10"/>
  <c r="Q182" i="8"/>
  <c r="Q123" i="8"/>
  <c r="R24" i="8"/>
  <c r="S24" i="8" s="1"/>
  <c r="P186" i="8"/>
  <c r="Q162" i="8"/>
  <c r="P42" i="8"/>
  <c r="R141" i="8"/>
  <c r="W46" i="11"/>
  <c r="X46" i="11" s="1"/>
  <c r="Z46" i="11" s="1"/>
  <c r="Q46" i="11"/>
  <c r="W35" i="11"/>
  <c r="X35" i="11" s="1"/>
  <c r="Z35" i="11" s="1"/>
  <c r="Q35" i="11"/>
  <c r="Q88" i="11"/>
  <c r="W88" i="11"/>
  <c r="X88" i="11" s="1"/>
  <c r="Z88" i="11" s="1"/>
  <c r="AM63" i="11"/>
  <c r="AI63" i="11"/>
  <c r="AM68" i="11"/>
  <c r="AI68" i="11"/>
  <c r="AI60" i="11"/>
  <c r="AO60" i="11" s="1"/>
  <c r="AM60" i="11"/>
  <c r="W193" i="10"/>
  <c r="X193" i="10" s="1"/>
  <c r="Z193" i="10" s="1"/>
  <c r="Q193" i="10"/>
  <c r="Q94" i="10"/>
  <c r="W94" i="10"/>
  <c r="X94" i="10" s="1"/>
  <c r="Z94" i="10" s="1"/>
  <c r="W121" i="10"/>
  <c r="X121" i="10" s="1"/>
  <c r="Z121" i="10" s="1"/>
  <c r="Q121" i="10"/>
  <c r="W144" i="10"/>
  <c r="X144" i="10" s="1"/>
  <c r="Z144" i="10" s="1"/>
  <c r="Q144" i="10"/>
  <c r="Q153" i="10"/>
  <c r="W153" i="10"/>
  <c r="X153" i="10" s="1"/>
  <c r="Z153" i="10" s="1"/>
  <c r="Q116" i="10"/>
  <c r="W116" i="10"/>
  <c r="X116" i="10" s="1"/>
  <c r="Z116" i="10" s="1"/>
  <c r="Q95" i="10"/>
  <c r="W95" i="10"/>
  <c r="X95" i="10" s="1"/>
  <c r="Z95" i="10" s="1"/>
  <c r="W228" i="10"/>
  <c r="X228" i="10" s="1"/>
  <c r="Z228" i="10" s="1"/>
  <c r="Q228" i="10"/>
  <c r="W181" i="10"/>
  <c r="Q181" i="10"/>
  <c r="W218" i="10"/>
  <c r="X218" i="10" s="1"/>
  <c r="Z218" i="10" s="1"/>
  <c r="Q218" i="10"/>
  <c r="N179" i="8"/>
  <c r="O179" i="8" s="1"/>
  <c r="P179" i="8" s="1"/>
  <c r="W88" i="10"/>
  <c r="X88" i="10" s="1"/>
  <c r="Z88" i="10" s="1"/>
  <c r="Q88" i="10"/>
  <c r="Q107" i="10"/>
  <c r="W107" i="10"/>
  <c r="X107" i="10" s="1"/>
  <c r="Z107" i="10" s="1"/>
  <c r="W69" i="10"/>
  <c r="X69" i="10" s="1"/>
  <c r="Z69" i="10" s="1"/>
  <c r="Q69" i="10"/>
  <c r="N168" i="8"/>
  <c r="O168" i="8" s="1"/>
  <c r="P168" i="8" s="1"/>
  <c r="AM56" i="11"/>
  <c r="AI56" i="11"/>
  <c r="AO56" i="11" s="1"/>
  <c r="Q60" i="10"/>
  <c r="W60" i="10"/>
  <c r="X60" i="10" s="1"/>
  <c r="Z60" i="10" s="1"/>
  <c r="Q232" i="10"/>
  <c r="W232" i="10"/>
  <c r="X232" i="10" s="1"/>
  <c r="Z232" i="10" s="1"/>
  <c r="W54" i="10"/>
  <c r="X54" i="10" s="1"/>
  <c r="Z54" i="10" s="1"/>
  <c r="Q54" i="10"/>
  <c r="R178" i="8"/>
  <c r="S178" i="8" s="1"/>
  <c r="P32" i="8"/>
  <c r="P15" i="8"/>
  <c r="R169" i="8"/>
  <c r="N7" i="1"/>
  <c r="Q101" i="1" s="1"/>
  <c r="P122" i="8"/>
  <c r="S122" i="8" s="1"/>
  <c r="Q108" i="11"/>
  <c r="W56" i="11"/>
  <c r="X56" i="11" s="1"/>
  <c r="Z56" i="11" s="1"/>
  <c r="Q56" i="11"/>
  <c r="Q39" i="11"/>
  <c r="W39" i="11"/>
  <c r="X39" i="11" s="1"/>
  <c r="Z39" i="11" s="1"/>
  <c r="Q49" i="11"/>
  <c r="W49" i="11"/>
  <c r="X49" i="11" s="1"/>
  <c r="Z49" i="11" s="1"/>
  <c r="AM72" i="11"/>
  <c r="AI72" i="11"/>
  <c r="AO72" i="11" s="1"/>
  <c r="AI66" i="11"/>
  <c r="AO66" i="11" s="1"/>
  <c r="AM66" i="11"/>
  <c r="Q24" i="11"/>
  <c r="W24" i="11"/>
  <c r="X24" i="11" s="1"/>
  <c r="Z24" i="11" s="1"/>
  <c r="Q103" i="10"/>
  <c r="W103" i="10"/>
  <c r="X103" i="10" s="1"/>
  <c r="Z103" i="10" s="1"/>
  <c r="W59" i="10"/>
  <c r="X59" i="10" s="1"/>
  <c r="Z59" i="10" s="1"/>
  <c r="Q59" i="10"/>
  <c r="Q124" i="10"/>
  <c r="W124" i="10"/>
  <c r="X124" i="10" s="1"/>
  <c r="Z124" i="10" s="1"/>
  <c r="W182" i="10"/>
  <c r="X182" i="10" s="1"/>
  <c r="Z182" i="10" s="1"/>
  <c r="Q182" i="10"/>
  <c r="Q169" i="10"/>
  <c r="W169" i="10"/>
  <c r="X169" i="10" s="1"/>
  <c r="Z169" i="10" s="1"/>
  <c r="Q126" i="10"/>
  <c r="W126" i="10"/>
  <c r="X126" i="10" s="1"/>
  <c r="Z126" i="10" s="1"/>
  <c r="Q104" i="10"/>
  <c r="W104" i="10"/>
  <c r="X104" i="10" s="1"/>
  <c r="Z104" i="10" s="1"/>
  <c r="W231" i="10"/>
  <c r="X231" i="10" s="1"/>
  <c r="Z231" i="10" s="1"/>
  <c r="Q231" i="10"/>
  <c r="W190" i="10"/>
  <c r="X190" i="10" s="1"/>
  <c r="Z190" i="10" s="1"/>
  <c r="Q190" i="10"/>
  <c r="W230" i="10"/>
  <c r="X230" i="10" s="1"/>
  <c r="Z230" i="10" s="1"/>
  <c r="Q230" i="10"/>
  <c r="Q31" i="10"/>
  <c r="W31" i="10"/>
  <c r="X31" i="10" s="1"/>
  <c r="Z31" i="10" s="1"/>
  <c r="W108" i="10"/>
  <c r="X108" i="10" s="1"/>
  <c r="Z108" i="10" s="1"/>
  <c r="Q108" i="10"/>
  <c r="W75" i="10"/>
  <c r="X75" i="10" s="1"/>
  <c r="Z75" i="10" s="1"/>
  <c r="Q75" i="10"/>
  <c r="N6" i="4"/>
  <c r="R25" i="4" s="1"/>
  <c r="S25" i="4" s="1"/>
  <c r="AI13" i="11"/>
  <c r="AM13" i="11"/>
  <c r="W25" i="10"/>
  <c r="X25" i="10" s="1"/>
  <c r="Z25" i="10" s="1"/>
  <c r="Q25" i="10"/>
  <c r="W125" i="10"/>
  <c r="X125" i="10" s="1"/>
  <c r="Z125" i="10" s="1"/>
  <c r="Q125" i="10"/>
  <c r="P131" i="8"/>
  <c r="S131" i="8" s="1"/>
  <c r="R30" i="8"/>
  <c r="S30" i="8" s="1"/>
  <c r="P163" i="8"/>
  <c r="S163" i="8" s="1"/>
  <c r="P199" i="8"/>
  <c r="N6" i="1"/>
  <c r="P139" i="1" s="1"/>
  <c r="AM87" i="11"/>
  <c r="AI87" i="11"/>
  <c r="W62" i="11"/>
  <c r="X62" i="11" s="1"/>
  <c r="Z62" i="11" s="1"/>
  <c r="Q62" i="11"/>
  <c r="Q67" i="11"/>
  <c r="W67" i="11"/>
  <c r="X67" i="11" s="1"/>
  <c r="Z67" i="11" s="1"/>
  <c r="Q59" i="11"/>
  <c r="W59" i="11"/>
  <c r="X59" i="11" s="1"/>
  <c r="Z59" i="11" s="1"/>
  <c r="AM29" i="11"/>
  <c r="AI29" i="11"/>
  <c r="AM24" i="11"/>
  <c r="AI24" i="11"/>
  <c r="AM84" i="11"/>
  <c r="AI84" i="11"/>
  <c r="AO84" i="11" s="1"/>
  <c r="AI74" i="11"/>
  <c r="AO74" i="11" s="1"/>
  <c r="AM74" i="11"/>
  <c r="W87" i="10"/>
  <c r="X87" i="10" s="1"/>
  <c r="Z87" i="10" s="1"/>
  <c r="Q87" i="10"/>
  <c r="Q50" i="10"/>
  <c r="W50" i="10"/>
  <c r="X50" i="10" s="1"/>
  <c r="Z50" i="10" s="1"/>
  <c r="W128" i="10"/>
  <c r="X128" i="10" s="1"/>
  <c r="Z128" i="10" s="1"/>
  <c r="Q128" i="10"/>
  <c r="Q51" i="10"/>
  <c r="W51" i="10"/>
  <c r="X51" i="10" s="1"/>
  <c r="Z51" i="10" s="1"/>
  <c r="W110" i="10"/>
  <c r="X110" i="10" s="1"/>
  <c r="Z110" i="10" s="1"/>
  <c r="Q110" i="10"/>
  <c r="W123" i="10"/>
  <c r="X123" i="10" s="1"/>
  <c r="Z123" i="10" s="1"/>
  <c r="Q123" i="10"/>
  <c r="W111" i="10"/>
  <c r="X111" i="10" s="1"/>
  <c r="Z111" i="10" s="1"/>
  <c r="Q111" i="10"/>
  <c r="W146" i="10"/>
  <c r="X146" i="10" s="1"/>
  <c r="Z146" i="10" s="1"/>
  <c r="Q146" i="10"/>
  <c r="W219" i="10"/>
  <c r="X219" i="10" s="1"/>
  <c r="Z219" i="10" s="1"/>
  <c r="Q219" i="10"/>
  <c r="Q238" i="10"/>
  <c r="W238" i="10"/>
  <c r="X238" i="10" s="1"/>
  <c r="Z238" i="10" s="1"/>
  <c r="W32" i="10"/>
  <c r="X32" i="10" s="1"/>
  <c r="Z32" i="10" s="1"/>
  <c r="Q32" i="10"/>
  <c r="W52" i="10"/>
  <c r="X52" i="10" s="1"/>
  <c r="Z52" i="10" s="1"/>
  <c r="Q52" i="10"/>
  <c r="Q112" i="10"/>
  <c r="W112" i="10"/>
  <c r="X112" i="10" s="1"/>
  <c r="Z112" i="10" s="1"/>
  <c r="Q84" i="10"/>
  <c r="W84" i="10"/>
  <c r="X84" i="10" s="1"/>
  <c r="Z84" i="10" s="1"/>
  <c r="Q32" i="11"/>
  <c r="W32" i="11"/>
  <c r="X32" i="11" s="1"/>
  <c r="Z32" i="11" s="1"/>
  <c r="W91" i="10"/>
  <c r="X91" i="10" s="1"/>
  <c r="Z91" i="10" s="1"/>
  <c r="Q91" i="10"/>
  <c r="W92" i="10"/>
  <c r="X92" i="10" s="1"/>
  <c r="Z92" i="10" s="1"/>
  <c r="Q92" i="10"/>
  <c r="Q27" i="8"/>
  <c r="R140" i="8"/>
  <c r="R115" i="8"/>
  <c r="P193" i="8"/>
  <c r="P127" i="8"/>
  <c r="S127" i="8" s="1"/>
  <c r="W28" i="11"/>
  <c r="X28" i="11" s="1"/>
  <c r="Z28" i="11" s="1"/>
  <c r="Q28" i="11"/>
  <c r="Q34" i="11"/>
  <c r="W34" i="11"/>
  <c r="X34" i="11" s="1"/>
  <c r="Z34" i="11" s="1"/>
  <c r="W86" i="11"/>
  <c r="X86" i="11" s="1"/>
  <c r="Z86" i="11" s="1"/>
  <c r="Q86" i="11"/>
  <c r="W76" i="11"/>
  <c r="X76" i="11" s="1"/>
  <c r="Z76" i="11" s="1"/>
  <c r="Q76" i="11"/>
  <c r="Q71" i="11"/>
  <c r="W71" i="11"/>
  <c r="X71" i="11" s="1"/>
  <c r="Z71" i="11" s="1"/>
  <c r="Q65" i="11"/>
  <c r="W65" i="11"/>
  <c r="X65" i="11" s="1"/>
  <c r="Z65" i="11" s="1"/>
  <c r="AI14" i="11"/>
  <c r="AO14" i="11" s="1"/>
  <c r="AM14" i="11"/>
  <c r="AI37" i="11"/>
  <c r="AM37" i="11"/>
  <c r="AM45" i="11"/>
  <c r="AI45" i="11"/>
  <c r="AO45" i="11" s="1"/>
  <c r="W44" i="10"/>
  <c r="X44" i="10" s="1"/>
  <c r="Z44" i="10" s="1"/>
  <c r="Q44" i="10"/>
  <c r="W152" i="10"/>
  <c r="X152" i="10" s="1"/>
  <c r="Z152" i="10" s="1"/>
  <c r="Q152" i="10"/>
  <c r="W63" i="10"/>
  <c r="X63" i="10" s="1"/>
  <c r="Z63" i="10" s="1"/>
  <c r="Q63" i="10"/>
  <c r="W113" i="10"/>
  <c r="X113" i="10" s="1"/>
  <c r="Z113" i="10" s="1"/>
  <c r="Q113" i="10"/>
  <c r="Q150" i="10"/>
  <c r="W150" i="10"/>
  <c r="X150" i="10" s="1"/>
  <c r="Z150" i="10" s="1"/>
  <c r="W114" i="10"/>
  <c r="X114" i="10" s="1"/>
  <c r="Z114" i="10" s="1"/>
  <c r="Q114" i="10"/>
  <c r="Q158" i="10"/>
  <c r="W158" i="10"/>
  <c r="X158" i="10" s="1"/>
  <c r="Z158" i="10" s="1"/>
  <c r="W195" i="10"/>
  <c r="X195" i="10" s="1"/>
  <c r="Z195" i="10" s="1"/>
  <c r="Q195" i="10"/>
  <c r="Q233" i="10"/>
  <c r="W233" i="10"/>
  <c r="X233" i="10" s="1"/>
  <c r="Z233" i="10" s="1"/>
  <c r="W27" i="10"/>
  <c r="X27" i="10" s="1"/>
  <c r="Z27" i="10" s="1"/>
  <c r="Q27" i="10"/>
  <c r="W41" i="10"/>
  <c r="X41" i="10" s="1"/>
  <c r="Z41" i="10" s="1"/>
  <c r="Q41" i="10"/>
  <c r="W19" i="10"/>
  <c r="X19" i="10" s="1"/>
  <c r="Z19" i="10" s="1"/>
  <c r="Q19" i="10"/>
  <c r="Q56" i="10"/>
  <c r="W56" i="10"/>
  <c r="X56" i="10" s="1"/>
  <c r="Z56" i="10" s="1"/>
  <c r="W20" i="10"/>
  <c r="X20" i="10" s="1"/>
  <c r="Z20" i="10" s="1"/>
  <c r="Q20" i="10"/>
  <c r="W15" i="10"/>
  <c r="X15" i="10" s="1"/>
  <c r="Z15" i="10" s="1"/>
  <c r="Q15" i="10"/>
  <c r="O68" i="8"/>
  <c r="P135" i="8"/>
  <c r="S135" i="8" s="1"/>
  <c r="P203" i="8"/>
  <c r="W117" i="10"/>
  <c r="X117" i="10" s="1"/>
  <c r="Z117" i="10" s="1"/>
  <c r="Q117" i="10"/>
  <c r="P138" i="8"/>
  <c r="S138" i="8" s="1"/>
  <c r="Q53" i="8"/>
  <c r="P180" i="8"/>
  <c r="R135" i="8"/>
  <c r="W15" i="11"/>
  <c r="X15" i="11" s="1"/>
  <c r="Z15" i="11" s="1"/>
  <c r="Q15" i="11"/>
  <c r="W36" i="11"/>
  <c r="X36" i="11" s="1"/>
  <c r="Z36" i="11" s="1"/>
  <c r="Q36" i="11"/>
  <c r="Q83" i="11"/>
  <c r="W83" i="11"/>
  <c r="X83" i="11" s="1"/>
  <c r="Z83" i="11" s="1"/>
  <c r="Q105" i="11"/>
  <c r="W105" i="11"/>
  <c r="X105" i="11" s="1"/>
  <c r="Z105" i="11" s="1"/>
  <c r="AI32" i="11"/>
  <c r="AO32" i="11" s="1"/>
  <c r="AM32" i="11"/>
  <c r="AM69" i="11"/>
  <c r="AI69" i="11"/>
  <c r="AO69" i="11" s="1"/>
  <c r="AM55" i="11"/>
  <c r="AI55" i="11"/>
  <c r="AM27" i="11"/>
  <c r="AI27" i="11"/>
  <c r="AO27" i="11" s="1"/>
  <c r="W109" i="10"/>
  <c r="X109" i="10" s="1"/>
  <c r="Z109" i="10" s="1"/>
  <c r="Q109" i="10"/>
  <c r="W167" i="10"/>
  <c r="X167" i="10" s="1"/>
  <c r="Z167" i="10" s="1"/>
  <c r="Q167" i="10"/>
  <c r="W73" i="10"/>
  <c r="X73" i="10" s="1"/>
  <c r="Z73" i="10" s="1"/>
  <c r="Q73" i="10"/>
  <c r="W16" i="10"/>
  <c r="X16" i="10" s="1"/>
  <c r="Z16" i="10" s="1"/>
  <c r="Q16" i="10"/>
  <c r="W156" i="10"/>
  <c r="X156" i="10" s="1"/>
  <c r="Z156" i="10" s="1"/>
  <c r="Q156" i="10"/>
  <c r="W70" i="10"/>
  <c r="X70" i="10" s="1"/>
  <c r="Z70" i="10" s="1"/>
  <c r="Q70" i="10"/>
  <c r="Q142" i="10"/>
  <c r="W142" i="10"/>
  <c r="X142" i="10" s="1"/>
  <c r="Z142" i="10" s="1"/>
  <c r="W159" i="10"/>
  <c r="X159" i="10" s="1"/>
  <c r="Z159" i="10" s="1"/>
  <c r="Q159" i="10"/>
  <c r="W137" i="10"/>
  <c r="X137" i="10" s="1"/>
  <c r="Z137" i="10" s="1"/>
  <c r="Q137" i="10"/>
  <c r="W168" i="10"/>
  <c r="X168" i="10" s="1"/>
  <c r="Z168" i="10" s="1"/>
  <c r="Q168" i="10"/>
  <c r="Q229" i="10"/>
  <c r="W229" i="10"/>
  <c r="X229" i="10" s="1"/>
  <c r="Z229" i="10" s="1"/>
  <c r="Q24" i="10"/>
  <c r="W24" i="10"/>
  <c r="X24" i="10" s="1"/>
  <c r="Z24" i="10" s="1"/>
  <c r="W28" i="10"/>
  <c r="X28" i="10" s="1"/>
  <c r="Z28" i="10" s="1"/>
  <c r="Q28" i="10"/>
  <c r="W61" i="10"/>
  <c r="X61" i="10" s="1"/>
  <c r="Z61" i="10" s="1"/>
  <c r="Q61" i="10"/>
  <c r="W23" i="10"/>
  <c r="X23" i="10" s="1"/>
  <c r="Z23" i="10" s="1"/>
  <c r="Q23" i="10"/>
  <c r="W43" i="10"/>
  <c r="X43" i="10" s="1"/>
  <c r="Z43" i="10" s="1"/>
  <c r="Q43" i="10"/>
  <c r="N68" i="8"/>
  <c r="AI67" i="11"/>
  <c r="AO67" i="11" s="1"/>
  <c r="AM67" i="11"/>
  <c r="Q136" i="10"/>
  <c r="W136" i="10"/>
  <c r="X136" i="10" s="1"/>
  <c r="Z136" i="10" s="1"/>
  <c r="P134" i="8"/>
  <c r="S134" i="8" s="1"/>
  <c r="P130" i="8"/>
  <c r="S130" i="8" s="1"/>
  <c r="R131" i="8"/>
  <c r="P166" i="8"/>
  <c r="S166" i="8" s="1"/>
  <c r="W25" i="11"/>
  <c r="X25" i="11" s="1"/>
  <c r="Z25" i="11" s="1"/>
  <c r="Q25" i="11"/>
  <c r="Q13" i="11"/>
  <c r="W13" i="11"/>
  <c r="X13" i="11" s="1"/>
  <c r="Z13" i="11" s="1"/>
  <c r="W68" i="11"/>
  <c r="X68" i="11" s="1"/>
  <c r="Z68" i="11" s="1"/>
  <c r="Q68" i="11"/>
  <c r="Q90" i="11"/>
  <c r="W90" i="11"/>
  <c r="X90" i="11" s="1"/>
  <c r="Z90" i="11" s="1"/>
  <c r="W26" i="11"/>
  <c r="X26" i="11" s="1"/>
  <c r="Z26" i="11" s="1"/>
  <c r="Q26" i="11"/>
  <c r="AM48" i="11"/>
  <c r="AI48" i="11"/>
  <c r="AM85" i="11"/>
  <c r="AI85" i="11"/>
  <c r="AO85" i="11" s="1"/>
  <c r="AM61" i="11"/>
  <c r="AI61" i="11"/>
  <c r="AO61" i="11" s="1"/>
  <c r="AM34" i="11"/>
  <c r="AI34" i="11"/>
  <c r="W163" i="10"/>
  <c r="X163" i="10" s="1"/>
  <c r="Z163" i="10" s="1"/>
  <c r="Q163" i="10"/>
  <c r="Q72" i="10"/>
  <c r="W72" i="10"/>
  <c r="X72" i="10" s="1"/>
  <c r="Z72" i="10" s="1"/>
  <c r="Q22" i="10"/>
  <c r="W22" i="10"/>
  <c r="X22" i="10" s="1"/>
  <c r="Z22" i="10" s="1"/>
  <c r="W194" i="10"/>
  <c r="X194" i="10" s="1"/>
  <c r="Z194" i="10" s="1"/>
  <c r="Q194" i="10"/>
  <c r="W83" i="10"/>
  <c r="X83" i="10" s="1"/>
  <c r="Z83" i="10" s="1"/>
  <c r="Q83" i="10"/>
  <c r="Q148" i="10"/>
  <c r="W148" i="10"/>
  <c r="X148" i="10" s="1"/>
  <c r="Z148" i="10" s="1"/>
  <c r="W165" i="10"/>
  <c r="X165" i="10" s="1"/>
  <c r="Z165" i="10" s="1"/>
  <c r="Q165" i="10"/>
  <c r="W140" i="10"/>
  <c r="X140" i="10" s="1"/>
  <c r="Z140" i="10" s="1"/>
  <c r="Q140" i="10"/>
  <c r="Q183" i="10"/>
  <c r="W183" i="10"/>
  <c r="X183" i="10" s="1"/>
  <c r="Z183" i="10" s="1"/>
  <c r="Q217" i="10"/>
  <c r="W217" i="10"/>
  <c r="X217" i="10" s="1"/>
  <c r="Z217" i="10" s="1"/>
  <c r="W21" i="10"/>
  <c r="X21" i="10" s="1"/>
  <c r="Z21" i="10" s="1"/>
  <c r="Q21" i="10"/>
  <c r="W46" i="10"/>
  <c r="X46" i="10" s="1"/>
  <c r="Z46" i="10" s="1"/>
  <c r="Q46" i="10"/>
  <c r="Q39" i="10"/>
  <c r="W39" i="10"/>
  <c r="X39" i="10" s="1"/>
  <c r="Z39" i="10" s="1"/>
  <c r="W68" i="10"/>
  <c r="X68" i="10" s="1"/>
  <c r="Z68" i="10" s="1"/>
  <c r="Q68" i="10"/>
  <c r="W40" i="10"/>
  <c r="X40" i="10" s="1"/>
  <c r="Z40" i="10" s="1"/>
  <c r="Q40" i="10"/>
  <c r="Q53" i="10"/>
  <c r="W53" i="10"/>
  <c r="X53" i="10" s="1"/>
  <c r="Z53" i="10" s="1"/>
  <c r="W45" i="11"/>
  <c r="X45" i="11" s="1"/>
  <c r="Z45" i="11" s="1"/>
  <c r="Q45" i="11"/>
  <c r="W134" i="10"/>
  <c r="Q134" i="10"/>
  <c r="Q17" i="10"/>
  <c r="W17" i="10"/>
  <c r="X17" i="10" s="1"/>
  <c r="Z17" i="10" s="1"/>
  <c r="P128" i="8"/>
  <c r="S128" i="8" s="1"/>
  <c r="R167" i="8"/>
  <c r="W16" i="11"/>
  <c r="X16" i="11" s="1"/>
  <c r="Z16" i="11" s="1"/>
  <c r="Q16" i="11"/>
  <c r="W69" i="11"/>
  <c r="X69" i="11" s="1"/>
  <c r="Z69" i="11" s="1"/>
  <c r="Q69" i="11"/>
  <c r="Q31" i="11"/>
  <c r="W31" i="11"/>
  <c r="X31" i="11" s="1"/>
  <c r="Z31" i="11" s="1"/>
  <c r="W72" i="11"/>
  <c r="X72" i="11" s="1"/>
  <c r="Z72" i="11" s="1"/>
  <c r="Q72" i="11"/>
  <c r="Q50" i="11"/>
  <c r="W50" i="11"/>
  <c r="X50" i="11" s="1"/>
  <c r="Z50" i="11" s="1"/>
  <c r="W33" i="11"/>
  <c r="X33" i="11" s="1"/>
  <c r="Z33" i="11" s="1"/>
  <c r="Q33" i="11"/>
  <c r="AM58" i="11"/>
  <c r="AI58" i="11"/>
  <c r="AO58" i="11" s="1"/>
  <c r="AM75" i="11"/>
  <c r="AI75" i="11"/>
  <c r="AO75" i="11" s="1"/>
  <c r="AM82" i="11"/>
  <c r="AI82" i="11"/>
  <c r="AO82" i="11" s="1"/>
  <c r="Q192" i="10"/>
  <c r="W192" i="10"/>
  <c r="X192" i="10" s="1"/>
  <c r="Z192" i="10" s="1"/>
  <c r="W135" i="10"/>
  <c r="X135" i="10" s="1"/>
  <c r="Z135" i="10" s="1"/>
  <c r="Q135" i="10"/>
  <c r="W55" i="10"/>
  <c r="X55" i="10" s="1"/>
  <c r="Z55" i="10" s="1"/>
  <c r="Q55" i="10"/>
  <c r="Q36" i="10"/>
  <c r="W36" i="10"/>
  <c r="X36" i="10" s="1"/>
  <c r="Z36" i="10" s="1"/>
  <c r="W58" i="10"/>
  <c r="X58" i="10" s="1"/>
  <c r="Z58" i="10" s="1"/>
  <c r="Q58" i="10"/>
  <c r="Q96" i="10"/>
  <c r="W96" i="10"/>
  <c r="X96" i="10" s="1"/>
  <c r="Z96" i="10" s="1"/>
  <c r="W154" i="10"/>
  <c r="X154" i="10" s="1"/>
  <c r="Z154" i="10" s="1"/>
  <c r="Q154" i="10"/>
  <c r="W171" i="10"/>
  <c r="X171" i="10" s="1"/>
  <c r="Z171" i="10" s="1"/>
  <c r="Q171" i="10"/>
  <c r="Q172" i="10"/>
  <c r="W172" i="10"/>
  <c r="X172" i="10" s="1"/>
  <c r="Z172" i="10" s="1"/>
  <c r="W210" i="10"/>
  <c r="X210" i="10" s="1"/>
  <c r="Z210" i="10" s="1"/>
  <c r="Q210" i="10"/>
  <c r="W237" i="10"/>
  <c r="X237" i="10" s="1"/>
  <c r="Z237" i="10" s="1"/>
  <c r="Q237" i="10"/>
  <c r="W67" i="10"/>
  <c r="X67" i="10" s="1"/>
  <c r="Z67" i="10" s="1"/>
  <c r="Q67" i="10"/>
  <c r="W81" i="10"/>
  <c r="X81" i="10" s="1"/>
  <c r="Z81" i="10" s="1"/>
  <c r="Q81" i="10"/>
  <c r="Q62" i="10"/>
  <c r="W62" i="10"/>
  <c r="X62" i="10" s="1"/>
  <c r="Z62" i="10" s="1"/>
  <c r="Q64" i="10"/>
  <c r="W64" i="10"/>
  <c r="X64" i="10" s="1"/>
  <c r="Z64" i="10" s="1"/>
  <c r="AM49" i="11"/>
  <c r="AI49" i="11"/>
  <c r="AO49" i="11" s="1"/>
  <c r="Q227" i="10"/>
  <c r="W227" i="10"/>
  <c r="X227" i="10" s="1"/>
  <c r="Z227" i="10" s="1"/>
  <c r="W29" i="10"/>
  <c r="X29" i="10" s="1"/>
  <c r="Z29" i="10" s="1"/>
  <c r="Q29" i="10"/>
  <c r="P64" i="8"/>
  <c r="R175" i="8"/>
  <c r="S175" i="8" s="1"/>
  <c r="P206" i="8"/>
  <c r="P36" i="8"/>
  <c r="AO30" i="11"/>
  <c r="W47" i="11"/>
  <c r="X47" i="11" s="1"/>
  <c r="Z47" i="11" s="1"/>
  <c r="Q47" i="11"/>
  <c r="W84" i="11"/>
  <c r="X84" i="11" s="1"/>
  <c r="Z84" i="11" s="1"/>
  <c r="Q84" i="11"/>
  <c r="Q60" i="11"/>
  <c r="W60" i="11"/>
  <c r="X60" i="11" s="1"/>
  <c r="Z60" i="11" s="1"/>
  <c r="W87" i="11"/>
  <c r="X87" i="11" s="1"/>
  <c r="Z87" i="11" s="1"/>
  <c r="Q87" i="11"/>
  <c r="AM64" i="11"/>
  <c r="AI64" i="11"/>
  <c r="AO64" i="11" s="1"/>
  <c r="AM46" i="11"/>
  <c r="AI46" i="11"/>
  <c r="AO46" i="11" s="1"/>
  <c r="Q14" i="11"/>
  <c r="W14" i="11"/>
  <c r="X14" i="11" s="1"/>
  <c r="Z14" i="11" s="1"/>
  <c r="W47" i="10"/>
  <c r="X47" i="10" s="1"/>
  <c r="Z47" i="10" s="1"/>
  <c r="Q47" i="10"/>
  <c r="Q48" i="10"/>
  <c r="W48" i="10"/>
  <c r="X48" i="10" s="1"/>
  <c r="Z48" i="10" s="1"/>
  <c r="Q77" i="10"/>
  <c r="W77" i="10"/>
  <c r="X77" i="10" s="1"/>
  <c r="Z77" i="10" s="1"/>
  <c r="Q105" i="10"/>
  <c r="W105" i="10"/>
  <c r="X105" i="10" s="1"/>
  <c r="Z105" i="10" s="1"/>
  <c r="Q164" i="10"/>
  <c r="W164" i="10"/>
  <c r="X164" i="10" s="1"/>
  <c r="Z164" i="10" s="1"/>
  <c r="W186" i="10"/>
  <c r="X186" i="10" s="1"/>
  <c r="Z186" i="10" s="1"/>
  <c r="Q186" i="10"/>
  <c r="Q191" i="10"/>
  <c r="W191" i="10"/>
  <c r="X191" i="10" s="1"/>
  <c r="Z191" i="10" s="1"/>
  <c r="W226" i="10"/>
  <c r="X226" i="10" s="1"/>
  <c r="Z226" i="10" s="1"/>
  <c r="Q226" i="10"/>
  <c r="Q211" i="10"/>
  <c r="W211" i="10"/>
  <c r="X211" i="10" s="1"/>
  <c r="Z211" i="10" s="1"/>
  <c r="Q85" i="10"/>
  <c r="W85" i="10"/>
  <c r="X85" i="10" s="1"/>
  <c r="Z85" i="10" s="1"/>
  <c r="Q38" i="10"/>
  <c r="W38" i="10"/>
  <c r="X38" i="10" s="1"/>
  <c r="Z38" i="10" s="1"/>
  <c r="Q78" i="10"/>
  <c r="W78" i="10"/>
  <c r="X78" i="10" s="1"/>
  <c r="Z78" i="10" s="1"/>
  <c r="Q106" i="10"/>
  <c r="W106" i="10"/>
  <c r="X106" i="10" s="1"/>
  <c r="Z106" i="10" s="1"/>
  <c r="W89" i="10"/>
  <c r="X89" i="10" s="1"/>
  <c r="Z89" i="10" s="1"/>
  <c r="Q89" i="10"/>
  <c r="AS295" i="14"/>
  <c r="AT295" i="14" s="1"/>
  <c r="AR182" i="14"/>
  <c r="AR657" i="14"/>
  <c r="AQ410" i="14"/>
  <c r="AS410" i="14" s="1"/>
  <c r="AT410" i="14" s="1"/>
  <c r="AQ295" i="14"/>
  <c r="AQ557" i="14"/>
  <c r="AS623" i="14"/>
  <c r="AT623" i="14" s="1"/>
  <c r="AS557" i="14"/>
  <c r="AT557" i="14" s="1"/>
  <c r="AS604" i="14"/>
  <c r="AT604" i="14" s="1"/>
  <c r="AQ249" i="14"/>
  <c r="AS249" i="14" s="1"/>
  <c r="AT249" i="14" s="1"/>
  <c r="AS667" i="14"/>
  <c r="AT667" i="14" s="1"/>
  <c r="AR479" i="14"/>
  <c r="AQ182" i="14"/>
  <c r="AR36" i="14"/>
  <c r="AS480" i="14"/>
  <c r="AT480" i="14" s="1"/>
  <c r="AS469" i="14"/>
  <c r="AT469" i="14" s="1"/>
  <c r="AQ193" i="14"/>
  <c r="AS193" i="14" s="1"/>
  <c r="AT193" i="14" s="1"/>
  <c r="AQ269" i="14"/>
  <c r="AQ128" i="14"/>
  <c r="AS128" i="14" s="1"/>
  <c r="AT128" i="14" s="1"/>
  <c r="AQ191" i="14"/>
  <c r="AS191" i="14" s="1"/>
  <c r="AT191" i="14" s="1"/>
  <c r="AQ54" i="14"/>
  <c r="AS54" i="14" s="1"/>
  <c r="AT54" i="14" s="1"/>
  <c r="AQ677" i="14"/>
  <c r="AS459" i="14"/>
  <c r="AT459" i="14" s="1"/>
  <c r="AQ657" i="14"/>
  <c r="AS173" i="14"/>
  <c r="AT173" i="14" s="1"/>
  <c r="AQ648" i="14"/>
  <c r="AQ134" i="14"/>
  <c r="AS134" i="14" s="1"/>
  <c r="AT134" i="14" s="1"/>
  <c r="AS647" i="14"/>
  <c r="AT647" i="14" s="1"/>
  <c r="AR677" i="14"/>
  <c r="AS651" i="14"/>
  <c r="AT651" i="14" s="1"/>
  <c r="AQ459" i="14"/>
  <c r="AQ651" i="14"/>
  <c r="AS472" i="14"/>
  <c r="AT472" i="14" s="1"/>
  <c r="AQ173" i="14"/>
  <c r="AQ667" i="14"/>
  <c r="AR609" i="14"/>
  <c r="AS639" i="14"/>
  <c r="AT639" i="14" s="1"/>
  <c r="AS666" i="14"/>
  <c r="AT666" i="14" s="1"/>
  <c r="AQ333" i="14"/>
  <c r="AS333" i="14" s="1"/>
  <c r="AT333" i="14" s="1"/>
  <c r="AQ623" i="14"/>
  <c r="AS583" i="14"/>
  <c r="AT583" i="14" s="1"/>
  <c r="AQ639" i="14"/>
  <c r="AQ630" i="14"/>
  <c r="AR573" i="14"/>
  <c r="AS573" i="14" s="1"/>
  <c r="AT573" i="14" s="1"/>
  <c r="AR436" i="14"/>
  <c r="AR211" i="14"/>
  <c r="AS211" i="14" s="1"/>
  <c r="AT211" i="14" s="1"/>
  <c r="AQ515" i="14"/>
  <c r="AS515" i="14" s="1"/>
  <c r="AT515" i="14" s="1"/>
  <c r="AQ261" i="14"/>
  <c r="AS261" i="14" s="1"/>
  <c r="AT261" i="14" s="1"/>
  <c r="AQ271" i="14"/>
  <c r="AS271" i="14" s="1"/>
  <c r="AT271" i="14" s="1"/>
  <c r="AQ513" i="14"/>
  <c r="AS513" i="14" s="1"/>
  <c r="AT513" i="14" s="1"/>
  <c r="AQ620" i="14"/>
  <c r="AQ611" i="14"/>
  <c r="AS630" i="14"/>
  <c r="AT630" i="14" s="1"/>
  <c r="AS368" i="14"/>
  <c r="AT368" i="14" s="1"/>
  <c r="AQ138" i="14"/>
  <c r="AS138" i="14" s="1"/>
  <c r="AT138" i="14" s="1"/>
  <c r="AR488" i="14"/>
  <c r="AR355" i="14"/>
  <c r="AS355" i="14" s="1"/>
  <c r="AT355" i="14" s="1"/>
  <c r="AQ315" i="14"/>
  <c r="AS315" i="14" s="1"/>
  <c r="AT315" i="14" s="1"/>
  <c r="AQ616" i="14"/>
  <c r="AQ517" i="14"/>
  <c r="AS517" i="14" s="1"/>
  <c r="AT517" i="14" s="1"/>
  <c r="AQ264" i="14"/>
  <c r="AS264" i="14" s="1"/>
  <c r="AT264" i="14" s="1"/>
  <c r="AR492" i="14"/>
  <c r="AQ126" i="14"/>
  <c r="AS126" i="14" s="1"/>
  <c r="AT126" i="14" s="1"/>
  <c r="AQ492" i="14"/>
  <c r="AQ449" i="14"/>
  <c r="AR136" i="14"/>
  <c r="AS136" i="14" s="1"/>
  <c r="AT136" i="14" s="1"/>
  <c r="AQ361" i="14"/>
  <c r="R127" i="8"/>
  <c r="P39" i="8"/>
  <c r="P53" i="8"/>
  <c r="R124" i="8"/>
  <c r="P120" i="8"/>
  <c r="S120" i="8" s="1"/>
  <c r="R180" i="8"/>
  <c r="S180" i="8" s="1"/>
  <c r="R182" i="8"/>
  <c r="S182" i="8" s="1"/>
  <c r="R32" i="8"/>
  <c r="P63" i="8"/>
  <c r="P107" i="8"/>
  <c r="S107" i="8" s="1"/>
  <c r="P33" i="8"/>
  <c r="P35" i="8"/>
  <c r="P151" i="1"/>
  <c r="R130" i="8"/>
  <c r="R173" i="8"/>
  <c r="S173" i="8" s="1"/>
  <c r="R133" i="8"/>
  <c r="P22" i="8"/>
  <c r="P31" i="8"/>
  <c r="P152" i="8"/>
  <c r="S152" i="8" s="1"/>
  <c r="P187" i="8"/>
  <c r="P43" i="8"/>
  <c r="Q197" i="8"/>
  <c r="Q160" i="8"/>
  <c r="Q152" i="8"/>
  <c r="Q163" i="8"/>
  <c r="Q207" i="8"/>
  <c r="Q137" i="8"/>
  <c r="Q38" i="8"/>
  <c r="Q176" i="8"/>
  <c r="Q20" i="8"/>
  <c r="S73" i="8"/>
  <c r="H12" i="7" s="1"/>
  <c r="P28" i="8"/>
  <c r="R197" i="8"/>
  <c r="S197" i="8" s="1"/>
  <c r="P174" i="8"/>
  <c r="P198" i="8"/>
  <c r="R64" i="8"/>
  <c r="S64" i="8" s="1"/>
  <c r="R161" i="8"/>
  <c r="P176" i="8"/>
  <c r="P38" i="8"/>
  <c r="R199" i="8"/>
  <c r="S199" i="8" s="1"/>
  <c r="P162" i="8"/>
  <c r="S162" i="8" s="1"/>
  <c r="P170" i="8"/>
  <c r="P106" i="8"/>
  <c r="S106" i="8" s="1"/>
  <c r="P137" i="8"/>
  <c r="S137" i="8" s="1"/>
  <c r="P24" i="8"/>
  <c r="R23" i="8"/>
  <c r="S23" i="8" s="1"/>
  <c r="P55" i="8"/>
  <c r="P117" i="8"/>
  <c r="S117" i="8" s="1"/>
  <c r="R119" i="8"/>
  <c r="R134" i="8"/>
  <c r="P23" i="8"/>
  <c r="R202" i="8"/>
  <c r="S202" i="8" s="1"/>
  <c r="R120" i="8"/>
  <c r="P129" i="8"/>
  <c r="S129" i="8" s="1"/>
  <c r="P20" i="8"/>
  <c r="P37" i="8"/>
  <c r="P66" i="8"/>
  <c r="R17" i="8"/>
  <c r="S17" i="8" s="1"/>
  <c r="P132" i="8"/>
  <c r="S132" i="8" s="1"/>
  <c r="P123" i="8"/>
  <c r="S123" i="8" s="1"/>
  <c r="R138" i="8"/>
  <c r="P18" i="8"/>
  <c r="P197" i="8"/>
  <c r="P191" i="8"/>
  <c r="R63" i="8"/>
  <c r="S63" i="8" s="1"/>
  <c r="P113" i="8"/>
  <c r="S113" i="8" s="1"/>
  <c r="P21" i="8"/>
  <c r="P136" i="8"/>
  <c r="S136" i="8" s="1"/>
  <c r="R136" i="8"/>
  <c r="P178" i="8"/>
  <c r="P41" i="8"/>
  <c r="R122" i="8"/>
  <c r="P116" i="8"/>
  <c r="S116" i="8" s="1"/>
  <c r="AS609" i="14"/>
  <c r="AT609" i="14" s="1"/>
  <c r="AQ678" i="14"/>
  <c r="AS100" i="14"/>
  <c r="AT100" i="14" s="1"/>
  <c r="AS649" i="14"/>
  <c r="AT649" i="14" s="1"/>
  <c r="AR582" i="14"/>
  <c r="AR525" i="14"/>
  <c r="AS525" i="14" s="1"/>
  <c r="AT525" i="14" s="1"/>
  <c r="AS418" i="14"/>
  <c r="AT418" i="14" s="1"/>
  <c r="AQ377" i="14"/>
  <c r="AQ371" i="14"/>
  <c r="AS371" i="14" s="1"/>
  <c r="AT371" i="14" s="1"/>
  <c r="AS678" i="14"/>
  <c r="AT678" i="14" s="1"/>
  <c r="AQ196" i="14"/>
  <c r="AS196" i="14" s="1"/>
  <c r="AT196" i="14" s="1"/>
  <c r="AS382" i="14"/>
  <c r="AT382" i="14" s="1"/>
  <c r="AS648" i="14"/>
  <c r="AT648" i="14" s="1"/>
  <c r="AS436" i="14"/>
  <c r="AT436" i="14" s="1"/>
  <c r="AR681" i="14"/>
  <c r="AR585" i="14"/>
  <c r="AS585" i="14" s="1"/>
  <c r="AT585" i="14" s="1"/>
  <c r="AS582" i="14"/>
  <c r="AT582" i="14" s="1"/>
  <c r="AR374" i="14"/>
  <c r="AS374" i="14" s="1"/>
  <c r="AT374" i="14" s="1"/>
  <c r="AQ40" i="14"/>
  <c r="AS40" i="14" s="1"/>
  <c r="AT40" i="14" s="1"/>
  <c r="AR334" i="14"/>
  <c r="AS334" i="14" s="1"/>
  <c r="AT334" i="14" s="1"/>
  <c r="AR684" i="14"/>
  <c r="AS551" i="14"/>
  <c r="AT551" i="14" s="1"/>
  <c r="AQ473" i="14"/>
  <c r="AR131" i="14"/>
  <c r="AS131" i="14" s="1"/>
  <c r="AT131" i="14" s="1"/>
  <c r="AQ684" i="14"/>
  <c r="AR319" i="14"/>
  <c r="AS319" i="14" s="1"/>
  <c r="AT319" i="14" s="1"/>
  <c r="AQ297" i="14"/>
  <c r="AR338" i="14"/>
  <c r="AS442" i="14"/>
  <c r="AT442" i="14" s="1"/>
  <c r="AS686" i="14"/>
  <c r="AT686" i="14" s="1"/>
  <c r="AQ189" i="14"/>
  <c r="AS189" i="14" s="1"/>
  <c r="AT189" i="14" s="1"/>
  <c r="AR297" i="14"/>
  <c r="AQ686" i="14"/>
  <c r="AR241" i="14"/>
  <c r="AS241" i="14" s="1"/>
  <c r="AT241" i="14" s="1"/>
  <c r="AQ516" i="14"/>
  <c r="AS516" i="14" s="1"/>
  <c r="AT516" i="14" s="1"/>
  <c r="AQ610" i="14"/>
  <c r="AQ119" i="14"/>
  <c r="AS119" i="14" s="1"/>
  <c r="AT119" i="14" s="1"/>
  <c r="AR22" i="14"/>
  <c r="AS22" i="14" s="1"/>
  <c r="AT22" i="14" s="1"/>
  <c r="AR452" i="14"/>
  <c r="AR17" i="14"/>
  <c r="AS17" i="14" s="1"/>
  <c r="AT17" i="14" s="1"/>
  <c r="AQ376" i="14"/>
  <c r="AQ328" i="14"/>
  <c r="AS328" i="14" s="1"/>
  <c r="AT328" i="14" s="1"/>
  <c r="AQ153" i="14"/>
  <c r="AS153" i="14" s="1"/>
  <c r="AT153" i="14" s="1"/>
  <c r="AR48" i="14"/>
  <c r="AS48" i="14" s="1"/>
  <c r="AT48" i="14" s="1"/>
  <c r="AR359" i="14"/>
  <c r="AS359" i="14" s="1"/>
  <c r="AT359" i="14" s="1"/>
  <c r="AS393" i="14"/>
  <c r="AT393" i="14" s="1"/>
  <c r="AQ243" i="14"/>
  <c r="AQ206" i="14"/>
  <c r="AS206" i="14" s="1"/>
  <c r="AT206" i="14" s="1"/>
  <c r="AQ198" i="14"/>
  <c r="AS198" i="14" s="1"/>
  <c r="AT198" i="14" s="1"/>
  <c r="AQ562" i="14"/>
  <c r="AR43" i="14"/>
  <c r="AS43" i="14" s="1"/>
  <c r="AT43" i="14" s="1"/>
  <c r="AR600" i="14"/>
  <c r="AQ230" i="14"/>
  <c r="AS230" i="14" s="1"/>
  <c r="AT230" i="14" s="1"/>
  <c r="AR14" i="14"/>
  <c r="AS14" i="14" s="1"/>
  <c r="AT14" i="14" s="1"/>
  <c r="AR562" i="14"/>
  <c r="AR507" i="14"/>
  <c r="AR38" i="14"/>
  <c r="AR474" i="14"/>
  <c r="AQ368" i="14"/>
  <c r="AR463" i="14"/>
  <c r="AR361" i="14"/>
  <c r="AR144" i="14"/>
  <c r="AR620" i="14"/>
  <c r="AQ654" i="14"/>
  <c r="AR497" i="14"/>
  <c r="AS448" i="14"/>
  <c r="AT448" i="14" s="1"/>
  <c r="AR632" i="14"/>
  <c r="AQ643" i="14"/>
  <c r="AR296" i="14"/>
  <c r="AS296" i="14" s="1"/>
  <c r="AT296" i="14" s="1"/>
  <c r="AQ165" i="14"/>
  <c r="AS165" i="14" s="1"/>
  <c r="AT165" i="14" s="1"/>
  <c r="AQ121" i="14"/>
  <c r="AS121" i="14" s="1"/>
  <c r="AT121" i="14" s="1"/>
  <c r="AQ98" i="14"/>
  <c r="AR197" i="14"/>
  <c r="AS197" i="14" s="1"/>
  <c r="AT197" i="14" s="1"/>
  <c r="AR432" i="14"/>
  <c r="AS432" i="14" s="1"/>
  <c r="AT432" i="14" s="1"/>
  <c r="AR91" i="14"/>
  <c r="AS91" i="14" s="1"/>
  <c r="AT91" i="14" s="1"/>
  <c r="AR654" i="14"/>
  <c r="AR472" i="14"/>
  <c r="AS632" i="14"/>
  <c r="AT632" i="14" s="1"/>
  <c r="AR318" i="14"/>
  <c r="AS318" i="14" s="1"/>
  <c r="AT318" i="14" s="1"/>
  <c r="AS92" i="14"/>
  <c r="AT92" i="14" s="1"/>
  <c r="AQ31" i="14"/>
  <c r="AQ375" i="14"/>
  <c r="AS375" i="14" s="1"/>
  <c r="AT375" i="14" s="1"/>
  <c r="AR180" i="14"/>
  <c r="AS180" i="14" s="1"/>
  <c r="AT180" i="14" s="1"/>
  <c r="AR685" i="14"/>
  <c r="AR682" i="14"/>
  <c r="AS171" i="14"/>
  <c r="AT171" i="14" s="1"/>
  <c r="AR31" i="14"/>
  <c r="AQ186" i="14"/>
  <c r="AR205" i="14"/>
  <c r="AS205" i="14" s="1"/>
  <c r="AT205" i="14" s="1"/>
  <c r="AS682" i="14"/>
  <c r="AT682" i="14" s="1"/>
  <c r="AS544" i="14"/>
  <c r="AT544" i="14" s="1"/>
  <c r="AR571" i="14"/>
  <c r="AS571" i="14" s="1"/>
  <c r="AT571" i="14" s="1"/>
  <c r="AQ448" i="14"/>
  <c r="AR521" i="14"/>
  <c r="AS521" i="14" s="1"/>
  <c r="AT521" i="14" s="1"/>
  <c r="AQ228" i="14"/>
  <c r="AS228" i="14" s="1"/>
  <c r="AT228" i="14" s="1"/>
  <c r="AQ575" i="14"/>
  <c r="AS575" i="14" s="1"/>
  <c r="AT575" i="14" s="1"/>
  <c r="AS420" i="14"/>
  <c r="AT420" i="14" s="1"/>
  <c r="AS600" i="14"/>
  <c r="AT600" i="14" s="1"/>
  <c r="AR647" i="14"/>
  <c r="AR545" i="14"/>
  <c r="AQ565" i="14"/>
  <c r="AQ545" i="14"/>
  <c r="AQ239" i="14"/>
  <c r="AS239" i="14" s="1"/>
  <c r="AT239" i="14" s="1"/>
  <c r="AR113" i="14"/>
  <c r="AS113" i="14" s="1"/>
  <c r="AT113" i="14" s="1"/>
  <c r="AR236" i="14"/>
  <c r="AS236" i="14" s="1"/>
  <c r="AT236" i="14" s="1"/>
  <c r="AR55" i="14"/>
  <c r="AS55" i="14" s="1"/>
  <c r="AT55" i="14" s="1"/>
  <c r="AR428" i="14"/>
  <c r="AS307" i="14"/>
  <c r="AT307" i="14" s="1"/>
  <c r="AR307" i="14"/>
  <c r="AS428" i="14"/>
  <c r="AT428" i="14" s="1"/>
  <c r="AS650" i="14"/>
  <c r="AT650" i="14" s="1"/>
  <c r="AQ644" i="14"/>
  <c r="AQ656" i="14"/>
  <c r="AS558" i="14"/>
  <c r="AT558" i="14" s="1"/>
  <c r="AR84" i="14"/>
  <c r="AS84" i="14" s="1"/>
  <c r="AT84" i="14" s="1"/>
  <c r="AQ145" i="14"/>
  <c r="AR644" i="14"/>
  <c r="AS656" i="14"/>
  <c r="AT656" i="14" s="1"/>
  <c r="AQ597" i="14"/>
  <c r="AS484" i="14"/>
  <c r="AT484" i="14" s="1"/>
  <c r="AS655" i="14"/>
  <c r="AT655" i="14" s="1"/>
  <c r="AS145" i="14"/>
  <c r="AT145" i="14" s="1"/>
  <c r="AR597" i="14"/>
  <c r="AS385" i="14"/>
  <c r="AT385" i="14" s="1"/>
  <c r="AQ484" i="14"/>
  <c r="AR47" i="14"/>
  <c r="AS47" i="14" s="1"/>
  <c r="AT47" i="14" s="1"/>
  <c r="AQ510" i="14"/>
  <c r="AS510" i="14" s="1"/>
  <c r="AT510" i="14" s="1"/>
  <c r="AR242" i="14"/>
  <c r="AS242" i="14" s="1"/>
  <c r="AT242" i="14" s="1"/>
  <c r="AR342" i="14"/>
  <c r="AQ44" i="14"/>
  <c r="AS44" i="14" s="1"/>
  <c r="AT44" i="14" s="1"/>
  <c r="AQ137" i="14"/>
  <c r="AS137" i="14" s="1"/>
  <c r="AT137" i="14" s="1"/>
  <c r="AS463" i="14"/>
  <c r="AT463" i="14" s="1"/>
  <c r="AQ434" i="14"/>
  <c r="AS434" i="14" s="1"/>
  <c r="AT434" i="14" s="1"/>
  <c r="AR373" i="14"/>
  <c r="AS373" i="14" s="1"/>
  <c r="AT373" i="14" s="1"/>
  <c r="AQ41" i="14"/>
  <c r="AS41" i="14" s="1"/>
  <c r="AT41" i="14" s="1"/>
  <c r="L39" i="7"/>
  <c r="L24" i="7"/>
  <c r="Q56" i="7"/>
  <c r="R11" i="8"/>
  <c r="R10" i="1" s="1"/>
  <c r="S11" i="8"/>
  <c r="S10" i="1" s="1"/>
  <c r="X11" i="10"/>
  <c r="AB11" i="10"/>
  <c r="AA11" i="10"/>
  <c r="Q186" i="8"/>
  <c r="Q169" i="8"/>
  <c r="Q116" i="8"/>
  <c r="P207" i="8"/>
  <c r="P44" i="8"/>
  <c r="Q127" i="8"/>
  <c r="R121" i="8"/>
  <c r="R193" i="8"/>
  <c r="S193" i="8" s="1"/>
  <c r="Q61" i="8"/>
  <c r="P161" i="8"/>
  <c r="S161" i="8" s="1"/>
  <c r="R126" i="8"/>
  <c r="P22" i="1"/>
  <c r="Q206" i="8"/>
  <c r="Q120" i="8"/>
  <c r="R114" i="8"/>
  <c r="R61" i="8"/>
  <c r="S61" i="8" s="1"/>
  <c r="P14" i="8"/>
  <c r="R139" i="8"/>
  <c r="R191" i="8"/>
  <c r="S191" i="8" s="1"/>
  <c r="P146" i="8"/>
  <c r="S146" i="8" s="1"/>
  <c r="P167" i="8"/>
  <c r="S167" i="8" s="1"/>
  <c r="P26" i="8"/>
  <c r="P194" i="8"/>
  <c r="Q32" i="8"/>
  <c r="Q39" i="8"/>
  <c r="Q157" i="8"/>
  <c r="Q130" i="8"/>
  <c r="Q126" i="8"/>
  <c r="Q141" i="8"/>
  <c r="Q37" i="8"/>
  <c r="Q174" i="8"/>
  <c r="Q26" i="8"/>
  <c r="Q44" i="8"/>
  <c r="R116" i="8"/>
  <c r="Q129" i="8"/>
  <c r="Q73" i="8"/>
  <c r="F12" i="7" s="1"/>
  <c r="AP12" i="7" s="1"/>
  <c r="Q136" i="8"/>
  <c r="Q33" i="8"/>
  <c r="Q31" i="8"/>
  <c r="Q128" i="8"/>
  <c r="Q187" i="8"/>
  <c r="Q124" i="8"/>
  <c r="Q118" i="8"/>
  <c r="Q29" i="8"/>
  <c r="Q191" i="8"/>
  <c r="Q41" i="8"/>
  <c r="R26" i="8"/>
  <c r="S26" i="8" s="1"/>
  <c r="R194" i="8"/>
  <c r="S194" i="8" s="1"/>
  <c r="Q131" i="8"/>
  <c r="Q64" i="8"/>
  <c r="Q28" i="8"/>
  <c r="Q115" i="8"/>
  <c r="Q54" i="8"/>
  <c r="Q36" i="8"/>
  <c r="Q106" i="8"/>
  <c r="N7" i="4"/>
  <c r="Q19" i="8"/>
  <c r="Q23" i="8"/>
  <c r="R22" i="8"/>
  <c r="S22" i="8" s="1"/>
  <c r="P126" i="8"/>
  <c r="S126" i="8" s="1"/>
  <c r="P62" i="8"/>
  <c r="R123" i="8"/>
  <c r="R174" i="8"/>
  <c r="S174" i="8" s="1"/>
  <c r="R132" i="8"/>
  <c r="R28" i="8"/>
  <c r="S28" i="8" s="1"/>
  <c r="R128" i="8"/>
  <c r="Q21" i="8"/>
  <c r="Q199" i="8"/>
  <c r="Q113" i="8"/>
  <c r="Q175" i="8"/>
  <c r="Q43" i="8"/>
  <c r="Q62" i="8"/>
  <c r="Q66" i="8"/>
  <c r="P173" i="8"/>
  <c r="R14" i="8"/>
  <c r="S14" i="8" s="1"/>
  <c r="R157" i="8"/>
  <c r="P86" i="8"/>
  <c r="P139" i="8"/>
  <c r="S139" i="8" s="1"/>
  <c r="P124" i="8"/>
  <c r="S124" i="8" s="1"/>
  <c r="P175" i="8"/>
  <c r="R62" i="8"/>
  <c r="S62" i="8" s="1"/>
  <c r="P202" i="8"/>
  <c r="Q42" i="8"/>
  <c r="Q35" i="8"/>
  <c r="Q146" i="8"/>
  <c r="Q159" i="8"/>
  <c r="P114" i="8"/>
  <c r="S114" i="8" s="1"/>
  <c r="R152" i="8"/>
  <c r="Q121" i="8"/>
  <c r="Q24" i="8"/>
  <c r="P121" i="8"/>
  <c r="S121" i="8" s="1"/>
  <c r="Q193" i="8"/>
  <c r="P61" i="8"/>
  <c r="P169" i="8"/>
  <c r="S169" i="8" s="1"/>
  <c r="P34" i="8"/>
  <c r="P216" i="1"/>
  <c r="Q56" i="8"/>
  <c r="Q135" i="8"/>
  <c r="R160" i="8"/>
  <c r="R25" i="8"/>
  <c r="S25" i="8" s="1"/>
  <c r="P159" i="8"/>
  <c r="S159" i="8" s="1"/>
  <c r="P115" i="8"/>
  <c r="S115" i="8" s="1"/>
  <c r="P160" i="8"/>
  <c r="S160" i="8" s="1"/>
  <c r="P17" i="8"/>
  <c r="P133" i="8"/>
  <c r="S133" i="8" s="1"/>
  <c r="P153" i="8"/>
  <c r="S153" i="8" s="1"/>
  <c r="P40" i="8"/>
  <c r="R176" i="8"/>
  <c r="S176" i="8" s="1"/>
  <c r="Q88" i="8"/>
  <c r="Q200" i="8"/>
  <c r="Q173" i="8"/>
  <c r="T39" i="7"/>
  <c r="T40" i="7" s="1"/>
  <c r="T56" i="7" s="1"/>
  <c r="Q107" i="8"/>
  <c r="R142" i="8"/>
  <c r="P142" i="8"/>
  <c r="S142" i="8" s="1"/>
  <c r="P27" i="8"/>
  <c r="Q119" i="8"/>
  <c r="R21" i="8"/>
  <c r="S21" i="8" s="1"/>
  <c r="P119" i="8"/>
  <c r="S119" i="8" s="1"/>
  <c r="R187" i="8"/>
  <c r="S187" i="8" s="1"/>
  <c r="Q55" i="8"/>
  <c r="R153" i="8"/>
  <c r="Q25" i="8"/>
  <c r="Q40" i="8"/>
  <c r="Q198" i="8"/>
  <c r="Q158" i="8"/>
  <c r="R162" i="8"/>
  <c r="R125" i="8"/>
  <c r="R163" i="8"/>
  <c r="R106" i="8"/>
  <c r="P88" i="8"/>
  <c r="Q117" i="8"/>
  <c r="Q17" i="8"/>
  <c r="Q22" i="8"/>
  <c r="Q205" i="8"/>
  <c r="R146" i="8"/>
  <c r="P118" i="8"/>
  <c r="S118" i="8" s="1"/>
  <c r="P25" i="8"/>
  <c r="R107" i="8"/>
  <c r="R158" i="8"/>
  <c r="P54" i="8"/>
  <c r="R206" i="8"/>
  <c r="S206" i="8" s="1"/>
  <c r="R204" i="8"/>
  <c r="S204" i="8" s="1"/>
  <c r="R166" i="8"/>
  <c r="P158" i="8"/>
  <c r="S158" i="8" s="1"/>
  <c r="P29" i="8"/>
  <c r="P56" i="8"/>
  <c r="R19" i="8"/>
  <c r="S19" i="8" s="1"/>
  <c r="R137" i="8"/>
  <c r="P19" i="8"/>
  <c r="P177" i="8"/>
  <c r="P141" i="8"/>
  <c r="S141" i="8" s="1"/>
  <c r="AS475" i="14"/>
  <c r="AT475" i="14" s="1"/>
  <c r="AQ372" i="14"/>
  <c r="AS372" i="14" s="1"/>
  <c r="AT372" i="14" s="1"/>
  <c r="AS115" i="14"/>
  <c r="AT115" i="14" s="1"/>
  <c r="AR535" i="14"/>
  <c r="AS535" i="14" s="1"/>
  <c r="AT535" i="14" s="1"/>
  <c r="AS292" i="14"/>
  <c r="AT292" i="14" s="1"/>
  <c r="AR259" i="14"/>
  <c r="AQ259" i="14"/>
  <c r="AQ123" i="14"/>
  <c r="AR123" i="14"/>
  <c r="AQ593" i="14"/>
  <c r="AQ607" i="14"/>
  <c r="AR494" i="14"/>
  <c r="AR425" i="14"/>
  <c r="AQ468" i="14"/>
  <c r="AR269" i="14"/>
  <c r="AQ283" i="14"/>
  <c r="AS283" i="14" s="1"/>
  <c r="AT283" i="14" s="1"/>
  <c r="AS462" i="14"/>
  <c r="AT462" i="14" s="1"/>
  <c r="AQ348" i="14"/>
  <c r="AS348" i="14" s="1"/>
  <c r="AT348" i="14" s="1"/>
  <c r="AS452" i="14"/>
  <c r="AT452" i="14" s="1"/>
  <c r="Q204" i="8"/>
  <c r="Q138" i="8"/>
  <c r="Q30" i="8"/>
  <c r="Q140" i="8"/>
  <c r="Q34" i="8"/>
  <c r="Q153" i="8"/>
  <c r="Q166" i="8"/>
  <c r="Q180" i="8"/>
  <c r="AQ370" i="14"/>
  <c r="AS370" i="14" s="1"/>
  <c r="AT370" i="14" s="1"/>
  <c r="AQ139" i="14"/>
  <c r="AS139" i="14" s="1"/>
  <c r="AT139" i="14" s="1"/>
  <c r="AQ30" i="14"/>
  <c r="AQ480" i="14"/>
  <c r="Q202" i="8"/>
  <c r="Q63" i="8"/>
  <c r="Q86" i="8"/>
  <c r="Q142" i="8"/>
  <c r="Q167" i="8"/>
  <c r="Q122" i="8"/>
  <c r="Q170" i="8"/>
  <c r="Q161" i="8"/>
  <c r="Q134" i="8"/>
  <c r="Q15" i="8"/>
  <c r="Q87" i="8"/>
  <c r="Q183" i="8"/>
  <c r="Q114" i="8"/>
  <c r="Q132" i="8"/>
  <c r="Q139" i="8"/>
  <c r="Q133" i="8"/>
  <c r="AQ57" i="14"/>
  <c r="AS57" i="14" s="1"/>
  <c r="AT57" i="14" s="1"/>
  <c r="AQ38" i="14"/>
  <c r="AR487" i="14"/>
  <c r="AQ21" i="14"/>
  <c r="AR21" i="14"/>
  <c r="AR45" i="14"/>
  <c r="AQ45" i="14"/>
  <c r="AQ508" i="14"/>
  <c r="AR227" i="14"/>
  <c r="AS227" i="14" s="1"/>
  <c r="AT227" i="14" s="1"/>
  <c r="AR268" i="14"/>
  <c r="AQ268" i="14"/>
  <c r="Q14" i="8"/>
  <c r="AR542" i="14"/>
  <c r="AS542" i="14" s="1"/>
  <c r="AT542" i="14" s="1"/>
  <c r="AR107" i="14"/>
  <c r="AS107" i="14" s="1"/>
  <c r="AT107" i="14" s="1"/>
  <c r="AR399" i="14"/>
  <c r="AQ399" i="14"/>
  <c r="AQ549" i="14"/>
  <c r="AQ265" i="14"/>
  <c r="AS265" i="14" s="1"/>
  <c r="AT265" i="14" s="1"/>
  <c r="AR164" i="14"/>
  <c r="AS164" i="14" s="1"/>
  <c r="AT164" i="14" s="1"/>
  <c r="AS268" i="14"/>
  <c r="AT268" i="14" s="1"/>
  <c r="AR95" i="14"/>
  <c r="AR16" i="14"/>
  <c r="AS16" i="14" s="1"/>
  <c r="AT16" i="14" s="1"/>
  <c r="AR278" i="14"/>
  <c r="AQ278" i="14"/>
  <c r="AS471" i="14"/>
  <c r="AT471" i="14" s="1"/>
  <c r="AQ471" i="14"/>
  <c r="AS465" i="14"/>
  <c r="AT465" i="14" s="1"/>
  <c r="AR465" i="14"/>
  <c r="AQ412" i="14"/>
  <c r="AQ360" i="14"/>
  <c r="AQ467" i="14"/>
  <c r="AQ274" i="14"/>
  <c r="AQ294" i="14"/>
  <c r="AS294" i="14" s="1"/>
  <c r="AT294" i="14" s="1"/>
  <c r="AS367" i="14"/>
  <c r="AT367" i="14" s="1"/>
  <c r="AQ115" i="14"/>
  <c r="AS34" i="14"/>
  <c r="AT34" i="14" s="1"/>
  <c r="AS95" i="14"/>
  <c r="AT95" i="14" s="1"/>
  <c r="AQ76" i="14"/>
  <c r="AS76" i="14" s="1"/>
  <c r="AT76" i="14" s="1"/>
  <c r="AS412" i="14"/>
  <c r="AT412" i="14" s="1"/>
  <c r="AQ407" i="14"/>
  <c r="AS407" i="14" s="1"/>
  <c r="AT407" i="14" s="1"/>
  <c r="AQ36" i="14"/>
  <c r="AR274" i="14"/>
  <c r="AS444" i="14"/>
  <c r="AT444" i="14" s="1"/>
  <c r="AR367" i="14"/>
  <c r="AR52" i="14"/>
  <c r="AQ441" i="14"/>
  <c r="AQ292" i="14"/>
  <c r="Q194" i="8"/>
  <c r="Q18" i="8"/>
  <c r="Q125" i="8"/>
  <c r="Q178" i="8"/>
  <c r="P73" i="4"/>
  <c r="R73" i="8"/>
  <c r="G12" i="7" s="1"/>
  <c r="AQ12" i="7" s="1"/>
  <c r="Q113" i="1"/>
  <c r="Q105" i="1"/>
  <c r="Q245" i="1"/>
  <c r="Q165" i="1"/>
  <c r="Q157" i="1"/>
  <c r="Q188" i="1"/>
  <c r="Q180" i="1"/>
  <c r="Q146" i="1"/>
  <c r="Q276" i="1"/>
  <c r="Q261" i="1"/>
  <c r="Q291" i="1"/>
  <c r="Q252" i="1"/>
  <c r="Q52" i="1"/>
  <c r="Q44" i="1"/>
  <c r="Q40" i="1"/>
  <c r="Q95" i="1"/>
  <c r="Q39" i="1"/>
  <c r="Q24" i="1"/>
  <c r="Q110" i="1"/>
  <c r="Q304" i="1"/>
  <c r="Q99" i="1"/>
  <c r="Q28" i="1"/>
  <c r="Q88" i="1"/>
  <c r="Q67" i="1"/>
  <c r="Q55" i="1"/>
  <c r="Q13" i="1"/>
  <c r="Q303" i="1"/>
  <c r="Q236" i="1"/>
  <c r="Q100" i="1"/>
  <c r="Q283" i="1"/>
  <c r="Q30" i="1"/>
  <c r="Q92" i="1"/>
  <c r="Q90" i="1"/>
  <c r="Q31" i="1"/>
  <c r="Q190" i="1"/>
  <c r="AL47" i="7"/>
  <c r="O64" i="4"/>
  <c r="O79" i="4" s="1"/>
  <c r="N79" i="4"/>
  <c r="N48" i="4"/>
  <c r="O24" i="4"/>
  <c r="O48" i="4" s="1"/>
  <c r="M48" i="4"/>
  <c r="O21" i="4"/>
  <c r="N21" i="4"/>
  <c r="C41" i="7"/>
  <c r="M79" i="4"/>
  <c r="D47" i="7" s="1"/>
  <c r="AN47" i="7" s="1"/>
  <c r="AR200" i="14"/>
  <c r="AQ200" i="14"/>
  <c r="AQ460" i="14"/>
  <c r="AS683" i="14"/>
  <c r="AT683" i="14" s="1"/>
  <c r="AQ683" i="14"/>
  <c r="AR237" i="14"/>
  <c r="AQ237" i="14"/>
  <c r="AQ524" i="14"/>
  <c r="AR524" i="14"/>
  <c r="AQ135" i="14"/>
  <c r="AR135" i="14"/>
  <c r="AQ442" i="14"/>
  <c r="AS628" i="14"/>
  <c r="AT628" i="14" s="1"/>
  <c r="AQ628" i="14"/>
  <c r="AR256" i="14"/>
  <c r="AQ256" i="14"/>
  <c r="AR591" i="14"/>
  <c r="AQ591" i="14"/>
  <c r="AS591" i="14"/>
  <c r="AT591" i="14" s="1"/>
  <c r="AS638" i="14"/>
  <c r="AT638" i="14" s="1"/>
  <c r="AR638" i="14"/>
  <c r="AR317" i="14"/>
  <c r="AS317" i="14" s="1"/>
  <c r="AT317" i="14" s="1"/>
  <c r="AQ642" i="14"/>
  <c r="AR680" i="14"/>
  <c r="AS680" i="14"/>
  <c r="AT680" i="14" s="1"/>
  <c r="AR607" i="14"/>
  <c r="AQ636" i="14"/>
  <c r="AR216" i="14"/>
  <c r="AQ216" i="14"/>
  <c r="AS572" i="14"/>
  <c r="AT572" i="14" s="1"/>
  <c r="AR572" i="14"/>
  <c r="AQ572" i="14"/>
  <c r="AQ456" i="14"/>
  <c r="AR396" i="14"/>
  <c r="AQ396" i="14"/>
  <c r="AR112" i="14"/>
  <c r="AS112" i="14"/>
  <c r="AT112" i="14" s="1"/>
  <c r="AQ208" i="14"/>
  <c r="AR208" i="14"/>
  <c r="AR636" i="14"/>
  <c r="AS456" i="14"/>
  <c r="AT456" i="14" s="1"/>
  <c r="AQ240" i="14"/>
  <c r="AR240" i="14"/>
  <c r="AR460" i="14"/>
  <c r="AQ56" i="14"/>
  <c r="AR56" i="14"/>
  <c r="AR74" i="14"/>
  <c r="AQ74" i="14"/>
  <c r="AR403" i="14"/>
  <c r="AS403" i="14"/>
  <c r="AT403" i="14" s="1"/>
  <c r="AQ403" i="14"/>
  <c r="AS507" i="14"/>
  <c r="AT507" i="14" s="1"/>
  <c r="AR643" i="14"/>
  <c r="AR504" i="14"/>
  <c r="AS468" i="14"/>
  <c r="AT468" i="14" s="1"/>
  <c r="AQ302" i="14"/>
  <c r="AS302" i="14" s="1"/>
  <c r="AT302" i="14" s="1"/>
  <c r="AQ352" i="14"/>
  <c r="AS352" i="14" s="1"/>
  <c r="AT352" i="14" s="1"/>
  <c r="AQ670" i="14"/>
  <c r="AR589" i="14"/>
  <c r="AQ641" i="14"/>
  <c r="AQ427" i="14"/>
  <c r="AQ425" i="14"/>
  <c r="AQ502" i="14"/>
  <c r="AQ380" i="14"/>
  <c r="AS464" i="14"/>
  <c r="AT464" i="14" s="1"/>
  <c r="AS504" i="14"/>
  <c r="AT504" i="14" s="1"/>
  <c r="AQ234" i="14"/>
  <c r="AS234" i="14" s="1"/>
  <c r="AT234" i="14" s="1"/>
  <c r="AR233" i="14"/>
  <c r="AS233" i="14" s="1"/>
  <c r="AT233" i="14" s="1"/>
  <c r="AQ79" i="14"/>
  <c r="AS79" i="14" s="1"/>
  <c r="AT79" i="14" s="1"/>
  <c r="Z18" i="7"/>
  <c r="AQ146" i="14"/>
  <c r="AQ42" i="14"/>
  <c r="AS42" i="14" s="1"/>
  <c r="AT42" i="14" s="1"/>
  <c r="AS172" i="14"/>
  <c r="AT172" i="14" s="1"/>
  <c r="AS610" i="14"/>
  <c r="AT610" i="14" s="1"/>
  <c r="AQ496" i="14"/>
  <c r="AQ204" i="14"/>
  <c r="AS204" i="14" s="1"/>
  <c r="AT204" i="14" s="1"/>
  <c r="AR670" i="14"/>
  <c r="AQ619" i="14"/>
  <c r="AS589" i="14"/>
  <c r="AT589" i="14" s="1"/>
  <c r="AS641" i="14"/>
  <c r="AT641" i="14" s="1"/>
  <c r="AQ544" i="14"/>
  <c r="AS427" i="14"/>
  <c r="AT427" i="14" s="1"/>
  <c r="AQ445" i="14"/>
  <c r="AR398" i="14"/>
  <c r="AS398" i="14" s="1"/>
  <c r="AT398" i="14" s="1"/>
  <c r="AS530" i="14"/>
  <c r="AT530" i="14" s="1"/>
  <c r="AR380" i="14"/>
  <c r="AQ393" i="14"/>
  <c r="AQ195" i="14"/>
  <c r="AS195" i="14" s="1"/>
  <c r="AT195" i="14" s="1"/>
  <c r="AR194" i="14"/>
  <c r="AS194" i="14" s="1"/>
  <c r="AT194" i="14" s="1"/>
  <c r="AQ177" i="14"/>
  <c r="AS177" i="14" s="1"/>
  <c r="AT177" i="14" s="1"/>
  <c r="AS188" i="14"/>
  <c r="AT188" i="14" s="1"/>
  <c r="AR102" i="14"/>
  <c r="AQ203" i="14"/>
  <c r="AS203" i="14" s="1"/>
  <c r="AT203" i="14" s="1"/>
  <c r="AQ655" i="14"/>
  <c r="AQ52" i="14"/>
  <c r="AR73" i="14"/>
  <c r="AS73" i="14" s="1"/>
  <c r="AT73" i="14" s="1"/>
  <c r="AR172" i="14"/>
  <c r="AQ551" i="14"/>
  <c r="AR94" i="14"/>
  <c r="AQ201" i="14"/>
  <c r="AS201" i="14" s="1"/>
  <c r="AT201" i="14" s="1"/>
  <c r="AR619" i="14"/>
  <c r="AS547" i="14"/>
  <c r="AT547" i="14" s="1"/>
  <c r="AQ465" i="14"/>
  <c r="AQ159" i="14"/>
  <c r="AS159" i="14" s="1"/>
  <c r="AT159" i="14" s="1"/>
  <c r="AQ67" i="14"/>
  <c r="AQ362" i="14"/>
  <c r="AS362" i="14" s="1"/>
  <c r="AT362" i="14" s="1"/>
  <c r="AR549" i="14"/>
  <c r="AQ68" i="14"/>
  <c r="AQ80" i="14"/>
  <c r="AS80" i="14" s="1"/>
  <c r="AT80" i="14" s="1"/>
  <c r="AQ638" i="14"/>
  <c r="AS675" i="14"/>
  <c r="AT675" i="14" s="1"/>
  <c r="AQ649" i="14"/>
  <c r="AR611" i="14"/>
  <c r="AQ518" i="14"/>
  <c r="AS518" i="14" s="1"/>
  <c r="AT518" i="14" s="1"/>
  <c r="AQ497" i="14"/>
  <c r="AS608" i="14"/>
  <c r="AT608" i="14" s="1"/>
  <c r="AQ132" i="14"/>
  <c r="AS132" i="14" s="1"/>
  <c r="AT132" i="14" s="1"/>
  <c r="AR332" i="14"/>
  <c r="AS332" i="14" s="1"/>
  <c r="AT332" i="14" s="1"/>
  <c r="AR260" i="14"/>
  <c r="AS260" i="14" s="1"/>
  <c r="AT260" i="14" s="1"/>
  <c r="AQ33" i="14"/>
  <c r="AR642" i="14"/>
  <c r="AR105" i="14"/>
  <c r="AS342" i="14"/>
  <c r="AT342" i="14" s="1"/>
  <c r="AR213" i="14"/>
  <c r="AQ81" i="14"/>
  <c r="AS81" i="14" s="1"/>
  <c r="AT81" i="14" s="1"/>
  <c r="AR30" i="14"/>
  <c r="AR99" i="14"/>
  <c r="AS424" i="14"/>
  <c r="AT424" i="14" s="1"/>
  <c r="AQ309" i="14"/>
  <c r="AS309" i="14" s="1"/>
  <c r="AT309" i="14" s="1"/>
  <c r="AR473" i="14"/>
  <c r="AS325" i="14"/>
  <c r="AT325" i="14" s="1"/>
  <c r="AS105" i="14"/>
  <c r="AT105" i="14" s="1"/>
  <c r="AR553" i="14"/>
  <c r="AS574" i="14"/>
  <c r="AT574" i="14" s="1"/>
  <c r="AR68" i="14"/>
  <c r="AR592" i="14"/>
  <c r="AS553" i="14"/>
  <c r="AT553" i="14" s="1"/>
  <c r="AR634" i="14"/>
  <c r="AQ385" i="14"/>
  <c r="AS634" i="14"/>
  <c r="AT634" i="14" s="1"/>
  <c r="AS449" i="14"/>
  <c r="AT449" i="14" s="1"/>
  <c r="AQ522" i="14"/>
  <c r="AR253" i="14"/>
  <c r="AS253" i="14" s="1"/>
  <c r="AT253" i="14" s="1"/>
  <c r="AR363" i="14"/>
  <c r="AS363" i="14" s="1"/>
  <c r="AT363" i="14" s="1"/>
  <c r="AR147" i="14"/>
  <c r="AQ587" i="14"/>
  <c r="AS587" i="14" s="1"/>
  <c r="AT587" i="14" s="1"/>
  <c r="AQ666" i="14"/>
  <c r="AR509" i="14"/>
  <c r="AS509" i="14" s="1"/>
  <c r="AT509" i="14" s="1"/>
  <c r="AR522" i="14"/>
  <c r="AR212" i="14"/>
  <c r="AS212" i="14" s="1"/>
  <c r="AT212" i="14" s="1"/>
  <c r="AR78" i="14"/>
  <c r="AS78" i="14" s="1"/>
  <c r="AT78" i="14" s="1"/>
  <c r="AR27" i="14"/>
  <c r="AS27" i="14" s="1"/>
  <c r="AT27" i="14" s="1"/>
  <c r="AQ97" i="14"/>
  <c r="AR598" i="14"/>
  <c r="AQ344" i="14"/>
  <c r="AS344" i="14" s="1"/>
  <c r="AT344" i="14" s="1"/>
  <c r="AQ64" i="14"/>
  <c r="AS64" i="14" s="1"/>
  <c r="AT64" i="14" s="1"/>
  <c r="AS598" i="14"/>
  <c r="AT598" i="14" s="1"/>
  <c r="AR475" i="14"/>
  <c r="AR101" i="14"/>
  <c r="AR325" i="14"/>
  <c r="AQ336" i="14"/>
  <c r="AS336" i="14" s="1"/>
  <c r="AT336" i="14" s="1"/>
  <c r="AR340" i="14"/>
  <c r="AS340" i="14" s="1"/>
  <c r="AT340" i="14" s="1"/>
  <c r="AQ99" i="14"/>
  <c r="AQ400" i="14"/>
  <c r="AS488" i="14"/>
  <c r="AT488" i="14" s="1"/>
  <c r="AS476" i="14"/>
  <c r="AT476" i="14" s="1"/>
  <c r="AR431" i="14"/>
  <c r="AR390" i="14"/>
  <c r="AR343" i="14"/>
  <c r="AS343" i="14" s="1"/>
  <c r="AT343" i="14" s="1"/>
  <c r="AR416" i="14"/>
  <c r="AS416" i="14" s="1"/>
  <c r="AT416" i="14" s="1"/>
  <c r="AQ470" i="14"/>
  <c r="AR263" i="14"/>
  <c r="AS263" i="14" s="1"/>
  <c r="AT263" i="14" s="1"/>
  <c r="AR210" i="14"/>
  <c r="AS210" i="14" s="1"/>
  <c r="AT210" i="14" s="1"/>
  <c r="AR35" i="14"/>
  <c r="AQ112" i="14"/>
  <c r="AQ424" i="14"/>
  <c r="AQ566" i="14"/>
  <c r="AS566" i="14" s="1"/>
  <c r="AT566" i="14" s="1"/>
  <c r="AQ94" i="14"/>
  <c r="AR679" i="14"/>
  <c r="AS563" i="14"/>
  <c r="AT563" i="14" s="1"/>
  <c r="AQ414" i="14"/>
  <c r="AQ431" i="14"/>
  <c r="AQ503" i="14"/>
  <c r="AQ390" i="14"/>
  <c r="AQ335" i="14"/>
  <c r="AS335" i="14" s="1"/>
  <c r="AT335" i="14" s="1"/>
  <c r="AR402" i="14"/>
  <c r="AS402" i="14" s="1"/>
  <c r="AT402" i="14" s="1"/>
  <c r="AR470" i="14"/>
  <c r="AR207" i="14"/>
  <c r="AS207" i="14" s="1"/>
  <c r="AT207" i="14" s="1"/>
  <c r="AS275" i="14"/>
  <c r="AT275" i="14" s="1"/>
  <c r="AS35" i="14"/>
  <c r="AT35" i="14" s="1"/>
  <c r="AQ679" i="14"/>
  <c r="AS400" i="14"/>
  <c r="AT400" i="14" s="1"/>
  <c r="AR301" i="14"/>
  <c r="AS301" i="14" s="1"/>
  <c r="AT301" i="14" s="1"/>
  <c r="AQ595" i="14"/>
  <c r="AR595" i="14"/>
  <c r="AR563" i="14"/>
  <c r="AR674" i="14"/>
  <c r="AQ384" i="14"/>
  <c r="AQ60" i="14"/>
  <c r="AS60" i="14" s="1"/>
  <c r="AT60" i="14" s="1"/>
  <c r="AQ70" i="14"/>
  <c r="AS70" i="14" s="1"/>
  <c r="AT70" i="14" s="1"/>
  <c r="AQ675" i="14"/>
  <c r="AQ645" i="14"/>
  <c r="AS384" i="14"/>
  <c r="AT384" i="14" s="1"/>
  <c r="AR270" i="14"/>
  <c r="AS270" i="14" s="1"/>
  <c r="AT270" i="14" s="1"/>
  <c r="AQ281" i="14"/>
  <c r="AS281" i="14" s="1"/>
  <c r="AT281" i="14" s="1"/>
  <c r="AQ401" i="14"/>
  <c r="AS401" i="14" s="1"/>
  <c r="AT401" i="14" s="1"/>
  <c r="AQ161" i="14"/>
  <c r="AS161" i="14" s="1"/>
  <c r="AT161" i="14" s="1"/>
  <c r="AR85" i="14"/>
  <c r="AS85" i="14" s="1"/>
  <c r="AT85" i="14" s="1"/>
  <c r="AQ106" i="14"/>
  <c r="AS106" i="14" s="1"/>
  <c r="AT106" i="14" s="1"/>
  <c r="AR612" i="14"/>
  <c r="AS404" i="14"/>
  <c r="AT404" i="14" s="1"/>
  <c r="AR658" i="14"/>
  <c r="AR645" i="14"/>
  <c r="AQ287" i="14"/>
  <c r="AS287" i="14" s="1"/>
  <c r="AT287" i="14" s="1"/>
  <c r="AQ279" i="14"/>
  <c r="AS279" i="14" s="1"/>
  <c r="AT279" i="14" s="1"/>
  <c r="AQ71" i="14"/>
  <c r="AS612" i="14"/>
  <c r="AT612" i="14" s="1"/>
  <c r="AS658" i="14"/>
  <c r="AT658" i="14" s="1"/>
  <c r="AQ469" i="14"/>
  <c r="AR498" i="14"/>
  <c r="AR62" i="14"/>
  <c r="AS62" i="14" s="1"/>
  <c r="AT62" i="14" s="1"/>
  <c r="AR71" i="14"/>
  <c r="AQ288" i="14"/>
  <c r="AS288" i="14" s="1"/>
  <c r="AT288" i="14" s="1"/>
  <c r="AS668" i="14"/>
  <c r="AT668" i="14" s="1"/>
  <c r="AQ592" i="14"/>
  <c r="AS605" i="14"/>
  <c r="AT605" i="14" s="1"/>
  <c r="AS498" i="14"/>
  <c r="AT498" i="14" s="1"/>
  <c r="AS186" i="14"/>
  <c r="AT186" i="14" s="1"/>
  <c r="AQ314" i="14"/>
  <c r="AS314" i="14" s="1"/>
  <c r="AT314" i="14" s="1"/>
  <c r="AQ454" i="14"/>
  <c r="AQ514" i="14"/>
  <c r="AS514" i="14" s="1"/>
  <c r="AT514" i="14" s="1"/>
  <c r="AS631" i="14"/>
  <c r="AT631" i="14" s="1"/>
  <c r="AQ668" i="14"/>
  <c r="AR555" i="14"/>
  <c r="AQ661" i="14"/>
  <c r="AS565" i="14"/>
  <c r="AT565" i="14" s="1"/>
  <c r="AQ529" i="14"/>
  <c r="AS529" i="14" s="1"/>
  <c r="AT529" i="14" s="1"/>
  <c r="AR491" i="14"/>
  <c r="AQ408" i="14"/>
  <c r="AS408" i="14" s="1"/>
  <c r="AT408" i="14" s="1"/>
  <c r="AR420" i="14"/>
  <c r="AR471" i="14"/>
  <c r="AS376" i="14"/>
  <c r="AT376" i="14" s="1"/>
  <c r="AS377" i="14"/>
  <c r="AT377" i="14" s="1"/>
  <c r="AR331" i="14"/>
  <c r="AS331" i="14" s="1"/>
  <c r="AT331" i="14" s="1"/>
  <c r="AR286" i="14"/>
  <c r="AQ321" i="14"/>
  <c r="AS321" i="14" s="1"/>
  <c r="AT321" i="14" s="1"/>
  <c r="AR154" i="14"/>
  <c r="AS154" i="14" s="1"/>
  <c r="AT154" i="14" s="1"/>
  <c r="AQ527" i="14"/>
  <c r="AS527" i="14" s="1"/>
  <c r="AT527" i="14" s="1"/>
  <c r="AQ108" i="14"/>
  <c r="AS108" i="14" s="1"/>
  <c r="AT108" i="14" s="1"/>
  <c r="AR439" i="14"/>
  <c r="AQ111" i="14"/>
  <c r="AS51" i="14"/>
  <c r="AT51" i="14" s="1"/>
  <c r="AQ90" i="14"/>
  <c r="AS90" i="14" s="1"/>
  <c r="AT90" i="14" s="1"/>
  <c r="AQ34" i="14"/>
  <c r="AS146" i="14"/>
  <c r="AT146" i="14" s="1"/>
  <c r="AR26" i="14"/>
  <c r="AS26" i="14" s="1"/>
  <c r="AT26" i="14" s="1"/>
  <c r="AS29" i="14"/>
  <c r="AT29" i="14" s="1"/>
  <c r="AR476" i="14"/>
  <c r="AQ574" i="14"/>
  <c r="AQ550" i="14"/>
  <c r="AQ637" i="14"/>
  <c r="AS637" i="14"/>
  <c r="AT637" i="14" s="1"/>
  <c r="AR637" i="14"/>
  <c r="AS491" i="14"/>
  <c r="AT491" i="14" s="1"/>
  <c r="AR547" i="14"/>
  <c r="AR218" i="14"/>
  <c r="AS218" i="14" s="1"/>
  <c r="AT218" i="14" s="1"/>
  <c r="AQ275" i="14"/>
  <c r="AR124" i="14"/>
  <c r="AS124" i="14" s="1"/>
  <c r="AT124" i="14" s="1"/>
  <c r="AQ69" i="14"/>
  <c r="AS69" i="14" s="1"/>
  <c r="AT69" i="14" s="1"/>
  <c r="AQ404" i="14"/>
  <c r="AQ140" i="14"/>
  <c r="AS140" i="14" s="1"/>
  <c r="AT140" i="14" s="1"/>
  <c r="AQ662" i="14"/>
  <c r="AS555" i="14"/>
  <c r="AT555" i="14" s="1"/>
  <c r="AQ519" i="14"/>
  <c r="AS519" i="14" s="1"/>
  <c r="AT519" i="14" s="1"/>
  <c r="AQ594" i="14"/>
  <c r="AR499" i="14"/>
  <c r="AR443" i="14"/>
  <c r="AR454" i="14"/>
  <c r="AR526" i="14"/>
  <c r="AS526" i="14" s="1"/>
  <c r="AT526" i="14" s="1"/>
  <c r="AR503" i="14"/>
  <c r="AQ395" i="14"/>
  <c r="AR417" i="14"/>
  <c r="AS417" i="14" s="1"/>
  <c r="AT417" i="14" s="1"/>
  <c r="AR229" i="14"/>
  <c r="AS229" i="14" s="1"/>
  <c r="AT229" i="14" s="1"/>
  <c r="AQ251" i="14"/>
  <c r="AQ214" i="14"/>
  <c r="AS214" i="14" s="1"/>
  <c r="AT214" i="14" s="1"/>
  <c r="AS114" i="14"/>
  <c r="AT114" i="14" s="1"/>
  <c r="AR246" i="14"/>
  <c r="AS246" i="14" s="1"/>
  <c r="AT246" i="14" s="1"/>
  <c r="AQ92" i="14"/>
  <c r="AQ75" i="14"/>
  <c r="AS75" i="14" s="1"/>
  <c r="AT75" i="14" s="1"/>
  <c r="AQ117" i="14"/>
  <c r="AS28" i="14"/>
  <c r="AT28" i="14" s="1"/>
  <c r="AS98" i="14"/>
  <c r="AT98" i="14" s="1"/>
  <c r="AR116" i="14"/>
  <c r="AQ286" i="14"/>
  <c r="AQ511" i="14"/>
  <c r="AS511" i="14" s="1"/>
  <c r="AT511" i="14" s="1"/>
  <c r="AR659" i="14"/>
  <c r="AQ635" i="14"/>
  <c r="AR635" i="14"/>
  <c r="AS662" i="14"/>
  <c r="AT662" i="14" s="1"/>
  <c r="AQ505" i="14"/>
  <c r="AR422" i="14"/>
  <c r="AS422" i="14" s="1"/>
  <c r="AT422" i="14" s="1"/>
  <c r="AR66" i="14"/>
  <c r="AR157" i="14"/>
  <c r="AS157" i="14" s="1"/>
  <c r="AT157" i="14" s="1"/>
  <c r="AR625" i="14"/>
  <c r="AQ120" i="14"/>
  <c r="AS120" i="14" s="1"/>
  <c r="AT120" i="14" s="1"/>
  <c r="AR181" i="14"/>
  <c r="AS181" i="14" s="1"/>
  <c r="AT181" i="14" s="1"/>
  <c r="AQ652" i="14"/>
  <c r="AR594" i="14"/>
  <c r="AS499" i="14"/>
  <c r="AT499" i="14" s="1"/>
  <c r="AQ599" i="14"/>
  <c r="AS479" i="14"/>
  <c r="AT479" i="14" s="1"/>
  <c r="AQ443" i="14"/>
  <c r="AR414" i="14"/>
  <c r="AR429" i="14"/>
  <c r="AS429" i="14" s="1"/>
  <c r="AT429" i="14" s="1"/>
  <c r="AS395" i="14"/>
  <c r="AT395" i="14" s="1"/>
  <c r="AS251" i="14"/>
  <c r="AT251" i="14" s="1"/>
  <c r="AS148" i="14"/>
  <c r="AT148" i="14" s="1"/>
  <c r="AQ102" i="14"/>
  <c r="AQ631" i="14"/>
  <c r="AR82" i="14"/>
  <c r="AS82" i="14" s="1"/>
  <c r="AT82" i="14" s="1"/>
  <c r="AR117" i="14"/>
  <c r="AQ185" i="14"/>
  <c r="AS97" i="14"/>
  <c r="AT97" i="14" s="1"/>
  <c r="AQ351" i="14"/>
  <c r="AS351" i="14" s="1"/>
  <c r="AT351" i="14" s="1"/>
  <c r="AS659" i="14"/>
  <c r="AT659" i="14" s="1"/>
  <c r="AR652" i="14"/>
  <c r="AR63" i="14"/>
  <c r="AS63" i="14" s="1"/>
  <c r="AT63" i="14" s="1"/>
  <c r="AQ46" i="14"/>
  <c r="AS46" i="14" s="1"/>
  <c r="AT46" i="14" s="1"/>
  <c r="AR72" i="14"/>
  <c r="AS72" i="14" s="1"/>
  <c r="AT72" i="14" s="1"/>
  <c r="AR15" i="14"/>
  <c r="AQ577" i="14"/>
  <c r="AS577" i="14"/>
  <c r="AT577" i="14" s="1"/>
  <c r="AR577" i="14"/>
  <c r="AQ438" i="14"/>
  <c r="AR505" i="14"/>
  <c r="AQ523" i="14"/>
  <c r="AS625" i="14"/>
  <c r="AT625" i="14" s="1"/>
  <c r="AS453" i="14"/>
  <c r="AT453" i="14" s="1"/>
  <c r="AR330" i="14"/>
  <c r="AS330" i="14" s="1"/>
  <c r="AT330" i="14" s="1"/>
  <c r="AQ77" i="14"/>
  <c r="AS77" i="14" s="1"/>
  <c r="AT77" i="14" s="1"/>
  <c r="AS581" i="14"/>
  <c r="AT581" i="14" s="1"/>
  <c r="AR453" i="14"/>
  <c r="AQ391" i="14"/>
  <c r="AQ379" i="14"/>
  <c r="AQ345" i="14"/>
  <c r="AS345" i="14" s="1"/>
  <c r="AT345" i="14" s="1"/>
  <c r="AQ495" i="14"/>
  <c r="AQ482" i="14"/>
  <c r="AR312" i="14"/>
  <c r="AS312" i="14" s="1"/>
  <c r="AT312" i="14" s="1"/>
  <c r="AQ101" i="14"/>
  <c r="AR520" i="14"/>
  <c r="AS520" i="14" s="1"/>
  <c r="AT520" i="14" s="1"/>
  <c r="AQ350" i="14"/>
  <c r="AS350" i="14" s="1"/>
  <c r="AT350" i="14" s="1"/>
  <c r="V33" i="7"/>
  <c r="V39" i="7" s="1"/>
  <c r="AQ39" i="14"/>
  <c r="AS39" i="14" s="1"/>
  <c r="AT39" i="14" s="1"/>
  <c r="AR209" i="14"/>
  <c r="AS209" i="14" s="1"/>
  <c r="AT209" i="14" s="1"/>
  <c r="AQ59" i="14"/>
  <c r="AS59" i="14" s="1"/>
  <c r="AT59" i="14" s="1"/>
  <c r="AQ15" i="14"/>
  <c r="AQ18" i="14"/>
  <c r="AQ158" i="14"/>
  <c r="AS158" i="14" s="1"/>
  <c r="AT158" i="14" s="1"/>
  <c r="AR523" i="14"/>
  <c r="AQ382" i="14"/>
  <c r="AQ581" i="14"/>
  <c r="AS602" i="14"/>
  <c r="AT602" i="14" s="1"/>
  <c r="AR661" i="14"/>
  <c r="AQ559" i="14"/>
  <c r="AR550" i="14"/>
  <c r="AR599" i="14"/>
  <c r="AR391" i="14"/>
  <c r="AQ528" i="14"/>
  <c r="AS528" i="14" s="1"/>
  <c r="AT528" i="14" s="1"/>
  <c r="AS379" i="14"/>
  <c r="AT379" i="14" s="1"/>
  <c r="AR495" i="14"/>
  <c r="AR482" i="14"/>
  <c r="AQ413" i="14"/>
  <c r="AQ166" i="14"/>
  <c r="AS166" i="14" s="1"/>
  <c r="AT166" i="14" s="1"/>
  <c r="AL39" i="7"/>
  <c r="AQ51" i="14"/>
  <c r="AQ141" i="14"/>
  <c r="AS141" i="14" s="1"/>
  <c r="AT141" i="14" s="1"/>
  <c r="AQ29" i="14"/>
  <c r="AQ650" i="14"/>
  <c r="AS142" i="14"/>
  <c r="AT142" i="14" s="1"/>
  <c r="AQ254" i="14"/>
  <c r="AS254" i="14" s="1"/>
  <c r="AT254" i="14" s="1"/>
  <c r="AR389" i="14"/>
  <c r="AS389" i="14"/>
  <c r="AT389" i="14" s="1"/>
  <c r="AR602" i="14"/>
  <c r="AS559" i="14"/>
  <c r="AT559" i="14" s="1"/>
  <c r="AS413" i="14"/>
  <c r="AT413" i="14" s="1"/>
  <c r="AQ66" i="14"/>
  <c r="AS439" i="14"/>
  <c r="AT439" i="14" s="1"/>
  <c r="AQ114" i="14"/>
  <c r="AR100" i="14"/>
  <c r="AR142" i="14"/>
  <c r="AQ53" i="14"/>
  <c r="AS53" i="14" s="1"/>
  <c r="AT53" i="14" s="1"/>
  <c r="AS346" i="14"/>
  <c r="AT346" i="14" s="1"/>
  <c r="AQ346" i="14"/>
  <c r="AR346" i="14"/>
  <c r="AQ578" i="14"/>
  <c r="AS681" i="14"/>
  <c r="AT681" i="14" s="1"/>
  <c r="AS455" i="14"/>
  <c r="AT455" i="14" s="1"/>
  <c r="AS388" i="14"/>
  <c r="AT388" i="14" s="1"/>
  <c r="AQ347" i="14"/>
  <c r="AS347" i="14" s="1"/>
  <c r="AT347" i="14" s="1"/>
  <c r="AR329" i="14"/>
  <c r="AS329" i="14" s="1"/>
  <c r="AT329" i="14" s="1"/>
  <c r="AQ257" i="14"/>
  <c r="AS257" i="14" s="1"/>
  <c r="AT257" i="14" s="1"/>
  <c r="AR478" i="14"/>
  <c r="AR28" i="14"/>
  <c r="AR683" i="14"/>
  <c r="AR326" i="14"/>
  <c r="AS326" i="14" s="1"/>
  <c r="AT326" i="14" s="1"/>
  <c r="AQ455" i="14"/>
  <c r="AR366" i="14"/>
  <c r="AQ337" i="14"/>
  <c r="AS337" i="14" s="1"/>
  <c r="AT337" i="14" s="1"/>
  <c r="AS478" i="14"/>
  <c r="AT478" i="14" s="1"/>
  <c r="AQ224" i="14"/>
  <c r="AS224" i="14" s="1"/>
  <c r="AT224" i="14" s="1"/>
  <c r="AR304" i="14"/>
  <c r="AQ304" i="14"/>
  <c r="AS304" i="14"/>
  <c r="AT304" i="14" s="1"/>
  <c r="AQ530" i="14"/>
  <c r="AQ576" i="14"/>
  <c r="AQ430" i="14"/>
  <c r="AS277" i="14"/>
  <c r="AT277" i="14" s="1"/>
  <c r="AR606" i="14"/>
  <c r="AS446" i="14"/>
  <c r="AT446" i="14" s="1"/>
  <c r="AQ366" i="14"/>
  <c r="AQ220" i="14"/>
  <c r="AS220" i="14" s="1"/>
  <c r="AT220" i="14" s="1"/>
  <c r="AQ225" i="14"/>
  <c r="AQ387" i="14"/>
  <c r="AQ109" i="14"/>
  <c r="AS109" i="14" s="1"/>
  <c r="AT109" i="14" s="1"/>
  <c r="AS49" i="14"/>
  <c r="AT49" i="14" s="1"/>
  <c r="AQ222" i="14"/>
  <c r="AS222" i="14" s="1"/>
  <c r="AT222" i="14" s="1"/>
  <c r="AQ215" i="14"/>
  <c r="AR215" i="14"/>
  <c r="AR541" i="14"/>
  <c r="AS541" i="14" s="1"/>
  <c r="AT541" i="14" s="1"/>
  <c r="AR446" i="14"/>
  <c r="AR421" i="14"/>
  <c r="AR430" i="14"/>
  <c r="AQ568" i="14"/>
  <c r="AR676" i="14"/>
  <c r="AQ548" i="14"/>
  <c r="AQ284" i="14"/>
  <c r="AS284" i="14" s="1"/>
  <c r="AT284" i="14" s="1"/>
  <c r="AQ381" i="14"/>
  <c r="AQ444" i="14"/>
  <c r="AR225" i="14"/>
  <c r="AR190" i="14"/>
  <c r="AS190" i="14" s="1"/>
  <c r="AT190" i="14" s="1"/>
  <c r="AR387" i="14"/>
  <c r="AQ129" i="14"/>
  <c r="AS129" i="14" s="1"/>
  <c r="AT129" i="14" s="1"/>
  <c r="AQ49" i="14"/>
  <c r="AQ435" i="14"/>
  <c r="AS435" i="14" s="1"/>
  <c r="AT435" i="14" s="1"/>
  <c r="AR534" i="14"/>
  <c r="AR568" i="14"/>
  <c r="AQ324" i="14"/>
  <c r="AS324" i="14" s="1"/>
  <c r="AT324" i="14" s="1"/>
  <c r="AQ298" i="14"/>
  <c r="AQ219" i="14"/>
  <c r="AQ168" i="14"/>
  <c r="AQ178" i="14"/>
  <c r="AS178" i="14" s="1"/>
  <c r="AT178" i="14" s="1"/>
  <c r="AS578" i="14"/>
  <c r="AT578" i="14" s="1"/>
  <c r="AS437" i="14"/>
  <c r="AT437" i="14" s="1"/>
  <c r="AQ437" i="14"/>
  <c r="AR576" i="14"/>
  <c r="AQ534" i="14"/>
  <c r="AS548" i="14"/>
  <c r="AT548" i="14" s="1"/>
  <c r="AQ669" i="14"/>
  <c r="AR586" i="14"/>
  <c r="AS586" i="14" s="1"/>
  <c r="AT586" i="14" s="1"/>
  <c r="AR415" i="14"/>
  <c r="AS415" i="14" s="1"/>
  <c r="AT415" i="14" s="1"/>
  <c r="AS421" i="14"/>
  <c r="AT421" i="14" s="1"/>
  <c r="AQ461" i="14"/>
  <c r="AR303" i="14"/>
  <c r="AS303" i="14" s="1"/>
  <c r="AT303" i="14" s="1"/>
  <c r="AS560" i="14"/>
  <c r="AT560" i="14" s="1"/>
  <c r="AR277" i="14"/>
  <c r="AQ394" i="14"/>
  <c r="AQ148" i="14"/>
  <c r="AR199" i="14"/>
  <c r="AS199" i="14" s="1"/>
  <c r="AT199" i="14" s="1"/>
  <c r="AR219" i="14"/>
  <c r="AQ235" i="14"/>
  <c r="AS235" i="14" s="1"/>
  <c r="AT235" i="14" s="1"/>
  <c r="AR168" i="14"/>
  <c r="AR185" i="14"/>
  <c r="AQ65" i="14"/>
  <c r="AR150" i="14"/>
  <c r="AR18" i="14"/>
  <c r="AS467" i="14"/>
  <c r="AT467" i="14" s="1"/>
  <c r="AS590" i="14"/>
  <c r="AT590" i="14" s="1"/>
  <c r="AR669" i="14"/>
  <c r="AQ485" i="14"/>
  <c r="AQ546" i="14"/>
  <c r="AS461" i="14"/>
  <c r="AT461" i="14" s="1"/>
  <c r="AQ538" i="14"/>
  <c r="AS538" i="14" s="1"/>
  <c r="AT538" i="14" s="1"/>
  <c r="AR272" i="14"/>
  <c r="AS272" i="14" s="1"/>
  <c r="AT272" i="14" s="1"/>
  <c r="AQ506" i="14"/>
  <c r="AR394" i="14"/>
  <c r="AQ130" i="14"/>
  <c r="AS130" i="14" s="1"/>
  <c r="AT130" i="14" s="1"/>
  <c r="AQ533" i="14"/>
  <c r="AR111" i="14"/>
  <c r="AQ23" i="14"/>
  <c r="AS23" i="14" s="1"/>
  <c r="AT23" i="14" s="1"/>
  <c r="AR65" i="14"/>
  <c r="AQ150" i="14"/>
  <c r="AR485" i="14"/>
  <c r="AQ674" i="14"/>
  <c r="AS546" i="14"/>
  <c r="AT546" i="14" s="1"/>
  <c r="AQ464" i="14"/>
  <c r="AR506" i="14"/>
  <c r="AR252" i="14"/>
  <c r="AS252" i="14" s="1"/>
  <c r="AT252" i="14" s="1"/>
  <c r="AR217" i="14"/>
  <c r="AS217" i="14" s="1"/>
  <c r="AT217" i="14" s="1"/>
  <c r="AS533" i="14"/>
  <c r="AT533" i="14" s="1"/>
  <c r="AR437" i="14"/>
  <c r="AQ487" i="14"/>
  <c r="AQ419" i="14"/>
  <c r="AS419" i="14"/>
  <c r="AT419" i="14" s="1"/>
  <c r="AQ590" i="14"/>
  <c r="AQ606" i="14"/>
  <c r="AQ232" i="14"/>
  <c r="AS232" i="14" s="1"/>
  <c r="AT232" i="14" s="1"/>
  <c r="AQ147" i="14"/>
  <c r="AR672" i="14"/>
  <c r="AQ672" i="14"/>
  <c r="AS672" i="14"/>
  <c r="AT672" i="14" s="1"/>
  <c r="AQ405" i="14"/>
  <c r="AR405" i="14"/>
  <c r="AQ383" i="14"/>
  <c r="AS383" i="14"/>
  <c r="AT383" i="14" s="1"/>
  <c r="AR673" i="14"/>
  <c r="AR502" i="14"/>
  <c r="AQ406" i="14"/>
  <c r="AS243" i="14"/>
  <c r="AT243" i="14" s="1"/>
  <c r="AQ531" i="14"/>
  <c r="AR24" i="14"/>
  <c r="AS24" i="14" s="1"/>
  <c r="AT24" i="14" s="1"/>
  <c r="AQ122" i="14"/>
  <c r="AS122" i="14" s="1"/>
  <c r="AT122" i="14" s="1"/>
  <c r="AQ613" i="14"/>
  <c r="AR613" i="14"/>
  <c r="AR614" i="14"/>
  <c r="AS614" i="14"/>
  <c r="AT614" i="14" s="1"/>
  <c r="AQ614" i="14"/>
  <c r="AQ86" i="14"/>
  <c r="AS86" i="14" s="1"/>
  <c r="AT86" i="14" s="1"/>
  <c r="AS613" i="14"/>
  <c r="AT613" i="14" s="1"/>
  <c r="AS673" i="14"/>
  <c r="AT673" i="14" s="1"/>
  <c r="AQ676" i="14"/>
  <c r="AS508" i="14"/>
  <c r="AT508" i="14" s="1"/>
  <c r="AQ560" i="14"/>
  <c r="AS406" i="14"/>
  <c r="AT406" i="14" s="1"/>
  <c r="AQ291" i="14"/>
  <c r="AS226" i="14"/>
  <c r="AT226" i="14" s="1"/>
  <c r="AQ188" i="14"/>
  <c r="AR531" i="14"/>
  <c r="AR306" i="14"/>
  <c r="AS306" i="14" s="1"/>
  <c r="AT306" i="14" s="1"/>
  <c r="AQ144" i="14"/>
  <c r="AQ32" i="14"/>
  <c r="AQ116" i="14"/>
  <c r="AS397" i="14"/>
  <c r="AT397" i="14" s="1"/>
  <c r="AR397" i="14"/>
  <c r="AQ397" i="14"/>
  <c r="AS291" i="14"/>
  <c r="AT291" i="14" s="1"/>
  <c r="AR32" i="14"/>
  <c r="AS646" i="14"/>
  <c r="AT646" i="14" s="1"/>
  <c r="AR646" i="14"/>
  <c r="AQ646" i="14"/>
  <c r="AS466" i="14"/>
  <c r="AT466" i="14" s="1"/>
  <c r="AR466" i="14"/>
  <c r="AQ466" i="14"/>
  <c r="AQ493" i="14"/>
  <c r="AS493" i="14"/>
  <c r="AT493" i="14" s="1"/>
  <c r="AQ226" i="14"/>
  <c r="AQ50" i="14"/>
  <c r="AR671" i="14"/>
  <c r="AR501" i="14"/>
  <c r="AQ392" i="14"/>
  <c r="AR532" i="14"/>
  <c r="AR327" i="14"/>
  <c r="AS327" i="14" s="1"/>
  <c r="AT327" i="14" s="1"/>
  <c r="AR381" i="14"/>
  <c r="AS411" i="14"/>
  <c r="AT411" i="14" s="1"/>
  <c r="AQ305" i="14"/>
  <c r="AQ231" i="14"/>
  <c r="AS231" i="14" s="1"/>
  <c r="AT231" i="14" s="1"/>
  <c r="AR358" i="14"/>
  <c r="AR223" i="14"/>
  <c r="AS223" i="14" s="1"/>
  <c r="AT223" i="14" s="1"/>
  <c r="AR258" i="14"/>
  <c r="AS258" i="14" s="1"/>
  <c r="AT258" i="14" s="1"/>
  <c r="AR88" i="14"/>
  <c r="AS88" i="14" s="1"/>
  <c r="AT88" i="14" s="1"/>
  <c r="AR50" i="14"/>
  <c r="AR104" i="14"/>
  <c r="AS320" i="14"/>
  <c r="AT320" i="14" s="1"/>
  <c r="AR320" i="14"/>
  <c r="AR616" i="14"/>
  <c r="AS671" i="14"/>
  <c r="AT671" i="14" s="1"/>
  <c r="AQ356" i="14"/>
  <c r="AS356" i="14" s="1"/>
  <c r="AT356" i="14" s="1"/>
  <c r="AQ501" i="14"/>
  <c r="AQ605" i="14"/>
  <c r="AQ388" i="14"/>
  <c r="AS392" i="14"/>
  <c r="AT392" i="14" s="1"/>
  <c r="AS532" i="14"/>
  <c r="AT532" i="14" s="1"/>
  <c r="AQ290" i="14"/>
  <c r="AS290" i="14" s="1"/>
  <c r="AT290" i="14" s="1"/>
  <c r="AQ358" i="14"/>
  <c r="AR298" i="14"/>
  <c r="AS338" i="14"/>
  <c r="AT338" i="14" s="1"/>
  <c r="AQ462" i="14"/>
  <c r="AQ149" i="14"/>
  <c r="AQ171" i="14"/>
  <c r="AR89" i="14"/>
  <c r="AS89" i="14" s="1"/>
  <c r="AT89" i="14" s="1"/>
  <c r="AQ162" i="14"/>
  <c r="AS162" i="14" s="1"/>
  <c r="AT162" i="14" s="1"/>
  <c r="AS104" i="14"/>
  <c r="AT104" i="14" s="1"/>
  <c r="AQ561" i="14"/>
  <c r="AS561" i="14" s="1"/>
  <c r="AT561" i="14" s="1"/>
  <c r="AQ364" i="14"/>
  <c r="AS364" i="14"/>
  <c r="AT364" i="14" s="1"/>
  <c r="AR411" i="14"/>
  <c r="AR316" i="14"/>
  <c r="AS316" i="14" s="1"/>
  <c r="AT316" i="14" s="1"/>
  <c r="AQ558" i="14"/>
  <c r="AQ176" i="14"/>
  <c r="AS176" i="14" s="1"/>
  <c r="AT176" i="14" s="1"/>
  <c r="AR149" i="14"/>
  <c r="AQ19" i="14"/>
  <c r="AS539" i="14"/>
  <c r="AT539" i="14" s="1"/>
  <c r="AQ539" i="14"/>
  <c r="AR244" i="14"/>
  <c r="AQ244" i="14"/>
  <c r="AS564" i="14"/>
  <c r="AT564" i="14" s="1"/>
  <c r="AR564" i="14"/>
  <c r="AQ564" i="14"/>
  <c r="AR493" i="14"/>
  <c r="AR354" i="14"/>
  <c r="AS354" i="14" s="1"/>
  <c r="AT354" i="14" s="1"/>
  <c r="AQ83" i="14"/>
  <c r="AR19" i="14"/>
  <c r="AR626" i="14"/>
  <c r="AQ626" i="14"/>
  <c r="AR163" i="14"/>
  <c r="AQ163" i="14"/>
  <c r="AS588" i="14"/>
  <c r="AT588" i="14" s="1"/>
  <c r="AR588" i="14"/>
  <c r="AQ588" i="14"/>
  <c r="AQ451" i="14"/>
  <c r="Z47" i="7"/>
  <c r="AR83" i="14"/>
  <c r="AQ25" i="14"/>
  <c r="AS25" i="14" s="1"/>
  <c r="AT25" i="14" s="1"/>
  <c r="AQ276" i="14"/>
  <c r="AR276" i="14"/>
  <c r="AS276" i="14"/>
  <c r="AT276" i="14" s="1"/>
  <c r="AS151" i="14"/>
  <c r="AT151" i="14" s="1"/>
  <c r="AQ151" i="14"/>
  <c r="AR310" i="14"/>
  <c r="AQ310" i="14"/>
  <c r="AS118" i="14"/>
  <c r="AT118" i="14" s="1"/>
  <c r="AR118" i="14"/>
  <c r="AQ118" i="14"/>
  <c r="AQ152" i="14"/>
  <c r="AS152" i="14" s="1"/>
  <c r="AT152" i="14" s="1"/>
  <c r="AQ601" i="14"/>
  <c r="AS601" i="14"/>
  <c r="AT601" i="14" s="1"/>
  <c r="AR601" i="14"/>
  <c r="AR490" i="14"/>
  <c r="AS490" i="14"/>
  <c r="AT490" i="14" s="1"/>
  <c r="AQ490" i="14"/>
  <c r="AS660" i="14"/>
  <c r="AT660" i="14" s="1"/>
  <c r="AR660" i="14"/>
  <c r="AQ660" i="14"/>
  <c r="AQ583" i="14"/>
  <c r="AQ608" i="14"/>
  <c r="AS451" i="14"/>
  <c r="AT451" i="14" s="1"/>
  <c r="AR438" i="14"/>
  <c r="AS622" i="14"/>
  <c r="AT622" i="14" s="1"/>
  <c r="AR622" i="14"/>
  <c r="AQ622" i="14"/>
  <c r="AS500" i="14"/>
  <c r="AT500" i="14" s="1"/>
  <c r="AR500" i="14"/>
  <c r="AQ500" i="14"/>
  <c r="AS423" i="14"/>
  <c r="AT423" i="14" s="1"/>
  <c r="AR423" i="14"/>
  <c r="AQ423" i="14"/>
  <c r="AR285" i="14"/>
  <c r="AQ285" i="14"/>
  <c r="AQ280" i="14"/>
  <c r="AR280" i="14"/>
  <c r="AR125" i="14"/>
  <c r="AQ125" i="14"/>
  <c r="AQ579" i="14"/>
  <c r="AS579" i="14"/>
  <c r="AT579" i="14" s="1"/>
  <c r="AR579" i="14"/>
  <c r="AR341" i="14"/>
  <c r="AQ341" i="14"/>
  <c r="AR110" i="14"/>
  <c r="AQ110" i="14"/>
  <c r="AS629" i="14"/>
  <c r="AT629" i="14" s="1"/>
  <c r="AR629" i="14"/>
  <c r="AQ629" i="14"/>
  <c r="AS617" i="14"/>
  <c r="AT617" i="14" s="1"/>
  <c r="AR617" i="14"/>
  <c r="AQ617" i="14"/>
  <c r="AS365" i="14"/>
  <c r="AT365" i="14" s="1"/>
  <c r="AR365" i="14"/>
  <c r="AQ365" i="14"/>
  <c r="AQ293" i="14"/>
  <c r="AR293" i="14"/>
  <c r="AS293" i="14"/>
  <c r="AT293" i="14" s="1"/>
  <c r="AR323" i="14"/>
  <c r="AQ323" i="14"/>
  <c r="AN35" i="7"/>
  <c r="Z35" i="7"/>
  <c r="AR339" i="14"/>
  <c r="AQ339" i="14"/>
  <c r="AQ489" i="14"/>
  <c r="AS489" i="14"/>
  <c r="AT489" i="14" s="1"/>
  <c r="AR489" i="14"/>
  <c r="AR409" i="14"/>
  <c r="AQ409" i="14"/>
  <c r="AR192" i="14"/>
  <c r="AQ192" i="14"/>
  <c r="AS486" i="14"/>
  <c r="AT486" i="14" s="1"/>
  <c r="AR486" i="14"/>
  <c r="AQ486" i="14"/>
  <c r="AR179" i="14"/>
  <c r="AQ179" i="14"/>
  <c r="AS179" i="14"/>
  <c r="AT179" i="14" s="1"/>
  <c r="AR552" i="14"/>
  <c r="AQ552" i="14"/>
  <c r="AQ458" i="14"/>
  <c r="AS458" i="14"/>
  <c r="AT458" i="14" s="1"/>
  <c r="AR458" i="14"/>
  <c r="AR481" i="14"/>
  <c r="AQ481" i="14"/>
  <c r="AS481" i="14"/>
  <c r="AT481" i="14" s="1"/>
  <c r="AQ299" i="14"/>
  <c r="AR299" i="14"/>
  <c r="AS299" i="14"/>
  <c r="AT299" i="14" s="1"/>
  <c r="AR267" i="14"/>
  <c r="AQ267" i="14"/>
  <c r="AS184" i="14"/>
  <c r="AT184" i="14" s="1"/>
  <c r="AR184" i="14"/>
  <c r="AQ184" i="14"/>
  <c r="AQ103" i="14"/>
  <c r="AS103" i="14"/>
  <c r="AT103" i="14" s="1"/>
  <c r="AR103" i="14"/>
  <c r="AN29" i="7"/>
  <c r="Z29" i="7"/>
  <c r="AS477" i="14"/>
  <c r="AT477" i="14" s="1"/>
  <c r="AR477" i="14"/>
  <c r="AQ477" i="14"/>
  <c r="AQ143" i="14"/>
  <c r="AR143" i="14"/>
  <c r="AS143" i="14"/>
  <c r="AT143" i="14" s="1"/>
  <c r="AQ127" i="14"/>
  <c r="AR127" i="14"/>
  <c r="W25" i="7"/>
  <c r="AN22" i="7"/>
  <c r="Z22" i="7"/>
  <c r="AR22" i="7" s="1"/>
  <c r="AR322" i="14"/>
  <c r="AQ322" i="14"/>
  <c r="AR133" i="14"/>
  <c r="AQ133" i="14"/>
  <c r="AR262" i="14"/>
  <c r="AQ262" i="14"/>
  <c r="AQ221" i="14"/>
  <c r="AR221" i="14"/>
  <c r="AR640" i="14"/>
  <c r="AQ640" i="14"/>
  <c r="AS640" i="14"/>
  <c r="AT640" i="14" s="1"/>
  <c r="AR664" i="14"/>
  <c r="AQ664" i="14"/>
  <c r="AS664" i="14"/>
  <c r="AT664" i="14" s="1"/>
  <c r="AQ447" i="14"/>
  <c r="AR447" i="14"/>
  <c r="AS447" i="14"/>
  <c r="AT447" i="14" s="1"/>
  <c r="AQ248" i="14"/>
  <c r="AR248" i="14"/>
  <c r="AR369" i="14"/>
  <c r="AQ369" i="14"/>
  <c r="AS369" i="14"/>
  <c r="AT369" i="14" s="1"/>
  <c r="AQ313" i="14"/>
  <c r="AS313" i="14"/>
  <c r="AT313" i="14" s="1"/>
  <c r="AR313" i="14"/>
  <c r="AR155" i="14"/>
  <c r="AQ155" i="14"/>
  <c r="AQ96" i="14"/>
  <c r="AS96" i="14"/>
  <c r="AT96" i="14" s="1"/>
  <c r="AR96" i="14"/>
  <c r="AN16" i="7"/>
  <c r="Z16" i="7"/>
  <c r="Z31" i="7"/>
  <c r="Y24" i="7"/>
  <c r="AS569" i="14"/>
  <c r="AT569" i="14" s="1"/>
  <c r="AR569" i="14"/>
  <c r="AQ569" i="14"/>
  <c r="AS440" i="14"/>
  <c r="AT440" i="14" s="1"/>
  <c r="AR440" i="14"/>
  <c r="AQ440" i="14"/>
  <c r="AR250" i="14"/>
  <c r="AQ250" i="14"/>
  <c r="AR167" i="14"/>
  <c r="AQ167" i="14"/>
  <c r="T25" i="7"/>
  <c r="Z20" i="7"/>
  <c r="AQ603" i="14"/>
  <c r="AS603" i="14"/>
  <c r="AT603" i="14" s="1"/>
  <c r="AR603" i="14"/>
  <c r="AR554" i="14"/>
  <c r="AS554" i="14"/>
  <c r="AT554" i="14" s="1"/>
  <c r="AQ554" i="14"/>
  <c r="AR273" i="14"/>
  <c r="AQ273" i="14"/>
  <c r="AQ512" i="14"/>
  <c r="AR512" i="14"/>
  <c r="AR255" i="14"/>
  <c r="AQ255" i="14"/>
  <c r="AQ282" i="14"/>
  <c r="AR282" i="14"/>
  <c r="AQ87" i="14"/>
  <c r="AR87" i="14"/>
  <c r="AR183" i="14"/>
  <c r="AS183" i="14"/>
  <c r="AT183" i="14" s="1"/>
  <c r="AQ183" i="14"/>
  <c r="AN12" i="7"/>
  <c r="Z12" i="7"/>
  <c r="AQ663" i="14"/>
  <c r="AS663" i="14"/>
  <c r="AT663" i="14" s="1"/>
  <c r="AR663" i="14"/>
  <c r="AR580" i="14"/>
  <c r="AQ580" i="14"/>
  <c r="AS580" i="14"/>
  <c r="AT580" i="14" s="1"/>
  <c r="AQ615" i="14"/>
  <c r="AS615" i="14"/>
  <c r="AT615" i="14" s="1"/>
  <c r="AR615" i="14"/>
  <c r="AS457" i="14"/>
  <c r="AT457" i="14" s="1"/>
  <c r="AR457" i="14"/>
  <c r="AQ457" i="14"/>
  <c r="AR386" i="14"/>
  <c r="AQ386" i="14"/>
  <c r="AR357" i="14"/>
  <c r="AQ357" i="14"/>
  <c r="AS169" i="14"/>
  <c r="AT169" i="14" s="1"/>
  <c r="AR169" i="14"/>
  <c r="AQ169" i="14"/>
  <c r="AQ187" i="14"/>
  <c r="AS187" i="14"/>
  <c r="AT187" i="14" s="1"/>
  <c r="AR187" i="14"/>
  <c r="AS93" i="14"/>
  <c r="AT93" i="14" s="1"/>
  <c r="AR93" i="14"/>
  <c r="AQ93" i="14"/>
  <c r="AQ170" i="14"/>
  <c r="AS170" i="14"/>
  <c r="AT170" i="14" s="1"/>
  <c r="AR170" i="14"/>
  <c r="AS536" i="14"/>
  <c r="AT536" i="14" s="1"/>
  <c r="AR536" i="14"/>
  <c r="AQ536" i="14"/>
  <c r="AR353" i="14"/>
  <c r="AQ353" i="14"/>
  <c r="AQ450" i="14"/>
  <c r="AS450" i="14"/>
  <c r="AT450" i="14" s="1"/>
  <c r="AR450" i="14"/>
  <c r="AR540" i="14"/>
  <c r="AQ540" i="14"/>
  <c r="AR266" i="14"/>
  <c r="AQ266" i="14"/>
  <c r="Z14" i="7"/>
  <c r="AQ627" i="14"/>
  <c r="AS627" i="14"/>
  <c r="AT627" i="14" s="1"/>
  <c r="AR627" i="14"/>
  <c r="AQ378" i="14"/>
  <c r="AS378" i="14"/>
  <c r="AT378" i="14" s="1"/>
  <c r="AR378" i="14"/>
  <c r="AR433" i="14"/>
  <c r="AQ433" i="14"/>
  <c r="AS308" i="14"/>
  <c r="AT308" i="14" s="1"/>
  <c r="AQ308" i="14"/>
  <c r="AR308" i="14"/>
  <c r="AR245" i="14"/>
  <c r="AQ245" i="14"/>
  <c r="AR156" i="14"/>
  <c r="AQ156" i="14"/>
  <c r="AR202" i="14"/>
  <c r="AQ202" i="14"/>
  <c r="Z49" i="7"/>
  <c r="AN49" i="7"/>
  <c r="AQ160" i="14"/>
  <c r="AR160" i="14"/>
  <c r="Z10" i="7"/>
  <c r="V24" i="7"/>
  <c r="W33" i="7"/>
  <c r="R65" i="15"/>
  <c r="AQ537" i="14"/>
  <c r="AS537" i="14"/>
  <c r="AT537" i="14" s="1"/>
  <c r="AR537" i="14"/>
  <c r="AS665" i="14"/>
  <c r="AT665" i="14" s="1"/>
  <c r="AR665" i="14"/>
  <c r="AQ665" i="14"/>
  <c r="AR556" i="14"/>
  <c r="AQ556" i="14"/>
  <c r="AS556" i="14"/>
  <c r="AT556" i="14" s="1"/>
  <c r="AQ567" i="14"/>
  <c r="AR567" i="14"/>
  <c r="AS653" i="14"/>
  <c r="AT653" i="14" s="1"/>
  <c r="AR653" i="14"/>
  <c r="AQ653" i="14"/>
  <c r="AQ349" i="14"/>
  <c r="AR349" i="14"/>
  <c r="AR174" i="14"/>
  <c r="AQ174" i="14"/>
  <c r="AQ311" i="14"/>
  <c r="AR311" i="14"/>
  <c r="Z53" i="7"/>
  <c r="AR53" i="7" s="1"/>
  <c r="AN53" i="7"/>
  <c r="AR238" i="14"/>
  <c r="AQ238" i="14"/>
  <c r="AB18" i="9"/>
  <c r="AC18" i="9" s="1"/>
  <c r="AL17" i="9"/>
  <c r="AL35" i="9" s="1"/>
  <c r="AL84" i="9" s="1"/>
  <c r="AJ35" i="9"/>
  <c r="AJ84" i="9" s="1"/>
  <c r="Y35" i="9"/>
  <c r="Y84" i="9" s="1"/>
  <c r="AA17" i="9"/>
  <c r="AI55" i="7" l="1"/>
  <c r="AH55" i="7"/>
  <c r="L55" i="7"/>
  <c r="P58" i="8"/>
  <c r="Q58" i="8"/>
  <c r="S53" i="8"/>
  <c r="P55" i="1"/>
  <c r="Q29" i="1"/>
  <c r="Q22" i="1"/>
  <c r="Q176" i="1"/>
  <c r="P202" i="1"/>
  <c r="Q177" i="8"/>
  <c r="R177" i="8" s="1"/>
  <c r="S177" i="8" s="1"/>
  <c r="B10" i="7"/>
  <c r="AL10" i="7" s="1"/>
  <c r="L92" i="8"/>
  <c r="P16" i="4"/>
  <c r="P31" i="4"/>
  <c r="R14" i="4"/>
  <c r="S14" i="4" s="1"/>
  <c r="P76" i="4"/>
  <c r="P44" i="4"/>
  <c r="P17" i="1"/>
  <c r="R34" i="4"/>
  <c r="S34" i="4" s="1"/>
  <c r="P14" i="4"/>
  <c r="P64" i="4"/>
  <c r="P67" i="1"/>
  <c r="P38" i="4"/>
  <c r="P87" i="4"/>
  <c r="P42" i="4"/>
  <c r="R187" i="1"/>
  <c r="S187" i="1" s="1"/>
  <c r="P32" i="4"/>
  <c r="P190" i="1"/>
  <c r="P74" i="4"/>
  <c r="P34" i="4"/>
  <c r="P41" i="4"/>
  <c r="R109" i="4"/>
  <c r="P138" i="1"/>
  <c r="P277" i="1"/>
  <c r="S277" i="1" s="1"/>
  <c r="R278" i="1"/>
  <c r="P18" i="1"/>
  <c r="P294" i="1"/>
  <c r="S294" i="1" s="1"/>
  <c r="P25" i="1"/>
  <c r="R298" i="1"/>
  <c r="Q96" i="1"/>
  <c r="Q83" i="1"/>
  <c r="Q277" i="1"/>
  <c r="Q109" i="1"/>
  <c r="P142" i="1"/>
  <c r="P195" i="1"/>
  <c r="R276" i="1"/>
  <c r="P209" i="1"/>
  <c r="P37" i="1"/>
  <c r="P201" i="1"/>
  <c r="R182" i="1"/>
  <c r="S182" i="1" s="1"/>
  <c r="P208" i="1"/>
  <c r="P88" i="1"/>
  <c r="R176" i="1"/>
  <c r="S176" i="1" s="1"/>
  <c r="P248" i="1"/>
  <c r="P116" i="1"/>
  <c r="P158" i="1"/>
  <c r="P43" i="1"/>
  <c r="P57" i="1"/>
  <c r="R284" i="1"/>
  <c r="P220" i="1"/>
  <c r="P33" i="1"/>
  <c r="R19" i="1"/>
  <c r="S19" i="1" s="1"/>
  <c r="R24" i="1"/>
  <c r="S24" i="1" s="1"/>
  <c r="P118" i="1"/>
  <c r="P32" i="1"/>
  <c r="P53" i="1"/>
  <c r="R28" i="1"/>
  <c r="S28" i="1" s="1"/>
  <c r="P153" i="1"/>
  <c r="P60" i="1"/>
  <c r="P245" i="1"/>
  <c r="R245" i="1" s="1"/>
  <c r="S245" i="1" s="1"/>
  <c r="P304" i="1"/>
  <c r="S304" i="1" s="1"/>
  <c r="P72" i="1"/>
  <c r="P283" i="1"/>
  <c r="S283" i="1" s="1"/>
  <c r="P63" i="1"/>
  <c r="P49" i="1"/>
  <c r="R74" i="1"/>
  <c r="S74" i="1" s="1"/>
  <c r="R198" i="1"/>
  <c r="S198" i="1" s="1"/>
  <c r="P197" i="1"/>
  <c r="P122" i="1"/>
  <c r="R46" i="1"/>
  <c r="S46" i="1" s="1"/>
  <c r="R148" i="1"/>
  <c r="S148" i="1" s="1"/>
  <c r="R183" i="1"/>
  <c r="S183" i="1" s="1"/>
  <c r="P303" i="1"/>
  <c r="S303" i="1" s="1"/>
  <c r="R142" i="1"/>
  <c r="S142" i="1" s="1"/>
  <c r="R75" i="1"/>
  <c r="S75" i="1" s="1"/>
  <c r="R38" i="1"/>
  <c r="S38" i="1" s="1"/>
  <c r="P54" i="1"/>
  <c r="P292" i="1"/>
  <c r="S292" i="1" s="1"/>
  <c r="P247" i="1"/>
  <c r="P44" i="1"/>
  <c r="P119" i="1"/>
  <c r="P26" i="1"/>
  <c r="P207" i="1"/>
  <c r="P184" i="1"/>
  <c r="R54" i="1"/>
  <c r="S54" i="1" s="1"/>
  <c r="R15" i="1"/>
  <c r="S15" i="1" s="1"/>
  <c r="P77" i="1"/>
  <c r="R186" i="1"/>
  <c r="S186" i="1" s="1"/>
  <c r="P134" i="1"/>
  <c r="R285" i="1"/>
  <c r="R27" i="1"/>
  <c r="S27" i="1" s="1"/>
  <c r="P215" i="1"/>
  <c r="R37" i="1"/>
  <c r="S37" i="1" s="1"/>
  <c r="P168" i="1"/>
  <c r="R16" i="1"/>
  <c r="S16" i="1" s="1"/>
  <c r="P117" i="1"/>
  <c r="P51" i="1"/>
  <c r="P143" i="1"/>
  <c r="P182" i="1"/>
  <c r="R283" i="1"/>
  <c r="P261" i="1"/>
  <c r="P295" i="1"/>
  <c r="S295" i="1" s="1"/>
  <c r="P198" i="1"/>
  <c r="P148" i="1"/>
  <c r="R40" i="1"/>
  <c r="S40" i="1" s="1"/>
  <c r="P141" i="1"/>
  <c r="R52" i="1"/>
  <c r="S52" i="1" s="1"/>
  <c r="P218" i="1"/>
  <c r="P191" i="1"/>
  <c r="R14" i="1"/>
  <c r="S14" i="1" s="1"/>
  <c r="P203" i="1"/>
  <c r="P20" i="1"/>
  <c r="R51" i="1"/>
  <c r="S51" i="1" s="1"/>
  <c r="P84" i="1"/>
  <c r="R47" i="1"/>
  <c r="S47" i="1" s="1"/>
  <c r="R199" i="1"/>
  <c r="S199" i="1" s="1"/>
  <c r="P140" i="1"/>
  <c r="R49" i="1"/>
  <c r="S49" i="1" s="1"/>
  <c r="P21" i="1"/>
  <c r="R154" i="1"/>
  <c r="S154" i="1" s="1"/>
  <c r="P249" i="1"/>
  <c r="P46" i="1"/>
  <c r="P112" i="1"/>
  <c r="P24" i="1"/>
  <c r="P62" i="1"/>
  <c r="P137" i="1"/>
  <c r="P219" i="1"/>
  <c r="P238" i="1"/>
  <c r="R66" i="1"/>
  <c r="S66" i="1" s="1"/>
  <c r="R296" i="1"/>
  <c r="P163" i="1"/>
  <c r="P167" i="1"/>
  <c r="R181" i="1"/>
  <c r="S181" i="1" s="1"/>
  <c r="R144" i="1"/>
  <c r="S144" i="1" s="1"/>
  <c r="R140" i="1"/>
  <c r="S140" i="1" s="1"/>
  <c r="R34" i="1"/>
  <c r="S34" i="1" s="1"/>
  <c r="P108" i="1"/>
  <c r="R33" i="1"/>
  <c r="S33" i="1" s="1"/>
  <c r="P125" i="1"/>
  <c r="R72" i="1"/>
  <c r="S72" i="1" s="1"/>
  <c r="P251" i="1"/>
  <c r="R29" i="1"/>
  <c r="S29" i="1" s="1"/>
  <c r="P194" i="1"/>
  <c r="P212" i="1"/>
  <c r="P177" i="1"/>
  <c r="R53" i="1"/>
  <c r="S53" i="1" s="1"/>
  <c r="R234" i="1"/>
  <c r="S234" i="1" s="1"/>
  <c r="R180" i="1"/>
  <c r="S180" i="1" s="1"/>
  <c r="P52" i="1"/>
  <c r="P98" i="1"/>
  <c r="P75" i="1"/>
  <c r="P149" i="1"/>
  <c r="R196" i="1"/>
  <c r="S196" i="1" s="1"/>
  <c r="P146" i="1"/>
  <c r="P113" i="1"/>
  <c r="R113" i="1" s="1"/>
  <c r="S113" i="1" s="1"/>
  <c r="R56" i="1"/>
  <c r="S56" i="1" s="1"/>
  <c r="R185" i="1"/>
  <c r="S185" i="1" s="1"/>
  <c r="P73" i="1"/>
  <c r="R177" i="1"/>
  <c r="S177" i="1" s="1"/>
  <c r="R20" i="1"/>
  <c r="S20" i="1" s="1"/>
  <c r="P205" i="1"/>
  <c r="R292" i="1"/>
  <c r="P41" i="1"/>
  <c r="P211" i="1"/>
  <c r="R69" i="1"/>
  <c r="S69" i="1" s="1"/>
  <c r="P235" i="1"/>
  <c r="P296" i="1"/>
  <c r="S296" i="1" s="1"/>
  <c r="P226" i="1"/>
  <c r="P13" i="1"/>
  <c r="R67" i="1"/>
  <c r="S67" i="1" s="1"/>
  <c r="P58" i="1"/>
  <c r="P82" i="1"/>
  <c r="P79" i="1"/>
  <c r="P109" i="1"/>
  <c r="P111" i="1"/>
  <c r="R174" i="1"/>
  <c r="S174" i="1" s="1"/>
  <c r="R153" i="1"/>
  <c r="S153" i="1" s="1"/>
  <c r="R291" i="1"/>
  <c r="R293" i="1"/>
  <c r="P86" i="1"/>
  <c r="R139" i="1"/>
  <c r="S139" i="1" s="1"/>
  <c r="P180" i="1"/>
  <c r="R12" i="1"/>
  <c r="S12" i="1" s="1"/>
  <c r="P74" i="1"/>
  <c r="P70" i="1"/>
  <c r="P47" i="1"/>
  <c r="P224" i="1"/>
  <c r="R82" i="1"/>
  <c r="S82" i="1" s="1"/>
  <c r="P121" i="1"/>
  <c r="R44" i="1"/>
  <c r="S44" i="1" s="1"/>
  <c r="R179" i="1"/>
  <c r="S179" i="1" s="1"/>
  <c r="R57" i="1"/>
  <c r="S57" i="1" s="1"/>
  <c r="P236" i="1"/>
  <c r="R236" i="1" s="1"/>
  <c r="S236" i="1" s="1"/>
  <c r="P120" i="1"/>
  <c r="R35" i="1"/>
  <c r="S35" i="1" s="1"/>
  <c r="R294" i="1"/>
  <c r="P64" i="1"/>
  <c r="P178" i="1"/>
  <c r="P183" i="1"/>
  <c r="P96" i="1"/>
  <c r="P66" i="1"/>
  <c r="R59" i="1"/>
  <c r="S59" i="1" s="1"/>
  <c r="P260" i="1"/>
  <c r="R42" i="1"/>
  <c r="S42" i="1" s="1"/>
  <c r="P94" i="1"/>
  <c r="R48" i="1"/>
  <c r="S48" i="1" s="1"/>
  <c r="P278" i="1"/>
  <c r="S278" i="1" s="1"/>
  <c r="P284" i="1"/>
  <c r="S284" i="1" s="1"/>
  <c r="R143" i="1"/>
  <c r="S143" i="1" s="1"/>
  <c r="P80" i="1"/>
  <c r="R190" i="1"/>
  <c r="S190" i="1" s="1"/>
  <c r="P99" i="1"/>
  <c r="R99" i="1" s="1"/>
  <c r="S99" i="1" s="1"/>
  <c r="R32" i="1"/>
  <c r="S32" i="1" s="1"/>
  <c r="P29" i="1"/>
  <c r="P196" i="1"/>
  <c r="P105" i="1"/>
  <c r="R105" i="1" s="1"/>
  <c r="S105" i="1" s="1"/>
  <c r="Q255" i="1"/>
  <c r="Q63" i="1"/>
  <c r="Q167" i="1"/>
  <c r="Q159" i="1"/>
  <c r="Q49" i="1"/>
  <c r="Q87" i="1"/>
  <c r="Q46" i="1"/>
  <c r="Q114" i="1"/>
  <c r="Q60" i="1"/>
  <c r="Q181" i="1"/>
  <c r="Q162" i="1"/>
  <c r="Q204" i="1"/>
  <c r="Q284" i="1"/>
  <c r="Q121" i="1"/>
  <c r="R121" i="1" s="1"/>
  <c r="S121" i="1" s="1"/>
  <c r="P188" i="1"/>
  <c r="P185" i="1"/>
  <c r="P124" i="1"/>
  <c r="P157" i="1"/>
  <c r="R157" i="1" s="1"/>
  <c r="S157" i="1" s="1"/>
  <c r="P40" i="1"/>
  <c r="P83" i="1"/>
  <c r="R64" i="1"/>
  <c r="S64" i="1" s="1"/>
  <c r="Q25" i="1"/>
  <c r="Q80" i="1"/>
  <c r="Q223" i="1"/>
  <c r="Q140" i="1"/>
  <c r="Q122" i="1"/>
  <c r="Q166" i="1"/>
  <c r="Q294" i="1"/>
  <c r="Q249" i="1"/>
  <c r="Q285" i="1"/>
  <c r="Q16" i="1"/>
  <c r="Q59" i="1"/>
  <c r="Q72" i="1"/>
  <c r="Q64" i="1"/>
  <c r="Q185" i="1"/>
  <c r="Q208" i="1"/>
  <c r="Q125" i="1"/>
  <c r="Q57" i="1"/>
  <c r="Q138" i="1"/>
  <c r="Q174" i="1"/>
  <c r="Q26" i="1"/>
  <c r="Q227" i="1"/>
  <c r="Q102" i="1"/>
  <c r="Q194" i="1"/>
  <c r="Q86" i="1"/>
  <c r="Q187" i="1"/>
  <c r="Q68" i="1"/>
  <c r="Q193" i="1"/>
  <c r="Q250" i="1"/>
  <c r="Q212" i="1"/>
  <c r="Q299" i="1"/>
  <c r="Q238" i="1"/>
  <c r="Q175" i="1"/>
  <c r="R183" i="8"/>
  <c r="S183" i="8" s="1"/>
  <c r="Q35" i="1"/>
  <c r="Q207" i="1"/>
  <c r="Q203" i="1"/>
  <c r="Q201" i="1"/>
  <c r="Q69" i="1"/>
  <c r="R20" i="8"/>
  <c r="S20" i="8" s="1"/>
  <c r="Q192" i="1"/>
  <c r="Q210" i="1"/>
  <c r="Q107" i="1"/>
  <c r="Q216" i="1"/>
  <c r="R216" i="1" s="1"/>
  <c r="S216" i="1" s="1"/>
  <c r="Q20" i="1"/>
  <c r="Q226" i="1"/>
  <c r="Q218" i="1"/>
  <c r="Q65" i="1"/>
  <c r="Q74" i="1"/>
  <c r="Q178" i="1"/>
  <c r="Q298" i="1"/>
  <c r="Q139" i="1"/>
  <c r="Q219" i="1"/>
  <c r="Q156" i="1"/>
  <c r="Q209" i="1"/>
  <c r="Q278" i="1"/>
  <c r="Q224" i="1"/>
  <c r="Q73" i="1"/>
  <c r="Q115" i="1"/>
  <c r="Q104" i="1"/>
  <c r="Q136" i="1"/>
  <c r="Q56" i="1"/>
  <c r="Q150" i="1"/>
  <c r="Q211" i="1"/>
  <c r="Q112" i="1"/>
  <c r="Q254" i="1"/>
  <c r="Q34" i="1"/>
  <c r="Q293" i="1"/>
  <c r="Q19" i="1"/>
  <c r="Q70" i="1"/>
  <c r="Q84" i="1"/>
  <c r="Q191" i="1"/>
  <c r="Q47" i="1"/>
  <c r="Q151" i="1"/>
  <c r="Q233" i="1"/>
  <c r="Q160" i="1"/>
  <c r="Q213" i="1"/>
  <c r="Q292" i="1"/>
  <c r="Q260" i="1"/>
  <c r="Q77" i="1"/>
  <c r="Q168" i="8"/>
  <c r="R168" i="8" s="1"/>
  <c r="S168" i="8" s="1"/>
  <c r="Q222" i="1"/>
  <c r="Q18" i="1"/>
  <c r="Q144" i="1"/>
  <c r="Q103" i="1"/>
  <c r="Q27" i="1"/>
  <c r="Q98" i="1"/>
  <c r="Q116" i="1"/>
  <c r="R116" i="1" s="1"/>
  <c r="S116" i="1" s="1"/>
  <c r="Q147" i="1"/>
  <c r="Q12" i="1"/>
  <c r="Q198" i="1"/>
  <c r="Q206" i="1"/>
  <c r="Q142" i="1"/>
  <c r="Q244" i="1"/>
  <c r="Q217" i="1"/>
  <c r="Q297" i="1"/>
  <c r="Q145" i="1"/>
  <c r="Q89" i="1"/>
  <c r="Q41" i="1"/>
  <c r="Q21" i="1"/>
  <c r="Q106" i="1"/>
  <c r="Q296" i="1"/>
  <c r="Q117" i="1"/>
  <c r="Q111" i="1"/>
  <c r="Q54" i="1"/>
  <c r="Q195" i="1"/>
  <c r="Q118" i="1"/>
  <c r="Q37" i="1"/>
  <c r="Q15" i="1"/>
  <c r="Q251" i="1"/>
  <c r="Q215" i="1"/>
  <c r="Q32" i="1"/>
  <c r="Q248" i="1"/>
  <c r="Q221" i="1"/>
  <c r="Q137" i="1"/>
  <c r="Q149" i="1"/>
  <c r="Q93" i="1"/>
  <c r="R303" i="1"/>
  <c r="P106" i="1"/>
  <c r="P12" i="1"/>
  <c r="R36" i="1"/>
  <c r="S36" i="1" s="1"/>
  <c r="R70" i="1"/>
  <c r="S70" i="1" s="1"/>
  <c r="R151" i="1"/>
  <c r="S151" i="1" s="1"/>
  <c r="R150" i="1"/>
  <c r="S150" i="1" s="1"/>
  <c r="R152" i="1"/>
  <c r="S152" i="1" s="1"/>
  <c r="R200" i="8"/>
  <c r="S200" i="8" s="1"/>
  <c r="R147" i="1"/>
  <c r="S147" i="1" s="1"/>
  <c r="R68" i="1"/>
  <c r="S68" i="1" s="1"/>
  <c r="P254" i="1"/>
  <c r="P160" i="1"/>
  <c r="P100" i="1"/>
  <c r="P56" i="1"/>
  <c r="P145" i="1"/>
  <c r="R205" i="8"/>
  <c r="S205" i="8" s="1"/>
  <c r="Q179" i="8"/>
  <c r="R179" i="8" s="1"/>
  <c r="S179" i="8" s="1"/>
  <c r="R31" i="8"/>
  <c r="S31" i="8" s="1"/>
  <c r="R198" i="8"/>
  <c r="S198" i="8" s="1"/>
  <c r="R192" i="8"/>
  <c r="S192" i="8" s="1"/>
  <c r="R66" i="8"/>
  <c r="S66" i="8" s="1"/>
  <c r="S68" i="8" s="1"/>
  <c r="H16" i="7" s="1"/>
  <c r="AR16" i="7" s="1"/>
  <c r="Q181" i="8"/>
  <c r="R181" i="8" s="1"/>
  <c r="S181" i="8" s="1"/>
  <c r="S29" i="11"/>
  <c r="AN10" i="7"/>
  <c r="R31" i="4"/>
  <c r="S31" i="4" s="1"/>
  <c r="Q295" i="1"/>
  <c r="Q71" i="1"/>
  <c r="Q51" i="1"/>
  <c r="Q38" i="1"/>
  <c r="Q183" i="1"/>
  <c r="Q143" i="1"/>
  <c r="Q119" i="1"/>
  <c r="Q179" i="1"/>
  <c r="Q43" i="1"/>
  <c r="Q50" i="1"/>
  <c r="Q36" i="1"/>
  <c r="Q164" i="1"/>
  <c r="Q205" i="1"/>
  <c r="Q246" i="1"/>
  <c r="Q196" i="1"/>
  <c r="Q169" i="1"/>
  <c r="Q97" i="1"/>
  <c r="P227" i="1"/>
  <c r="R22" i="1"/>
  <c r="S22" i="1" s="1"/>
  <c r="P154" i="1"/>
  <c r="R55" i="1"/>
  <c r="S55" i="1" s="1"/>
  <c r="P253" i="1"/>
  <c r="P42" i="1"/>
  <c r="R60" i="1"/>
  <c r="S60" i="1" s="1"/>
  <c r="P250" i="1"/>
  <c r="P136" i="1"/>
  <c r="R39" i="1"/>
  <c r="S39" i="1" s="1"/>
  <c r="P152" i="1"/>
  <c r="P181" i="1"/>
  <c r="P82" i="8"/>
  <c r="E18" i="7" s="1"/>
  <c r="AO18" i="7" s="1"/>
  <c r="R33" i="8"/>
  <c r="S33" i="8" s="1"/>
  <c r="P276" i="1"/>
  <c r="S276" i="1" s="1"/>
  <c r="P68" i="1"/>
  <c r="R235" i="1"/>
  <c r="S235" i="1" s="1"/>
  <c r="R184" i="1"/>
  <c r="S184" i="1" s="1"/>
  <c r="R188" i="1"/>
  <c r="S188" i="1" s="1"/>
  <c r="R63" i="1"/>
  <c r="S63" i="1" s="1"/>
  <c r="P50" i="1"/>
  <c r="P156" i="1"/>
  <c r="P223" i="1"/>
  <c r="R58" i="1"/>
  <c r="S58" i="1" s="1"/>
  <c r="P95" i="1"/>
  <c r="R95" i="1" s="1"/>
  <c r="S95" i="1" s="1"/>
  <c r="R40" i="8"/>
  <c r="S40" i="8" s="1"/>
  <c r="R203" i="8"/>
  <c r="S203" i="8" s="1"/>
  <c r="R44" i="8"/>
  <c r="S44" i="8" s="1"/>
  <c r="R15" i="8"/>
  <c r="S15" i="8" s="1"/>
  <c r="R55" i="8"/>
  <c r="S55" i="8" s="1"/>
  <c r="R170" i="8"/>
  <c r="S170" i="8" s="1"/>
  <c r="Q186" i="1"/>
  <c r="Q14" i="1"/>
  <c r="Q243" i="1"/>
  <c r="Q82" i="1"/>
  <c r="Q23" i="1"/>
  <c r="Q94" i="1"/>
  <c r="Q182" i="1"/>
  <c r="Q237" i="1"/>
  <c r="Q17" i="1"/>
  <c r="Q247" i="1"/>
  <c r="Q152" i="1"/>
  <c r="Q189" i="1"/>
  <c r="Q158" i="1"/>
  <c r="Q184" i="1"/>
  <c r="Q153" i="1"/>
  <c r="Q85" i="1"/>
  <c r="R18" i="8"/>
  <c r="S18" i="8" s="1"/>
  <c r="R27" i="8"/>
  <c r="S27" i="8" s="1"/>
  <c r="C18" i="7"/>
  <c r="AN18" i="7"/>
  <c r="R37" i="8"/>
  <c r="S37" i="8" s="1"/>
  <c r="R87" i="8"/>
  <c r="S87" i="8" s="1"/>
  <c r="Q76" i="1"/>
  <c r="Q123" i="1"/>
  <c r="Q66" i="1"/>
  <c r="Q214" i="1"/>
  <c r="Q163" i="1"/>
  <c r="Q232" i="1"/>
  <c r="Q79" i="1"/>
  <c r="Q62" i="1"/>
  <c r="Q91" i="1"/>
  <c r="Q120" i="1"/>
  <c r="Q75" i="1"/>
  <c r="Q61" i="1"/>
  <c r="Q155" i="1"/>
  <c r="Q148" i="1"/>
  <c r="Q177" i="1"/>
  <c r="Q225" i="1"/>
  <c r="Q235" i="1"/>
  <c r="Q200" i="1"/>
  <c r="Q161" i="1"/>
  <c r="Q81" i="1"/>
  <c r="Q234" i="1"/>
  <c r="P246" i="1"/>
  <c r="R135" i="1"/>
  <c r="S135" i="1" s="1"/>
  <c r="R65" i="1"/>
  <c r="S65" i="1" s="1"/>
  <c r="P147" i="1"/>
  <c r="P48" i="1"/>
  <c r="P299" i="1"/>
  <c r="S299" i="1" s="1"/>
  <c r="P65" i="1"/>
  <c r="P162" i="1"/>
  <c r="R162" i="1" s="1"/>
  <c r="S162" i="1" s="1"/>
  <c r="P206" i="1"/>
  <c r="R25" i="1"/>
  <c r="S25" i="1" s="1"/>
  <c r="P186" i="1"/>
  <c r="R146" i="1"/>
  <c r="S146" i="1" s="1"/>
  <c r="R141" i="1"/>
  <c r="S141" i="1" s="1"/>
  <c r="P114" i="1"/>
  <c r="P91" i="1"/>
  <c r="P31" i="1"/>
  <c r="P101" i="1"/>
  <c r="R101" i="1" s="1"/>
  <c r="S101" i="1" s="1"/>
  <c r="P155" i="1"/>
  <c r="R82" i="8"/>
  <c r="G18" i="7" s="1"/>
  <c r="AQ18" i="7" s="1"/>
  <c r="S82" i="8"/>
  <c r="H18" i="7" s="1"/>
  <c r="AR18" i="7" s="1"/>
  <c r="P233" i="1"/>
  <c r="R50" i="1"/>
  <c r="S50" i="1" s="1"/>
  <c r="R30" i="1"/>
  <c r="S30" i="1" s="1"/>
  <c r="P199" i="1"/>
  <c r="P166" i="1"/>
  <c r="P71" i="1"/>
  <c r="R192" i="1"/>
  <c r="S192" i="1" s="1"/>
  <c r="P189" i="1"/>
  <c r="R299" i="1"/>
  <c r="P110" i="1"/>
  <c r="R110" i="1" s="1"/>
  <c r="S110" i="1" s="1"/>
  <c r="R295" i="1"/>
  <c r="P103" i="1"/>
  <c r="AK29" i="11"/>
  <c r="Q42" i="1"/>
  <c r="Q78" i="1"/>
  <c r="Q33" i="1"/>
  <c r="Q199" i="1"/>
  <c r="Q58" i="1"/>
  <c r="Q53" i="1"/>
  <c r="Q45" i="1"/>
  <c r="Q124" i="1"/>
  <c r="Q108" i="1"/>
  <c r="Q134" i="1"/>
  <c r="Q202" i="1"/>
  <c r="R202" i="1" s="1"/>
  <c r="S202" i="1" s="1"/>
  <c r="Q135" i="1"/>
  <c r="Q48" i="1"/>
  <c r="Q168" i="1"/>
  <c r="Q197" i="1"/>
  <c r="Q154" i="1"/>
  <c r="Q141" i="1"/>
  <c r="Q220" i="1"/>
  <c r="Q253" i="1"/>
  <c r="P222" i="1"/>
  <c r="P15" i="1"/>
  <c r="P123" i="1"/>
  <c r="P92" i="1"/>
  <c r="R92" i="1" s="1"/>
  <c r="S92" i="1" s="1"/>
  <c r="P243" i="1"/>
  <c r="R83" i="1"/>
  <c r="S83" i="1" s="1"/>
  <c r="P217" i="1"/>
  <c r="R232" i="1"/>
  <c r="S232" i="1" s="1"/>
  <c r="R76" i="1"/>
  <c r="S76" i="1" s="1"/>
  <c r="P104" i="1"/>
  <c r="R85" i="1"/>
  <c r="S85" i="1" s="1"/>
  <c r="P298" i="1"/>
  <c r="S298" i="1" s="1"/>
  <c r="P14" i="1"/>
  <c r="P34" i="1"/>
  <c r="P192" i="1"/>
  <c r="P232" i="1"/>
  <c r="P161" i="1"/>
  <c r="R26" i="1"/>
  <c r="S26" i="1" s="1"/>
  <c r="P59" i="1"/>
  <c r="R137" i="1"/>
  <c r="S137" i="1" s="1"/>
  <c r="P135" i="1"/>
  <c r="P76" i="1"/>
  <c r="AO29" i="11"/>
  <c r="AQ29" i="11" s="1"/>
  <c r="R86" i="8"/>
  <c r="S86" i="8" s="1"/>
  <c r="R39" i="8"/>
  <c r="S39" i="8" s="1"/>
  <c r="U69" i="11"/>
  <c r="AK69" i="11" s="1"/>
  <c r="S69" i="11"/>
  <c r="AO37" i="11"/>
  <c r="U42" i="10"/>
  <c r="AA42" i="10" s="1"/>
  <c r="AB42" i="10" s="1"/>
  <c r="S42" i="10"/>
  <c r="Z52" i="11"/>
  <c r="U46" i="10"/>
  <c r="AA46" i="10" s="1"/>
  <c r="AB46" i="10" s="1"/>
  <c r="S46" i="10"/>
  <c r="AO34" i="11"/>
  <c r="U16" i="11"/>
  <c r="AK16" i="11" s="1"/>
  <c r="S16" i="11"/>
  <c r="AI41" i="11"/>
  <c r="AO24" i="11"/>
  <c r="U233" i="10"/>
  <c r="AA233" i="10" s="1"/>
  <c r="AB233" i="10" s="1"/>
  <c r="S233" i="10"/>
  <c r="U225" i="10"/>
  <c r="AA225" i="10" s="1"/>
  <c r="AB225" i="10" s="1"/>
  <c r="S225" i="10"/>
  <c r="U138" i="10"/>
  <c r="AA138" i="10" s="1"/>
  <c r="AB138" i="10" s="1"/>
  <c r="S138" i="10"/>
  <c r="Z20" i="11"/>
  <c r="U192" i="10"/>
  <c r="AA192" i="10" s="1"/>
  <c r="AB192" i="10" s="1"/>
  <c r="S192" i="10"/>
  <c r="U56" i="10"/>
  <c r="AA56" i="10" s="1"/>
  <c r="AB56" i="10" s="1"/>
  <c r="S56" i="10"/>
  <c r="P19" i="4"/>
  <c r="P52" i="4"/>
  <c r="R38" i="4"/>
  <c r="S38" i="4" s="1"/>
  <c r="R112" i="4"/>
  <c r="S112" i="4" s="1"/>
  <c r="R102" i="4"/>
  <c r="R66" i="4"/>
  <c r="S66" i="4" s="1"/>
  <c r="P24" i="4"/>
  <c r="P115" i="4"/>
  <c r="P109" i="4"/>
  <c r="S109" i="4" s="1"/>
  <c r="P51" i="4"/>
  <c r="R13" i="4"/>
  <c r="S13" i="4" s="1"/>
  <c r="R104" i="4"/>
  <c r="R103" i="4"/>
  <c r="P18" i="4"/>
  <c r="R32" i="4"/>
  <c r="S32" i="4" s="1"/>
  <c r="R65" i="4"/>
  <c r="S65" i="4" s="1"/>
  <c r="R105" i="4"/>
  <c r="P33" i="4"/>
  <c r="P84" i="4"/>
  <c r="P45" i="4"/>
  <c r="P77" i="4"/>
  <c r="P67" i="4"/>
  <c r="P103" i="4"/>
  <c r="S103" i="4" s="1"/>
  <c r="P71" i="4"/>
  <c r="P70" i="4"/>
  <c r="R77" i="4"/>
  <c r="S77" i="4" s="1"/>
  <c r="R35" i="4"/>
  <c r="S35" i="4" s="1"/>
  <c r="P26" i="4"/>
  <c r="R69" i="4"/>
  <c r="S69" i="4" s="1"/>
  <c r="R28" i="4"/>
  <c r="S28" i="4" s="1"/>
  <c r="R57" i="4"/>
  <c r="S57" i="4" s="1"/>
  <c r="P35" i="4"/>
  <c r="R12" i="4"/>
  <c r="S12" i="4" s="1"/>
  <c r="P25" i="4"/>
  <c r="P30" i="4"/>
  <c r="P86" i="4"/>
  <c r="P40" i="4"/>
  <c r="P65" i="4"/>
  <c r="R71" i="4"/>
  <c r="S71" i="4" s="1"/>
  <c r="P37" i="4"/>
  <c r="P28" i="4"/>
  <c r="P17" i="4"/>
  <c r="R26" i="4"/>
  <c r="S26" i="4" s="1"/>
  <c r="P68" i="4"/>
  <c r="P58" i="4"/>
  <c r="P29" i="4"/>
  <c r="P46" i="4"/>
  <c r="R76" i="4"/>
  <c r="S76" i="4" s="1"/>
  <c r="R73" i="4"/>
  <c r="S73" i="4" s="1"/>
  <c r="P104" i="4"/>
  <c r="S104" i="4" s="1"/>
  <c r="P75" i="4"/>
  <c r="R68" i="4"/>
  <c r="S68" i="4" s="1"/>
  <c r="R75" i="4"/>
  <c r="S75" i="4" s="1"/>
  <c r="R85" i="4"/>
  <c r="S85" i="4" s="1"/>
  <c r="R59" i="4"/>
  <c r="S59" i="4" s="1"/>
  <c r="P36" i="4"/>
  <c r="P105" i="4"/>
  <c r="S105" i="4" s="1"/>
  <c r="R64" i="4"/>
  <c r="S64" i="4" s="1"/>
  <c r="P85" i="4"/>
  <c r="R70" i="4"/>
  <c r="S70" i="4" s="1"/>
  <c r="R33" i="4"/>
  <c r="S33" i="4" s="1"/>
  <c r="R39" i="4"/>
  <c r="S39" i="4" s="1"/>
  <c r="P39" i="4"/>
  <c r="R29" i="4"/>
  <c r="S29" i="4" s="1"/>
  <c r="P116" i="4"/>
  <c r="P83" i="4"/>
  <c r="P112" i="4"/>
  <c r="P43" i="4"/>
  <c r="P66" i="4"/>
  <c r="P72" i="4"/>
  <c r="P57" i="4"/>
  <c r="R74" i="4"/>
  <c r="S74" i="4" s="1"/>
  <c r="P69" i="4"/>
  <c r="R27" i="4"/>
  <c r="S27" i="4" s="1"/>
  <c r="R15" i="4"/>
  <c r="S15" i="4" s="1"/>
  <c r="R30" i="4"/>
  <c r="S30" i="4" s="1"/>
  <c r="R43" i="4"/>
  <c r="S43" i="4" s="1"/>
  <c r="P12" i="4"/>
  <c r="R24" i="4"/>
  <c r="S24" i="4" s="1"/>
  <c r="P102" i="4"/>
  <c r="S102" i="4" s="1"/>
  <c r="P15" i="4"/>
  <c r="R67" i="4"/>
  <c r="S67" i="4" s="1"/>
  <c r="P13" i="4"/>
  <c r="P27" i="4"/>
  <c r="P114" i="4"/>
  <c r="P82" i="4"/>
  <c r="R72" i="4"/>
  <c r="S72" i="4" s="1"/>
  <c r="P59" i="4"/>
  <c r="AO63" i="11"/>
  <c r="U33" i="10"/>
  <c r="AA33" i="10" s="1"/>
  <c r="AB33" i="10" s="1"/>
  <c r="S33" i="10"/>
  <c r="U25" i="11"/>
  <c r="AK25" i="11" s="1"/>
  <c r="S25" i="11"/>
  <c r="U117" i="10"/>
  <c r="AA117" i="10" s="1"/>
  <c r="AB117" i="10" s="1"/>
  <c r="S117" i="10"/>
  <c r="U50" i="10"/>
  <c r="AA50" i="10" s="1"/>
  <c r="AB50" i="10" s="1"/>
  <c r="S50" i="10"/>
  <c r="U96" i="10"/>
  <c r="AA96" i="10" s="1"/>
  <c r="AB96" i="10" s="1"/>
  <c r="S96" i="10"/>
  <c r="U211" i="10"/>
  <c r="AA211" i="10" s="1"/>
  <c r="AB211" i="10" s="1"/>
  <c r="S211" i="10"/>
  <c r="U77" i="10"/>
  <c r="AA77" i="10" s="1"/>
  <c r="AB77" i="10" s="1"/>
  <c r="S77" i="10"/>
  <c r="AO48" i="11"/>
  <c r="AO52" i="11" s="1"/>
  <c r="U52" i="10"/>
  <c r="AA52" i="10" s="1"/>
  <c r="AB52" i="10" s="1"/>
  <c r="S52" i="10"/>
  <c r="U69" i="10"/>
  <c r="AA69" i="10" s="1"/>
  <c r="AB69" i="10" s="1"/>
  <c r="S69" i="10"/>
  <c r="U228" i="10"/>
  <c r="AA228" i="10" s="1"/>
  <c r="AB228" i="10" s="1"/>
  <c r="S228" i="10"/>
  <c r="AI79" i="11"/>
  <c r="AO55" i="11"/>
  <c r="U106" i="10"/>
  <c r="AA106" i="10" s="1"/>
  <c r="AB106" i="10" s="1"/>
  <c r="S106" i="10"/>
  <c r="U48" i="10"/>
  <c r="AA48" i="10" s="1"/>
  <c r="AB48" i="10" s="1"/>
  <c r="S48" i="10"/>
  <c r="U36" i="11"/>
  <c r="AA36" i="11" s="1"/>
  <c r="AB36" i="11" s="1"/>
  <c r="AQ36" i="11" s="1"/>
  <c r="S36" i="11"/>
  <c r="U61" i="11"/>
  <c r="AK61" i="11" s="1"/>
  <c r="S61" i="11"/>
  <c r="U86" i="11"/>
  <c r="AK86" i="11" s="1"/>
  <c r="S86" i="11"/>
  <c r="W176" i="10"/>
  <c r="X134" i="10"/>
  <c r="U165" i="10"/>
  <c r="AA165" i="10" s="1"/>
  <c r="AB165" i="10" s="1"/>
  <c r="S165" i="10"/>
  <c r="U163" i="10"/>
  <c r="AA163" i="10" s="1"/>
  <c r="AB163" i="10" s="1"/>
  <c r="S163" i="10"/>
  <c r="S170" i="10"/>
  <c r="U170" i="10"/>
  <c r="AA170" i="10" s="1"/>
  <c r="AB170" i="10" s="1"/>
  <c r="U226" i="10"/>
  <c r="AA226" i="10" s="1"/>
  <c r="AB226" i="10" s="1"/>
  <c r="S226" i="10"/>
  <c r="U45" i="11"/>
  <c r="Q52" i="11"/>
  <c r="S45" i="11"/>
  <c r="Q20" i="11"/>
  <c r="U13" i="11"/>
  <c r="AA13" i="11" s="1"/>
  <c r="S13" i="11"/>
  <c r="U159" i="10"/>
  <c r="AA159" i="10" s="1"/>
  <c r="AB159" i="10" s="1"/>
  <c r="S159" i="10"/>
  <c r="U167" i="10"/>
  <c r="AA167" i="10" s="1"/>
  <c r="AB167" i="10" s="1"/>
  <c r="S167" i="10"/>
  <c r="AM79" i="11"/>
  <c r="U83" i="11"/>
  <c r="AA83" i="11" s="1"/>
  <c r="AB83" i="11" s="1"/>
  <c r="AQ83" i="11" s="1"/>
  <c r="S83" i="11"/>
  <c r="U19" i="10"/>
  <c r="AA19" i="10" s="1"/>
  <c r="AB19" i="10" s="1"/>
  <c r="S19" i="10"/>
  <c r="U195" i="10"/>
  <c r="AA195" i="10" s="1"/>
  <c r="AB195" i="10" s="1"/>
  <c r="S195" i="10"/>
  <c r="U152" i="10"/>
  <c r="AA152" i="10" s="1"/>
  <c r="AB152" i="10" s="1"/>
  <c r="S152" i="10"/>
  <c r="U111" i="10"/>
  <c r="AA111" i="10" s="1"/>
  <c r="AB111" i="10" s="1"/>
  <c r="S111" i="10"/>
  <c r="U87" i="10"/>
  <c r="AA87" i="10" s="1"/>
  <c r="AB87" i="10" s="1"/>
  <c r="S87" i="10"/>
  <c r="AM41" i="11"/>
  <c r="U75" i="10"/>
  <c r="AA75" i="10" s="1"/>
  <c r="AB75" i="10" s="1"/>
  <c r="S75" i="10"/>
  <c r="U190" i="10"/>
  <c r="AA190" i="10" s="1"/>
  <c r="AB190" i="10" s="1"/>
  <c r="S190" i="10"/>
  <c r="U108" i="11"/>
  <c r="AA108" i="11" s="1"/>
  <c r="AB108" i="11" s="1"/>
  <c r="S108" i="11"/>
  <c r="U54" i="10"/>
  <c r="AA54" i="10" s="1"/>
  <c r="AB54" i="10" s="1"/>
  <c r="S54" i="10"/>
  <c r="U94" i="10"/>
  <c r="AA94" i="10" s="1"/>
  <c r="AB94" i="10" s="1"/>
  <c r="S94" i="10"/>
  <c r="U129" i="10"/>
  <c r="AA129" i="10" s="1"/>
  <c r="AB129" i="10" s="1"/>
  <c r="S129" i="10"/>
  <c r="U30" i="11"/>
  <c r="AK30" i="11" s="1"/>
  <c r="S30" i="11"/>
  <c r="B14" i="7"/>
  <c r="U71" i="10"/>
  <c r="AA71" i="10" s="1"/>
  <c r="AB71" i="10" s="1"/>
  <c r="S71" i="10"/>
  <c r="U143" i="10"/>
  <c r="AA143" i="10" s="1"/>
  <c r="AB143" i="10" s="1"/>
  <c r="S143" i="10"/>
  <c r="U92" i="10"/>
  <c r="AA92" i="10" s="1"/>
  <c r="AB92" i="10" s="1"/>
  <c r="S92" i="10"/>
  <c r="U124" i="10"/>
  <c r="AA124" i="10" s="1"/>
  <c r="AB124" i="10" s="1"/>
  <c r="S124" i="10"/>
  <c r="U193" i="10"/>
  <c r="AA193" i="10" s="1"/>
  <c r="AB193" i="10" s="1"/>
  <c r="S193" i="10"/>
  <c r="Q131" i="10"/>
  <c r="U101" i="10"/>
  <c r="S101" i="10"/>
  <c r="U65" i="10"/>
  <c r="AA65" i="10" s="1"/>
  <c r="AB65" i="10" s="1"/>
  <c r="S65" i="10"/>
  <c r="U18" i="11"/>
  <c r="AK18" i="11" s="1"/>
  <c r="S18" i="11"/>
  <c r="U89" i="11"/>
  <c r="AA89" i="11" s="1"/>
  <c r="AB89" i="11" s="1"/>
  <c r="S89" i="11"/>
  <c r="U37" i="11"/>
  <c r="AA37" i="11" s="1"/>
  <c r="AB37" i="11" s="1"/>
  <c r="S37" i="11"/>
  <c r="U47" i="10"/>
  <c r="AA47" i="10" s="1"/>
  <c r="AB47" i="10" s="1"/>
  <c r="S47" i="10"/>
  <c r="U237" i="10"/>
  <c r="AA237" i="10" s="1"/>
  <c r="AB237" i="10" s="1"/>
  <c r="S237" i="10"/>
  <c r="U58" i="10"/>
  <c r="AA58" i="10" s="1"/>
  <c r="AB58" i="10" s="1"/>
  <c r="S58" i="10"/>
  <c r="AI92" i="11"/>
  <c r="U148" i="10"/>
  <c r="AA148" i="10" s="1"/>
  <c r="AB148" i="10" s="1"/>
  <c r="S148" i="10"/>
  <c r="U109" i="10"/>
  <c r="AA109" i="10" s="1"/>
  <c r="AB109" i="10" s="1"/>
  <c r="S109" i="10"/>
  <c r="U44" i="10"/>
  <c r="AA44" i="10" s="1"/>
  <c r="AB44" i="10" s="1"/>
  <c r="S44" i="10"/>
  <c r="U34" i="11"/>
  <c r="AA34" i="11" s="1"/>
  <c r="AB34" i="11" s="1"/>
  <c r="S34" i="11"/>
  <c r="U123" i="10"/>
  <c r="AA123" i="10" s="1"/>
  <c r="AB123" i="10" s="1"/>
  <c r="S123" i="10"/>
  <c r="AO87" i="11"/>
  <c r="AO92" i="11" s="1"/>
  <c r="U108" i="10"/>
  <c r="AA108" i="10" s="1"/>
  <c r="AB108" i="10" s="1"/>
  <c r="S108" i="10"/>
  <c r="U231" i="10"/>
  <c r="AA231" i="10" s="1"/>
  <c r="AB231" i="10" s="1"/>
  <c r="S231" i="10"/>
  <c r="U59" i="10"/>
  <c r="AA59" i="10" s="1"/>
  <c r="AB59" i="10" s="1"/>
  <c r="S59" i="10"/>
  <c r="U107" i="10"/>
  <c r="AA107" i="10" s="1"/>
  <c r="AB107" i="10" s="1"/>
  <c r="S107" i="10"/>
  <c r="U95" i="10"/>
  <c r="AA95" i="10" s="1"/>
  <c r="AB95" i="10" s="1"/>
  <c r="S95" i="10"/>
  <c r="W131" i="10"/>
  <c r="X101" i="10"/>
  <c r="U30" i="10"/>
  <c r="AA30" i="10" s="1"/>
  <c r="AB30" i="10" s="1"/>
  <c r="S30" i="10"/>
  <c r="U139" i="10"/>
  <c r="AA139" i="10" s="1"/>
  <c r="AB139" i="10" s="1"/>
  <c r="S139" i="10"/>
  <c r="U93" i="10"/>
  <c r="AA93" i="10" s="1"/>
  <c r="AB93" i="10" s="1"/>
  <c r="S93" i="10"/>
  <c r="AO76" i="11"/>
  <c r="U161" i="10"/>
  <c r="AA161" i="10" s="1"/>
  <c r="AB161" i="10" s="1"/>
  <c r="S161" i="10"/>
  <c r="U49" i="10"/>
  <c r="AA49" i="10" s="1"/>
  <c r="AB49" i="10" s="1"/>
  <c r="S49" i="10"/>
  <c r="U145" i="10"/>
  <c r="AA145" i="10" s="1"/>
  <c r="AB145" i="10" s="1"/>
  <c r="S145" i="10"/>
  <c r="U48" i="11"/>
  <c r="AA48" i="11" s="1"/>
  <c r="AB48" i="11" s="1"/>
  <c r="S48" i="11"/>
  <c r="R38" i="8"/>
  <c r="S38" i="8" s="1"/>
  <c r="U78" i="10"/>
  <c r="AA78" i="10" s="1"/>
  <c r="AB78" i="10" s="1"/>
  <c r="S78" i="10"/>
  <c r="U191" i="10"/>
  <c r="AA191" i="10" s="1"/>
  <c r="AB191" i="10" s="1"/>
  <c r="S191" i="10"/>
  <c r="AM92" i="11"/>
  <c r="U33" i="11"/>
  <c r="AK33" i="11" s="1"/>
  <c r="S33" i="11"/>
  <c r="U53" i="10"/>
  <c r="AA53" i="10" s="1"/>
  <c r="AB53" i="10" s="1"/>
  <c r="S53" i="10"/>
  <c r="U21" i="10"/>
  <c r="AA21" i="10" s="1"/>
  <c r="AB21" i="10" s="1"/>
  <c r="S21" i="10"/>
  <c r="U83" i="10"/>
  <c r="AA83" i="10" s="1"/>
  <c r="AB83" i="10" s="1"/>
  <c r="S83" i="10"/>
  <c r="U142" i="10"/>
  <c r="AA142" i="10" s="1"/>
  <c r="AB142" i="10" s="1"/>
  <c r="S142" i="10"/>
  <c r="U15" i="11"/>
  <c r="AK15" i="11" s="1"/>
  <c r="S15" i="11"/>
  <c r="U158" i="10"/>
  <c r="AA158" i="10" s="1"/>
  <c r="AB158" i="10" s="1"/>
  <c r="S158" i="10"/>
  <c r="U28" i="11"/>
  <c r="AK28" i="11" s="1"/>
  <c r="S28" i="11"/>
  <c r="U91" i="10"/>
  <c r="AA91" i="10" s="1"/>
  <c r="AB91" i="10" s="1"/>
  <c r="S91" i="10"/>
  <c r="U125" i="10"/>
  <c r="AA125" i="10" s="1"/>
  <c r="AB125" i="10" s="1"/>
  <c r="S125" i="10"/>
  <c r="U232" i="10"/>
  <c r="AA232" i="10" s="1"/>
  <c r="AB232" i="10" s="1"/>
  <c r="S232" i="10"/>
  <c r="U88" i="10"/>
  <c r="AA88" i="10" s="1"/>
  <c r="AB88" i="10" s="1"/>
  <c r="S88" i="10"/>
  <c r="U147" i="10"/>
  <c r="AA147" i="10" s="1"/>
  <c r="AB147" i="10" s="1"/>
  <c r="S147" i="10"/>
  <c r="U188" i="10"/>
  <c r="AA188" i="10" s="1"/>
  <c r="AB188" i="10" s="1"/>
  <c r="S188" i="10"/>
  <c r="U141" i="10"/>
  <c r="AA141" i="10" s="1"/>
  <c r="AB141" i="10" s="1"/>
  <c r="S141" i="10"/>
  <c r="U85" i="11"/>
  <c r="AA85" i="11" s="1"/>
  <c r="AB85" i="11" s="1"/>
  <c r="AQ85" i="11" s="1"/>
  <c r="S85" i="11"/>
  <c r="U27" i="11"/>
  <c r="AA27" i="11" s="1"/>
  <c r="AB27" i="11" s="1"/>
  <c r="AQ27" i="11" s="1"/>
  <c r="S27" i="11"/>
  <c r="U57" i="11"/>
  <c r="AA57" i="11" s="1"/>
  <c r="AB57" i="11" s="1"/>
  <c r="AQ57" i="11" s="1"/>
  <c r="S57" i="11"/>
  <c r="U64" i="10"/>
  <c r="AA64" i="10" s="1"/>
  <c r="AB64" i="10" s="1"/>
  <c r="S64" i="10"/>
  <c r="U40" i="10"/>
  <c r="AA40" i="10" s="1"/>
  <c r="AB40" i="10" s="1"/>
  <c r="S40" i="10"/>
  <c r="U32" i="10"/>
  <c r="AA32" i="10" s="1"/>
  <c r="AB32" i="10" s="1"/>
  <c r="S32" i="10"/>
  <c r="U110" i="10"/>
  <c r="AA110" i="10" s="1"/>
  <c r="AB110" i="10" s="1"/>
  <c r="S110" i="10"/>
  <c r="R31" i="1"/>
  <c r="S31" i="1" s="1"/>
  <c r="P175" i="1"/>
  <c r="P204" i="1"/>
  <c r="R175" i="1"/>
  <c r="S175" i="1" s="1"/>
  <c r="P35" i="1"/>
  <c r="R178" i="1"/>
  <c r="S178" i="1" s="1"/>
  <c r="R138" i="1"/>
  <c r="S138" i="1" s="1"/>
  <c r="P225" i="1"/>
  <c r="R13" i="1"/>
  <c r="S13" i="1" s="1"/>
  <c r="R191" i="1"/>
  <c r="S191" i="1" s="1"/>
  <c r="R149" i="1"/>
  <c r="S149" i="1" s="1"/>
  <c r="P200" i="1"/>
  <c r="R136" i="1"/>
  <c r="S136" i="1" s="1"/>
  <c r="R134" i="1"/>
  <c r="S134" i="1" s="1"/>
  <c r="P164" i="1"/>
  <c r="P38" i="1"/>
  <c r="P252" i="1"/>
  <c r="R252" i="1" s="1"/>
  <c r="S252" i="1" s="1"/>
  <c r="R21" i="1"/>
  <c r="S21" i="1" s="1"/>
  <c r="R43" i="1"/>
  <c r="S43" i="1" s="1"/>
  <c r="P210" i="1"/>
  <c r="R71" i="1"/>
  <c r="S71" i="1" s="1"/>
  <c r="R145" i="1"/>
  <c r="S145" i="1" s="1"/>
  <c r="P176" i="1"/>
  <c r="P27" i="1"/>
  <c r="P102" i="1"/>
  <c r="P144" i="1"/>
  <c r="R41" i="1"/>
  <c r="S41" i="1" s="1"/>
  <c r="P45" i="1"/>
  <c r="P81" i="1"/>
  <c r="R61" i="1"/>
  <c r="S61" i="1" s="1"/>
  <c r="P297" i="1"/>
  <c r="S297" i="1" s="1"/>
  <c r="P23" i="1"/>
  <c r="P69" i="1"/>
  <c r="R62" i="1"/>
  <c r="S62" i="1" s="1"/>
  <c r="P90" i="1"/>
  <c r="R90" i="1" s="1"/>
  <c r="S90" i="1" s="1"/>
  <c r="P234" i="1"/>
  <c r="R197" i="1"/>
  <c r="S197" i="1" s="1"/>
  <c r="P19" i="1"/>
  <c r="P107" i="1"/>
  <c r="P244" i="1"/>
  <c r="P179" i="1"/>
  <c r="P78" i="1"/>
  <c r="P97" i="1"/>
  <c r="R193" i="1"/>
  <c r="S193" i="1" s="1"/>
  <c r="P285" i="1"/>
  <c r="S285" i="1" s="1"/>
  <c r="P291" i="1"/>
  <c r="S291" i="1" s="1"/>
  <c r="P193" i="1"/>
  <c r="P159" i="1"/>
  <c r="P165" i="1"/>
  <c r="R165" i="1" s="1"/>
  <c r="S165" i="1" s="1"/>
  <c r="P293" i="1"/>
  <c r="S293" i="1" s="1"/>
  <c r="P93" i="1"/>
  <c r="R189" i="1"/>
  <c r="S189" i="1" s="1"/>
  <c r="P255" i="1"/>
  <c r="R277" i="1"/>
  <c r="P39" i="1"/>
  <c r="P89" i="1"/>
  <c r="P150" i="1"/>
  <c r="P221" i="1"/>
  <c r="R194" i="1"/>
  <c r="S194" i="1" s="1"/>
  <c r="P28" i="1"/>
  <c r="P87" i="1"/>
  <c r="P85" i="1"/>
  <c r="R304" i="1"/>
  <c r="P214" i="1"/>
  <c r="P174" i="1"/>
  <c r="P30" i="1"/>
  <c r="R17" i="1"/>
  <c r="S17" i="1" s="1"/>
  <c r="R297" i="1"/>
  <c r="P237" i="1"/>
  <c r="R98" i="1"/>
  <c r="S98" i="1" s="1"/>
  <c r="P115" i="1"/>
  <c r="R115" i="1" s="1"/>
  <c r="S115" i="1" s="1"/>
  <c r="P36" i="1"/>
  <c r="P16" i="1"/>
  <c r="R18" i="1"/>
  <c r="S18" i="1" s="1"/>
  <c r="R45" i="1"/>
  <c r="S45" i="1" s="1"/>
  <c r="P187" i="1"/>
  <c r="P169" i="1"/>
  <c r="R195" i="1"/>
  <c r="S195" i="1" s="1"/>
  <c r="R84" i="1"/>
  <c r="S84" i="1" s="1"/>
  <c r="R73" i="1"/>
  <c r="S73" i="1" s="1"/>
  <c r="P61" i="1"/>
  <c r="R23" i="1"/>
  <c r="S23" i="1" s="1"/>
  <c r="P213" i="1"/>
  <c r="U116" i="10"/>
  <c r="AA116" i="10" s="1"/>
  <c r="AB116" i="10" s="1"/>
  <c r="S116" i="10"/>
  <c r="U88" i="11"/>
  <c r="AA88" i="11" s="1"/>
  <c r="AB88" i="11" s="1"/>
  <c r="S88" i="11"/>
  <c r="U151" i="10"/>
  <c r="AA151" i="10" s="1"/>
  <c r="AB151" i="10" s="1"/>
  <c r="S151" i="10"/>
  <c r="U185" i="10"/>
  <c r="AA185" i="10" s="1"/>
  <c r="AB185" i="10" s="1"/>
  <c r="S185" i="10"/>
  <c r="U106" i="11"/>
  <c r="AA106" i="11" s="1"/>
  <c r="AB106" i="11" s="1"/>
  <c r="S106" i="11"/>
  <c r="U76" i="10"/>
  <c r="AA76" i="10" s="1"/>
  <c r="AB76" i="10" s="1"/>
  <c r="S76" i="10"/>
  <c r="U157" i="10"/>
  <c r="AA157" i="10" s="1"/>
  <c r="AB157" i="10" s="1"/>
  <c r="S157" i="10"/>
  <c r="U38" i="10"/>
  <c r="AA38" i="10" s="1"/>
  <c r="AB38" i="10" s="1"/>
  <c r="S38" i="10"/>
  <c r="U14" i="11"/>
  <c r="AA14" i="11" s="1"/>
  <c r="AB14" i="11" s="1"/>
  <c r="AQ14" i="11" s="1"/>
  <c r="S14" i="11"/>
  <c r="U36" i="10"/>
  <c r="AA36" i="10" s="1"/>
  <c r="AB36" i="10" s="1"/>
  <c r="S36" i="10"/>
  <c r="U194" i="10"/>
  <c r="AA194" i="10" s="1"/>
  <c r="AB194" i="10" s="1"/>
  <c r="S194" i="10"/>
  <c r="U26" i="11"/>
  <c r="AK26" i="11" s="1"/>
  <c r="S26" i="11"/>
  <c r="U24" i="10"/>
  <c r="AA24" i="10" s="1"/>
  <c r="AB24" i="10" s="1"/>
  <c r="S24" i="10"/>
  <c r="U25" i="10"/>
  <c r="AA25" i="10" s="1"/>
  <c r="AB25" i="10" s="1"/>
  <c r="S25" i="10"/>
  <c r="S31" i="10"/>
  <c r="U31" i="10"/>
  <c r="AA31" i="10" s="1"/>
  <c r="AB31" i="10" s="1"/>
  <c r="U104" i="10"/>
  <c r="AA104" i="10" s="1"/>
  <c r="AB104" i="10" s="1"/>
  <c r="S104" i="10"/>
  <c r="U103" i="10"/>
  <c r="AA103" i="10" s="1"/>
  <c r="AB103" i="10" s="1"/>
  <c r="S103" i="10"/>
  <c r="S60" i="10"/>
  <c r="U60" i="10"/>
  <c r="AA60" i="10" s="1"/>
  <c r="AB60" i="10" s="1"/>
  <c r="U35" i="11"/>
  <c r="AK35" i="11" s="1"/>
  <c r="S35" i="11"/>
  <c r="U102" i="10"/>
  <c r="AA102" i="10" s="1"/>
  <c r="AB102" i="10" s="1"/>
  <c r="S102" i="10"/>
  <c r="U64" i="11"/>
  <c r="AK64" i="11" s="1"/>
  <c r="S64" i="11"/>
  <c r="U18" i="10"/>
  <c r="AA18" i="10" s="1"/>
  <c r="AB18" i="10" s="1"/>
  <c r="S18" i="10"/>
  <c r="U155" i="10"/>
  <c r="AA155" i="10" s="1"/>
  <c r="AB155" i="10" s="1"/>
  <c r="S155" i="10"/>
  <c r="U34" i="10"/>
  <c r="AA34" i="10" s="1"/>
  <c r="AB34" i="10" s="1"/>
  <c r="S34" i="10"/>
  <c r="U74" i="11"/>
  <c r="AA74" i="11" s="1"/>
  <c r="AB74" i="11" s="1"/>
  <c r="AQ74" i="11" s="1"/>
  <c r="S74" i="11"/>
  <c r="U186" i="10"/>
  <c r="AA186" i="10" s="1"/>
  <c r="AB186" i="10" s="1"/>
  <c r="S186" i="10"/>
  <c r="U210" i="10"/>
  <c r="AA210" i="10" s="1"/>
  <c r="AB210" i="10" s="1"/>
  <c r="S210" i="10"/>
  <c r="R43" i="8"/>
  <c r="S43" i="8" s="1"/>
  <c r="U29" i="10"/>
  <c r="AA29" i="10" s="1"/>
  <c r="AB29" i="10" s="1"/>
  <c r="S29" i="10"/>
  <c r="U62" i="10"/>
  <c r="AA62" i="10" s="1"/>
  <c r="AB62" i="10" s="1"/>
  <c r="S62" i="10"/>
  <c r="U55" i="10"/>
  <c r="AA55" i="10" s="1"/>
  <c r="AB55" i="10" s="1"/>
  <c r="S55" i="10"/>
  <c r="S50" i="11"/>
  <c r="U50" i="11"/>
  <c r="AA50" i="11" s="1"/>
  <c r="AB50" i="11" s="1"/>
  <c r="U68" i="10"/>
  <c r="AA68" i="10" s="1"/>
  <c r="AB68" i="10" s="1"/>
  <c r="S68" i="10"/>
  <c r="U217" i="10"/>
  <c r="AA217" i="10" s="1"/>
  <c r="AB217" i="10" s="1"/>
  <c r="S217" i="10"/>
  <c r="U23" i="10"/>
  <c r="AA23" i="10" s="1"/>
  <c r="AB23" i="10" s="1"/>
  <c r="S23" i="10"/>
  <c r="U156" i="10"/>
  <c r="AA156" i="10" s="1"/>
  <c r="AB156" i="10" s="1"/>
  <c r="S156" i="10"/>
  <c r="U15" i="10"/>
  <c r="AA15" i="10" s="1"/>
  <c r="AB15" i="10" s="1"/>
  <c r="S15" i="10"/>
  <c r="U65" i="11"/>
  <c r="AK65" i="11" s="1"/>
  <c r="S65" i="11"/>
  <c r="U32" i="11"/>
  <c r="AK32" i="11" s="1"/>
  <c r="S32" i="11"/>
  <c r="U153" i="10"/>
  <c r="AA153" i="10" s="1"/>
  <c r="AB153" i="10" s="1"/>
  <c r="S153" i="10"/>
  <c r="U86" i="10"/>
  <c r="AA86" i="10" s="1"/>
  <c r="AB86" i="10" s="1"/>
  <c r="S86" i="10"/>
  <c r="U212" i="10"/>
  <c r="AA212" i="10" s="1"/>
  <c r="AB212" i="10" s="1"/>
  <c r="S212" i="10"/>
  <c r="U37" i="10"/>
  <c r="AA37" i="10" s="1"/>
  <c r="AB37" i="10" s="1"/>
  <c r="S37" i="10"/>
  <c r="U196" i="10"/>
  <c r="AA196" i="10" s="1"/>
  <c r="AB196" i="10" s="1"/>
  <c r="S196" i="10"/>
  <c r="U115" i="10"/>
  <c r="AA115" i="10" s="1"/>
  <c r="AB115" i="10" s="1"/>
  <c r="S115" i="10"/>
  <c r="U55" i="11"/>
  <c r="AK55" i="11" s="1"/>
  <c r="Q79" i="11"/>
  <c r="S55" i="11"/>
  <c r="U70" i="10"/>
  <c r="AA70" i="10" s="1"/>
  <c r="AB70" i="10" s="1"/>
  <c r="S70" i="10"/>
  <c r="U114" i="10"/>
  <c r="AA114" i="10" s="1"/>
  <c r="AB114" i="10" s="1"/>
  <c r="S114" i="10"/>
  <c r="R35" i="8"/>
  <c r="S35" i="8" s="1"/>
  <c r="R41" i="8"/>
  <c r="S41" i="8" s="1"/>
  <c r="Q82" i="8"/>
  <c r="F18" i="7" s="1"/>
  <c r="AP18" i="7" s="1"/>
  <c r="U164" i="10"/>
  <c r="AA164" i="10" s="1"/>
  <c r="AB164" i="10" s="1"/>
  <c r="S164" i="10"/>
  <c r="S60" i="11"/>
  <c r="U60" i="11"/>
  <c r="AA60" i="11" s="1"/>
  <c r="AB60" i="11" s="1"/>
  <c r="AQ60" i="11" s="1"/>
  <c r="U81" i="10"/>
  <c r="AA81" i="10" s="1"/>
  <c r="AB81" i="10" s="1"/>
  <c r="S81" i="10"/>
  <c r="U172" i="10"/>
  <c r="AA172" i="10" s="1"/>
  <c r="AB172" i="10" s="1"/>
  <c r="S172" i="10"/>
  <c r="U72" i="11"/>
  <c r="AK72" i="11" s="1"/>
  <c r="S72" i="11"/>
  <c r="U229" i="10"/>
  <c r="AA229" i="10" s="1"/>
  <c r="AB229" i="10" s="1"/>
  <c r="S229" i="10"/>
  <c r="U150" i="10"/>
  <c r="AA150" i="10" s="1"/>
  <c r="AB150" i="10" s="1"/>
  <c r="S150" i="10"/>
  <c r="AI52" i="11"/>
  <c r="U238" i="10"/>
  <c r="AA238" i="10" s="1"/>
  <c r="AB238" i="10" s="1"/>
  <c r="S238" i="10"/>
  <c r="U51" i="10"/>
  <c r="AA51" i="10" s="1"/>
  <c r="AB51" i="10" s="1"/>
  <c r="S51" i="10"/>
  <c r="U59" i="11"/>
  <c r="AA59" i="11" s="1"/>
  <c r="AB59" i="11" s="1"/>
  <c r="AQ59" i="11" s="1"/>
  <c r="S59" i="11"/>
  <c r="AM20" i="11"/>
  <c r="U126" i="10"/>
  <c r="AA126" i="10" s="1"/>
  <c r="AB126" i="10" s="1"/>
  <c r="S126" i="10"/>
  <c r="Z41" i="11"/>
  <c r="U49" i="11"/>
  <c r="AA49" i="11" s="1"/>
  <c r="AB49" i="11" s="1"/>
  <c r="AQ49" i="11" s="1"/>
  <c r="S49" i="11"/>
  <c r="U218" i="10"/>
  <c r="AA218" i="10" s="1"/>
  <c r="AB218" i="10" s="1"/>
  <c r="S218" i="10"/>
  <c r="U144" i="10"/>
  <c r="AA144" i="10" s="1"/>
  <c r="AB144" i="10" s="1"/>
  <c r="S144" i="10"/>
  <c r="U46" i="11"/>
  <c r="AK46" i="11" s="1"/>
  <c r="S46" i="11"/>
  <c r="U57" i="10"/>
  <c r="AA57" i="10" s="1"/>
  <c r="AB57" i="10" s="1"/>
  <c r="S57" i="10"/>
  <c r="W92" i="11"/>
  <c r="X82" i="11"/>
  <c r="U149" i="10"/>
  <c r="AA149" i="10" s="1"/>
  <c r="AB149" i="10" s="1"/>
  <c r="S149" i="10"/>
  <c r="U58" i="11"/>
  <c r="AA58" i="11" s="1"/>
  <c r="AB58" i="11" s="1"/>
  <c r="AQ58" i="11" s="1"/>
  <c r="S58" i="11"/>
  <c r="Z79" i="11"/>
  <c r="U87" i="11"/>
  <c r="AA87" i="11" s="1"/>
  <c r="AB87" i="11" s="1"/>
  <c r="S87" i="11"/>
  <c r="R88" i="1"/>
  <c r="S88" i="1" s="1"/>
  <c r="P90" i="8"/>
  <c r="E20" i="7" s="1"/>
  <c r="AO20" i="7" s="1"/>
  <c r="R42" i="8"/>
  <c r="S42" i="8" s="1"/>
  <c r="U84" i="11"/>
  <c r="AK84" i="11" s="1"/>
  <c r="S84" i="11"/>
  <c r="U171" i="10"/>
  <c r="AA171" i="10" s="1"/>
  <c r="AB171" i="10" s="1"/>
  <c r="S171" i="10"/>
  <c r="U135" i="10"/>
  <c r="AA135" i="10" s="1"/>
  <c r="AB135" i="10" s="1"/>
  <c r="S135" i="10"/>
  <c r="U17" i="10"/>
  <c r="AA17" i="10" s="1"/>
  <c r="AB17" i="10" s="1"/>
  <c r="S17" i="10"/>
  <c r="U183" i="10"/>
  <c r="AA183" i="10" s="1"/>
  <c r="AB183" i="10" s="1"/>
  <c r="S183" i="10"/>
  <c r="U22" i="10"/>
  <c r="AA22" i="10" s="1"/>
  <c r="AB22" i="10" s="1"/>
  <c r="S22" i="10"/>
  <c r="U90" i="11"/>
  <c r="AA90" i="11" s="1"/>
  <c r="AB90" i="11" s="1"/>
  <c r="S90" i="11"/>
  <c r="U61" i="10"/>
  <c r="AA61" i="10" s="1"/>
  <c r="AB61" i="10" s="1"/>
  <c r="S61" i="10"/>
  <c r="U168" i="10"/>
  <c r="AA168" i="10" s="1"/>
  <c r="AB168" i="10" s="1"/>
  <c r="S168" i="10"/>
  <c r="U16" i="10"/>
  <c r="AA16" i="10" s="1"/>
  <c r="AB16" i="10" s="1"/>
  <c r="S16" i="10"/>
  <c r="U20" i="10"/>
  <c r="AA20" i="10" s="1"/>
  <c r="AB20" i="10" s="1"/>
  <c r="S20" i="10"/>
  <c r="U27" i="10"/>
  <c r="AA27" i="10" s="1"/>
  <c r="AB27" i="10" s="1"/>
  <c r="S27" i="10"/>
  <c r="U113" i="10"/>
  <c r="AA113" i="10" s="1"/>
  <c r="AB113" i="10" s="1"/>
  <c r="S113" i="10"/>
  <c r="AM52" i="11"/>
  <c r="U71" i="11"/>
  <c r="AK71" i="11" s="1"/>
  <c r="S71" i="11"/>
  <c r="U84" i="10"/>
  <c r="AA84" i="10" s="1"/>
  <c r="AB84" i="10" s="1"/>
  <c r="S84" i="10"/>
  <c r="U219" i="10"/>
  <c r="AA219" i="10" s="1"/>
  <c r="AB219" i="10" s="1"/>
  <c r="S219" i="10"/>
  <c r="U128" i="10"/>
  <c r="AA128" i="10" s="1"/>
  <c r="AB128" i="10" s="1"/>
  <c r="S128" i="10"/>
  <c r="Q41" i="11"/>
  <c r="U24" i="11"/>
  <c r="AA24" i="11" s="1"/>
  <c r="S24" i="11"/>
  <c r="U119" i="10"/>
  <c r="AA119" i="10" s="1"/>
  <c r="AB119" i="10" s="1"/>
  <c r="S119" i="10"/>
  <c r="Q92" i="11"/>
  <c r="U82" i="11"/>
  <c r="AK82" i="11" s="1"/>
  <c r="S82" i="11"/>
  <c r="U26" i="10"/>
  <c r="AA26" i="10" s="1"/>
  <c r="AB26" i="10" s="1"/>
  <c r="S26" i="10"/>
  <c r="U63" i="11"/>
  <c r="AA63" i="11" s="1"/>
  <c r="AB63" i="11" s="1"/>
  <c r="S63" i="11"/>
  <c r="U66" i="11"/>
  <c r="AA66" i="11" s="1"/>
  <c r="AB66" i="11" s="1"/>
  <c r="AQ66" i="11" s="1"/>
  <c r="S66" i="11"/>
  <c r="U43" i="10"/>
  <c r="AA43" i="10" s="1"/>
  <c r="AB43" i="10" s="1"/>
  <c r="S43" i="10"/>
  <c r="R36" i="8"/>
  <c r="S36" i="8" s="1"/>
  <c r="U85" i="10"/>
  <c r="AA85" i="10" s="1"/>
  <c r="AB85" i="10" s="1"/>
  <c r="S85" i="10"/>
  <c r="U105" i="10"/>
  <c r="AA105" i="10" s="1"/>
  <c r="AB105" i="10" s="1"/>
  <c r="S105" i="10"/>
  <c r="U227" i="10"/>
  <c r="AA227" i="10" s="1"/>
  <c r="AB227" i="10" s="1"/>
  <c r="S227" i="10"/>
  <c r="U67" i="10"/>
  <c r="AA67" i="10" s="1"/>
  <c r="AB67" i="10" s="1"/>
  <c r="S67" i="10"/>
  <c r="U39" i="10"/>
  <c r="AA39" i="10" s="1"/>
  <c r="AB39" i="10" s="1"/>
  <c r="S39" i="10"/>
  <c r="U140" i="10"/>
  <c r="AA140" i="10" s="1"/>
  <c r="AB140" i="10" s="1"/>
  <c r="S140" i="10"/>
  <c r="U68" i="11"/>
  <c r="AK68" i="11" s="1"/>
  <c r="S68" i="11"/>
  <c r="U76" i="11"/>
  <c r="AK76" i="11" s="1"/>
  <c r="S76" i="11"/>
  <c r="U67" i="11"/>
  <c r="AK67" i="11" s="1"/>
  <c r="S67" i="11"/>
  <c r="U169" i="10"/>
  <c r="AA169" i="10" s="1"/>
  <c r="AB169" i="10" s="1"/>
  <c r="S169" i="10"/>
  <c r="U39" i="11"/>
  <c r="AA39" i="11" s="1"/>
  <c r="AB39" i="11" s="1"/>
  <c r="S39" i="11"/>
  <c r="Q198" i="10"/>
  <c r="U181" i="10"/>
  <c r="S181" i="10"/>
  <c r="U121" i="10"/>
  <c r="AA121" i="10" s="1"/>
  <c r="AB121" i="10" s="1"/>
  <c r="S121" i="10"/>
  <c r="U82" i="10"/>
  <c r="AA82" i="10" s="1"/>
  <c r="AB82" i="10" s="1"/>
  <c r="S82" i="10"/>
  <c r="U75" i="11"/>
  <c r="AK75" i="11" s="1"/>
  <c r="S75" i="11"/>
  <c r="U45" i="10"/>
  <c r="AA45" i="10" s="1"/>
  <c r="AB45" i="10" s="1"/>
  <c r="S45" i="10"/>
  <c r="U66" i="10"/>
  <c r="AA66" i="10" s="1"/>
  <c r="AB66" i="10" s="1"/>
  <c r="S66" i="10"/>
  <c r="U118" i="10"/>
  <c r="AA118" i="10" s="1"/>
  <c r="AB118" i="10" s="1"/>
  <c r="S118" i="10"/>
  <c r="Z98" i="10"/>
  <c r="U122" i="10"/>
  <c r="AA122" i="10" s="1"/>
  <c r="AB122" i="10" s="1"/>
  <c r="S122" i="10"/>
  <c r="S80" i="10"/>
  <c r="U80" i="10"/>
  <c r="AA80" i="10" s="1"/>
  <c r="AB80" i="10" s="1"/>
  <c r="AO62" i="11"/>
  <c r="U41" i="10"/>
  <c r="AA41" i="10" s="1"/>
  <c r="AB41" i="10" s="1"/>
  <c r="S41" i="10"/>
  <c r="R100" i="1"/>
  <c r="S100" i="1" s="1"/>
  <c r="U89" i="10"/>
  <c r="AA89" i="10" s="1"/>
  <c r="AB89" i="10" s="1"/>
  <c r="S89" i="10"/>
  <c r="U47" i="11"/>
  <c r="AA47" i="11" s="1"/>
  <c r="AB47" i="11" s="1"/>
  <c r="AQ47" i="11" s="1"/>
  <c r="S47" i="11"/>
  <c r="U154" i="10"/>
  <c r="AA154" i="10" s="1"/>
  <c r="AB154" i="10" s="1"/>
  <c r="S154" i="10"/>
  <c r="U31" i="11"/>
  <c r="AK31" i="11" s="1"/>
  <c r="S31" i="11"/>
  <c r="Q176" i="10"/>
  <c r="U134" i="10"/>
  <c r="S134" i="10"/>
  <c r="U72" i="10"/>
  <c r="AA72" i="10" s="1"/>
  <c r="AB72" i="10" s="1"/>
  <c r="S72" i="10"/>
  <c r="S136" i="10"/>
  <c r="U136" i="10"/>
  <c r="AA136" i="10" s="1"/>
  <c r="AB136" i="10" s="1"/>
  <c r="U28" i="10"/>
  <c r="AA28" i="10" s="1"/>
  <c r="AB28" i="10" s="1"/>
  <c r="S28" i="10"/>
  <c r="U137" i="10"/>
  <c r="AA137" i="10" s="1"/>
  <c r="AB137" i="10" s="1"/>
  <c r="S137" i="10"/>
  <c r="U73" i="10"/>
  <c r="AA73" i="10" s="1"/>
  <c r="AB73" i="10" s="1"/>
  <c r="S73" i="10"/>
  <c r="U105" i="11"/>
  <c r="AA105" i="11" s="1"/>
  <c r="AB105" i="11" s="1"/>
  <c r="S105" i="11"/>
  <c r="U63" i="10"/>
  <c r="AA63" i="10" s="1"/>
  <c r="AB63" i="10" s="1"/>
  <c r="S63" i="10"/>
  <c r="U112" i="10"/>
  <c r="AA112" i="10" s="1"/>
  <c r="AB112" i="10" s="1"/>
  <c r="S112" i="10"/>
  <c r="U146" i="10"/>
  <c r="AA146" i="10" s="1"/>
  <c r="AB146" i="10" s="1"/>
  <c r="S146" i="10"/>
  <c r="U62" i="11"/>
  <c r="AA62" i="11" s="1"/>
  <c r="AB62" i="11" s="1"/>
  <c r="S62" i="11"/>
  <c r="AI20" i="11"/>
  <c r="U230" i="10"/>
  <c r="AA230" i="10" s="1"/>
  <c r="AB230" i="10" s="1"/>
  <c r="S230" i="10"/>
  <c r="U182" i="10"/>
  <c r="AA182" i="10" s="1"/>
  <c r="AB182" i="10" s="1"/>
  <c r="S182" i="10"/>
  <c r="U56" i="11"/>
  <c r="AK56" i="11" s="1"/>
  <c r="S56" i="11"/>
  <c r="X181" i="10"/>
  <c r="W198" i="10"/>
  <c r="AO68" i="11"/>
  <c r="U74" i="10"/>
  <c r="AA74" i="10" s="1"/>
  <c r="AB74" i="10" s="1"/>
  <c r="S74" i="10"/>
  <c r="U35" i="10"/>
  <c r="AA35" i="10" s="1"/>
  <c r="AB35" i="10" s="1"/>
  <c r="S35" i="10"/>
  <c r="U184" i="10"/>
  <c r="AA184" i="10" s="1"/>
  <c r="AB184" i="10" s="1"/>
  <c r="S184" i="10"/>
  <c r="U107" i="11"/>
  <c r="AA107" i="11" s="1"/>
  <c r="AB107" i="11" s="1"/>
  <c r="S107" i="11"/>
  <c r="Q98" i="10"/>
  <c r="U14" i="10"/>
  <c r="S14" i="10"/>
  <c r="U38" i="11"/>
  <c r="AA38" i="11" s="1"/>
  <c r="AB38" i="11" s="1"/>
  <c r="S38" i="11"/>
  <c r="AS74" i="14"/>
  <c r="AT74" i="14" s="1"/>
  <c r="V55" i="7"/>
  <c r="AS123" i="14"/>
  <c r="AT123" i="14" s="1"/>
  <c r="AS45" i="14"/>
  <c r="AT45" i="14" s="1"/>
  <c r="R222" i="1"/>
  <c r="S222" i="1" s="1"/>
  <c r="P46" i="8"/>
  <c r="E10" i="7" s="1"/>
  <c r="R88" i="8"/>
  <c r="S88" i="8" s="1"/>
  <c r="Q68" i="8"/>
  <c r="F16" i="7" s="1"/>
  <c r="AP16" i="7" s="1"/>
  <c r="R29" i="8"/>
  <c r="S29" i="8" s="1"/>
  <c r="R207" i="8"/>
  <c r="S207" i="8" s="1"/>
  <c r="P68" i="8"/>
  <c r="E16" i="7" s="1"/>
  <c r="AO16" i="7" s="1"/>
  <c r="Q90" i="8"/>
  <c r="F20" i="7" s="1"/>
  <c r="AP20" i="7" s="1"/>
  <c r="AS21" i="14"/>
  <c r="AT21" i="14" s="1"/>
  <c r="AS208" i="14"/>
  <c r="AT208" i="14" s="1"/>
  <c r="AS399" i="14"/>
  <c r="AT399" i="14" s="1"/>
  <c r="AS237" i="14"/>
  <c r="AT237" i="14" s="1"/>
  <c r="AS216" i="14"/>
  <c r="AT216" i="14" s="1"/>
  <c r="AS278" i="14"/>
  <c r="AT278" i="14" s="1"/>
  <c r="AS259" i="14"/>
  <c r="AT259" i="14" s="1"/>
  <c r="AS192" i="14"/>
  <c r="AT192" i="14" s="1"/>
  <c r="AS285" i="14"/>
  <c r="AT285" i="14" s="1"/>
  <c r="AS56" i="14"/>
  <c r="AT56" i="14" s="1"/>
  <c r="AS524" i="14"/>
  <c r="AT524" i="14" s="1"/>
  <c r="AS256" i="14"/>
  <c r="AT256" i="14" s="1"/>
  <c r="T55" i="7"/>
  <c r="AS200" i="14"/>
  <c r="AT200" i="14" s="1"/>
  <c r="AN33" i="7"/>
  <c r="AN39" i="7" s="1"/>
  <c r="Q68" i="4"/>
  <c r="Q51" i="4"/>
  <c r="Q52" i="4"/>
  <c r="Q13" i="4"/>
  <c r="Q17" i="4"/>
  <c r="Q14" i="4"/>
  <c r="Q59" i="4"/>
  <c r="Q38" i="4"/>
  <c r="Q82" i="4"/>
  <c r="Q57" i="4"/>
  <c r="Q37" i="4"/>
  <c r="Q29" i="4"/>
  <c r="Q73" i="4"/>
  <c r="Q31" i="4"/>
  <c r="Q70" i="4"/>
  <c r="Q66" i="4"/>
  <c r="Q69" i="4"/>
  <c r="Q36" i="4"/>
  <c r="Q40" i="4"/>
  <c r="Q46" i="4"/>
  <c r="Q105" i="4"/>
  <c r="Q75" i="4"/>
  <c r="Q25" i="4"/>
  <c r="Q103" i="4"/>
  <c r="Q83" i="4"/>
  <c r="Q12" i="4"/>
  <c r="Q43" i="4"/>
  <c r="Q115" i="4"/>
  <c r="Q28" i="4"/>
  <c r="Q76" i="4"/>
  <c r="Q86" i="4"/>
  <c r="Q104" i="4"/>
  <c r="Q26" i="4"/>
  <c r="Q16" i="4"/>
  <c r="R16" i="4" s="1"/>
  <c r="S16" i="4" s="1"/>
  <c r="Q87" i="4"/>
  <c r="R87" i="4" s="1"/>
  <c r="S87" i="4" s="1"/>
  <c r="Q71" i="4"/>
  <c r="Q32" i="4"/>
  <c r="Q109" i="4"/>
  <c r="Q114" i="4"/>
  <c r="Q45" i="4"/>
  <c r="Q67" i="4"/>
  <c r="Q116" i="4"/>
  <c r="Q15" i="4"/>
  <c r="Q65" i="4"/>
  <c r="F14" i="7"/>
  <c r="AP14" i="7" s="1"/>
  <c r="Q30" i="4"/>
  <c r="R56" i="8"/>
  <c r="S56" i="8" s="1"/>
  <c r="Q46" i="8"/>
  <c r="F10" i="7" s="1"/>
  <c r="R34" i="8"/>
  <c r="S34" i="8" s="1"/>
  <c r="Q19" i="4"/>
  <c r="Q64" i="4"/>
  <c r="Q44" i="4"/>
  <c r="R44" i="4" s="1"/>
  <c r="S44" i="4" s="1"/>
  <c r="Q77" i="4"/>
  <c r="Q33" i="4"/>
  <c r="Q58" i="4"/>
  <c r="Q18" i="4"/>
  <c r="Q84" i="4"/>
  <c r="Q42" i="4"/>
  <c r="R42" i="4" s="1"/>
  <c r="S42" i="4" s="1"/>
  <c r="Q24" i="4"/>
  <c r="Q72" i="4"/>
  <c r="Q35" i="4"/>
  <c r="Q85" i="4"/>
  <c r="Q74" i="4"/>
  <c r="Q102" i="4"/>
  <c r="Q41" i="4"/>
  <c r="R41" i="4" s="1"/>
  <c r="S41" i="4" s="1"/>
  <c r="Q112" i="4"/>
  <c r="Q34" i="4"/>
  <c r="Q39" i="4"/>
  <c r="Q27" i="4"/>
  <c r="AS286" i="14"/>
  <c r="AT286" i="14" s="1"/>
  <c r="AS273" i="14"/>
  <c r="AT273" i="14" s="1"/>
  <c r="AS238" i="14"/>
  <c r="AT238" i="14" s="1"/>
  <c r="R109" i="1"/>
  <c r="S109" i="1" s="1"/>
  <c r="AS240" i="14"/>
  <c r="AT240" i="14" s="1"/>
  <c r="AR12" i="7"/>
  <c r="C47" i="7"/>
  <c r="D43" i="7"/>
  <c r="AS349" i="14"/>
  <c r="AT349" i="14" s="1"/>
  <c r="AS135" i="14"/>
  <c r="AT135" i="14" s="1"/>
  <c r="AS156" i="14"/>
  <c r="AT156" i="14" s="1"/>
  <c r="AS244" i="14"/>
  <c r="AT244" i="14" s="1"/>
  <c r="AS219" i="14"/>
  <c r="AT219" i="14" s="1"/>
  <c r="AS160" i="14"/>
  <c r="AT160" i="14" s="1"/>
  <c r="AS523" i="14"/>
  <c r="AT523" i="14" s="1"/>
  <c r="AS133" i="14"/>
  <c r="AT133" i="14" s="1"/>
  <c r="AS358" i="14"/>
  <c r="AT358" i="14" s="1"/>
  <c r="AS266" i="14"/>
  <c r="AT266" i="14" s="1"/>
  <c r="AS245" i="14"/>
  <c r="AT245" i="14" s="1"/>
  <c r="AS110" i="14"/>
  <c r="AT110" i="14" s="1"/>
  <c r="AS540" i="14"/>
  <c r="AT540" i="14" s="1"/>
  <c r="AS322" i="14"/>
  <c r="AT322" i="14" s="1"/>
  <c r="AS202" i="14"/>
  <c r="AT202" i="14" s="1"/>
  <c r="AS386" i="14"/>
  <c r="AT386" i="14" s="1"/>
  <c r="AS163" i="14"/>
  <c r="AT163" i="14" s="1"/>
  <c r="AS125" i="14"/>
  <c r="AT125" i="14" s="1"/>
  <c r="AS87" i="14"/>
  <c r="AT87" i="14" s="1"/>
  <c r="AS83" i="14"/>
  <c r="AT83" i="14" s="1"/>
  <c r="AS567" i="14"/>
  <c r="AT567" i="14" s="1"/>
  <c r="AS409" i="14"/>
  <c r="AT409" i="14" s="1"/>
  <c r="AS215" i="14"/>
  <c r="AT215" i="14" s="1"/>
  <c r="AS167" i="14"/>
  <c r="AT167" i="14" s="1"/>
  <c r="AS250" i="14"/>
  <c r="AT250" i="14" s="1"/>
  <c r="AS262" i="14"/>
  <c r="AT262" i="14" s="1"/>
  <c r="AS433" i="14"/>
  <c r="AT433" i="14" s="1"/>
  <c r="AS127" i="14"/>
  <c r="AT127" i="14" s="1"/>
  <c r="AS357" i="14"/>
  <c r="AT357" i="14" s="1"/>
  <c r="AS155" i="14"/>
  <c r="AT155" i="14" s="1"/>
  <c r="AS323" i="14"/>
  <c r="AT323" i="14" s="1"/>
  <c r="AS280" i="14"/>
  <c r="AT280" i="14" s="1"/>
  <c r="AS310" i="14"/>
  <c r="AT310" i="14" s="1"/>
  <c r="AS552" i="14"/>
  <c r="AT552" i="14" s="1"/>
  <c r="AS282" i="14"/>
  <c r="AT282" i="14" s="1"/>
  <c r="AS311" i="14"/>
  <c r="AT311" i="14" s="1"/>
  <c r="AS353" i="14"/>
  <c r="AT353" i="14" s="1"/>
  <c r="AS255" i="14"/>
  <c r="AT255" i="14" s="1"/>
  <c r="AS267" i="14"/>
  <c r="AT267" i="14" s="1"/>
  <c r="AS341" i="14"/>
  <c r="AT341" i="14" s="1"/>
  <c r="AS512" i="14"/>
  <c r="AT512" i="14" s="1"/>
  <c r="AS174" i="14"/>
  <c r="AT174" i="14" s="1"/>
  <c r="AS339" i="14"/>
  <c r="AT339" i="14" s="1"/>
  <c r="AS221" i="14"/>
  <c r="AT221" i="14" s="1"/>
  <c r="AS248" i="14"/>
  <c r="AT248" i="14" s="1"/>
  <c r="Z24" i="7"/>
  <c r="Y33" i="7"/>
  <c r="W39" i="7"/>
  <c r="W55" i="7" s="1"/>
  <c r="V25" i="7"/>
  <c r="AA35" i="9"/>
  <c r="AA84" i="9" s="1"/>
  <c r="AB17" i="9"/>
  <c r="AB35" i="9" s="1"/>
  <c r="AB84" i="9" s="1"/>
  <c r="C10" i="7" l="1"/>
  <c r="R219" i="1"/>
  <c r="S219" i="1" s="1"/>
  <c r="R125" i="1"/>
  <c r="S125" i="1" s="1"/>
  <c r="R58" i="8"/>
  <c r="S58" i="8"/>
  <c r="R91" i="1"/>
  <c r="S91" i="1" s="1"/>
  <c r="R209" i="1"/>
  <c r="S209" i="1" s="1"/>
  <c r="R94" i="1"/>
  <c r="S94" i="1" s="1"/>
  <c r="R212" i="1"/>
  <c r="S212" i="1" s="1"/>
  <c r="R168" i="1"/>
  <c r="S168" i="1" s="1"/>
  <c r="R82" i="4"/>
  <c r="S82" i="4" s="1"/>
  <c r="P54" i="4"/>
  <c r="E45" i="7" s="1"/>
  <c r="AO45" i="7" s="1"/>
  <c r="R207" i="1"/>
  <c r="S207" i="1" s="1"/>
  <c r="R215" i="1"/>
  <c r="S215" i="1" s="1"/>
  <c r="AQ37" i="11"/>
  <c r="R213" i="1"/>
  <c r="S213" i="1" s="1"/>
  <c r="R51" i="4"/>
  <c r="S51" i="4" s="1"/>
  <c r="R108" i="1"/>
  <c r="S108" i="1" s="1"/>
  <c r="P263" i="1"/>
  <c r="E37" i="7" s="1"/>
  <c r="AO37" i="7" s="1"/>
  <c r="R112" i="1"/>
  <c r="S112" i="1" s="1"/>
  <c r="R117" i="1"/>
  <c r="S117" i="1" s="1"/>
  <c r="R260" i="1"/>
  <c r="R167" i="1"/>
  <c r="S167" i="1" s="1"/>
  <c r="R77" i="1"/>
  <c r="S77" i="1" s="1"/>
  <c r="R79" i="1"/>
  <c r="S79" i="1" s="1"/>
  <c r="R159" i="1"/>
  <c r="S159" i="1" s="1"/>
  <c r="R103" i="1"/>
  <c r="S103" i="1" s="1"/>
  <c r="R206" i="1"/>
  <c r="S206" i="1" s="1"/>
  <c r="R221" i="1"/>
  <c r="S221" i="1" s="1"/>
  <c r="AK49" i="11"/>
  <c r="R254" i="1"/>
  <c r="S254" i="1" s="1"/>
  <c r="AA76" i="11"/>
  <c r="AB76" i="11" s="1"/>
  <c r="AQ76" i="11" s="1"/>
  <c r="R223" i="1"/>
  <c r="S223" i="1" s="1"/>
  <c r="R261" i="1"/>
  <c r="S261" i="1" s="1"/>
  <c r="R220" i="1"/>
  <c r="S220" i="1" s="1"/>
  <c r="R250" i="1"/>
  <c r="S250" i="1" s="1"/>
  <c r="R201" i="1"/>
  <c r="S201" i="1" s="1"/>
  <c r="Q263" i="1"/>
  <c r="F37" i="7" s="1"/>
  <c r="AP37" i="7" s="1"/>
  <c r="R208" i="1"/>
  <c r="S208" i="1" s="1"/>
  <c r="R169" i="1"/>
  <c r="S169" i="1" s="1"/>
  <c r="R255" i="1"/>
  <c r="S255" i="1" s="1"/>
  <c r="R203" i="1"/>
  <c r="S203" i="1" s="1"/>
  <c r="R86" i="1"/>
  <c r="S86" i="1" s="1"/>
  <c r="R166" i="1"/>
  <c r="S166" i="1" s="1"/>
  <c r="R96" i="1"/>
  <c r="S96" i="1" s="1"/>
  <c r="R156" i="1"/>
  <c r="S156" i="1" s="1"/>
  <c r="R107" i="1"/>
  <c r="S107" i="1" s="1"/>
  <c r="R120" i="1"/>
  <c r="S120" i="1" s="1"/>
  <c r="R160" i="1"/>
  <c r="S160" i="1" s="1"/>
  <c r="R106" i="1"/>
  <c r="S106" i="1" s="1"/>
  <c r="R218" i="1"/>
  <c r="S218" i="1" s="1"/>
  <c r="R224" i="1"/>
  <c r="S224" i="1" s="1"/>
  <c r="R122" i="1"/>
  <c r="S122" i="1" s="1"/>
  <c r="R226" i="1"/>
  <c r="S226" i="1" s="1"/>
  <c r="R80" i="1"/>
  <c r="S80" i="1" s="1"/>
  <c r="R111" i="1"/>
  <c r="S111" i="1" s="1"/>
  <c r="R238" i="1"/>
  <c r="S238" i="1" s="1"/>
  <c r="R248" i="1"/>
  <c r="S248" i="1" s="1"/>
  <c r="R210" i="1"/>
  <c r="S210" i="1" s="1"/>
  <c r="R249" i="1"/>
  <c r="S249" i="1" s="1"/>
  <c r="R200" i="1"/>
  <c r="S200" i="1" s="1"/>
  <c r="R233" i="1"/>
  <c r="S233" i="1" s="1"/>
  <c r="R118" i="1"/>
  <c r="S118" i="1" s="1"/>
  <c r="R119" i="1"/>
  <c r="S119" i="1" s="1"/>
  <c r="R40" i="4"/>
  <c r="S40" i="4" s="1"/>
  <c r="R163" i="1"/>
  <c r="S163" i="1" s="1"/>
  <c r="AK85" i="11"/>
  <c r="R124" i="1"/>
  <c r="S124" i="1" s="1"/>
  <c r="R211" i="1"/>
  <c r="S211" i="1" s="1"/>
  <c r="R93" i="1"/>
  <c r="S93" i="1" s="1"/>
  <c r="R164" i="1"/>
  <c r="S164" i="1" s="1"/>
  <c r="R204" i="1"/>
  <c r="S204" i="1" s="1"/>
  <c r="R158" i="1"/>
  <c r="S158" i="1" s="1"/>
  <c r="R205" i="1"/>
  <c r="S205" i="1" s="1"/>
  <c r="R251" i="1"/>
  <c r="S251" i="1" s="1"/>
  <c r="R87" i="1"/>
  <c r="S87" i="1" s="1"/>
  <c r="R102" i="1"/>
  <c r="S102" i="1" s="1"/>
  <c r="R217" i="1"/>
  <c r="S217" i="1" s="1"/>
  <c r="R247" i="1"/>
  <c r="S247" i="1" s="1"/>
  <c r="R81" i="1"/>
  <c r="S81" i="1" s="1"/>
  <c r="R114" i="1"/>
  <c r="S114" i="1" s="1"/>
  <c r="R244" i="1"/>
  <c r="S244" i="1" s="1"/>
  <c r="R227" i="1"/>
  <c r="S227" i="1" s="1"/>
  <c r="R116" i="4"/>
  <c r="S116" i="4" s="1"/>
  <c r="R237" i="1"/>
  <c r="S237" i="1" s="1"/>
  <c r="R104" i="1"/>
  <c r="S104" i="1" s="1"/>
  <c r="R243" i="1"/>
  <c r="S243" i="1" s="1"/>
  <c r="R89" i="1"/>
  <c r="S89" i="1" s="1"/>
  <c r="R114" i="4"/>
  <c r="S114" i="4" s="1"/>
  <c r="AA61" i="11"/>
  <c r="AB61" i="11" s="1"/>
  <c r="AQ61" i="11" s="1"/>
  <c r="R52" i="4"/>
  <c r="S52" i="4" s="1"/>
  <c r="S54" i="4" s="1"/>
  <c r="H45" i="7" s="1"/>
  <c r="AR45" i="7" s="1"/>
  <c r="AK36" i="11"/>
  <c r="Q257" i="1"/>
  <c r="F35" i="7" s="1"/>
  <c r="AP35" i="7" s="1"/>
  <c r="R161" i="1"/>
  <c r="S161" i="1" s="1"/>
  <c r="R90" i="8"/>
  <c r="G20" i="7" s="1"/>
  <c r="AQ20" i="7" s="1"/>
  <c r="P257" i="1"/>
  <c r="E35" i="7" s="1"/>
  <c r="AO35" i="7" s="1"/>
  <c r="S79" i="4"/>
  <c r="Q240" i="1"/>
  <c r="R19" i="4"/>
  <c r="S19" i="4" s="1"/>
  <c r="R68" i="8"/>
  <c r="G16" i="7" s="1"/>
  <c r="AQ16" i="7" s="1"/>
  <c r="R97" i="1"/>
  <c r="S97" i="1" s="1"/>
  <c r="AA69" i="11"/>
  <c r="AB69" i="11" s="1"/>
  <c r="AQ69" i="11" s="1"/>
  <c r="R86" i="4"/>
  <c r="S86" i="4" s="1"/>
  <c r="R46" i="4"/>
  <c r="S46" i="4" s="1"/>
  <c r="R246" i="1"/>
  <c r="S246" i="1" s="1"/>
  <c r="R79" i="4"/>
  <c r="AQ63" i="11"/>
  <c r="R253" i="1"/>
  <c r="S253" i="1" s="1"/>
  <c r="R58" i="4"/>
  <c r="S58" i="4" s="1"/>
  <c r="S61" i="4" s="1"/>
  <c r="R123" i="1"/>
  <c r="S123" i="1" s="1"/>
  <c r="AQ48" i="11"/>
  <c r="P61" i="4"/>
  <c r="AK59" i="11"/>
  <c r="AA65" i="11"/>
  <c r="AB65" i="11" s="1"/>
  <c r="AQ65" i="11" s="1"/>
  <c r="Q229" i="1"/>
  <c r="F31" i="7" s="1"/>
  <c r="AP31" i="7" s="1"/>
  <c r="Q131" i="1"/>
  <c r="F27" i="7" s="1"/>
  <c r="AP27" i="7" s="1"/>
  <c r="Q171" i="1"/>
  <c r="F29" i="7" s="1"/>
  <c r="AP29" i="7" s="1"/>
  <c r="P240" i="1"/>
  <c r="E33" i="7" s="1"/>
  <c r="AO33" i="7" s="1"/>
  <c r="P171" i="1"/>
  <c r="E29" i="7" s="1"/>
  <c r="AO29" i="7" s="1"/>
  <c r="P89" i="4"/>
  <c r="E49" i="7" s="1"/>
  <c r="AO49" i="7" s="1"/>
  <c r="R37" i="4"/>
  <c r="S37" i="4" s="1"/>
  <c r="AK14" i="11"/>
  <c r="AQ34" i="11"/>
  <c r="AA67" i="11"/>
  <c r="AB67" i="11" s="1"/>
  <c r="AQ67" i="11" s="1"/>
  <c r="AK13" i="11"/>
  <c r="R155" i="1"/>
  <c r="S155" i="1" s="1"/>
  <c r="AK83" i="11"/>
  <c r="AK74" i="11"/>
  <c r="R225" i="1"/>
  <c r="S225" i="1" s="1"/>
  <c r="R36" i="4"/>
  <c r="S36" i="4" s="1"/>
  <c r="R45" i="4"/>
  <c r="S45" i="4" s="1"/>
  <c r="R115" i="4"/>
  <c r="S115" i="4" s="1"/>
  <c r="R17" i="4"/>
  <c r="S17" i="4" s="1"/>
  <c r="AA72" i="11"/>
  <c r="AB72" i="11" s="1"/>
  <c r="AQ72" i="11" s="1"/>
  <c r="R78" i="1"/>
  <c r="S78" i="1" s="1"/>
  <c r="R214" i="1"/>
  <c r="S214" i="1" s="1"/>
  <c r="AA33" i="11"/>
  <c r="AB33" i="11" s="1"/>
  <c r="AQ33" i="11" s="1"/>
  <c r="R83" i="4"/>
  <c r="S83" i="4" s="1"/>
  <c r="AA18" i="11"/>
  <c r="AB18" i="11" s="1"/>
  <c r="AK48" i="11"/>
  <c r="P21" i="4"/>
  <c r="E41" i="7" s="1"/>
  <c r="AO41" i="7" s="1"/>
  <c r="S79" i="11"/>
  <c r="AQ87" i="11"/>
  <c r="AA25" i="11"/>
  <c r="AB25" i="11" s="1"/>
  <c r="AQ25" i="11" s="1"/>
  <c r="P79" i="4"/>
  <c r="AQ62" i="11"/>
  <c r="W200" i="10"/>
  <c r="AK27" i="11"/>
  <c r="AA16" i="11"/>
  <c r="AB16" i="11" s="1"/>
  <c r="AQ16" i="11" s="1"/>
  <c r="Q200" i="10"/>
  <c r="AA15" i="11"/>
  <c r="AB15" i="11" s="1"/>
  <c r="AQ15" i="11" s="1"/>
  <c r="S46" i="8"/>
  <c r="H10" i="7" s="1"/>
  <c r="AA84" i="11"/>
  <c r="AB84" i="11" s="1"/>
  <c r="AQ84" i="11" s="1"/>
  <c r="U98" i="10"/>
  <c r="S92" i="11"/>
  <c r="AA64" i="11"/>
  <c r="AB64" i="11" s="1"/>
  <c r="AQ64" i="11" s="1"/>
  <c r="P48" i="4"/>
  <c r="E43" i="7" s="1"/>
  <c r="AO43" i="7" s="1"/>
  <c r="AA26" i="11"/>
  <c r="AB26" i="11" s="1"/>
  <c r="AQ26" i="11" s="1"/>
  <c r="P229" i="1"/>
  <c r="E31" i="7" s="1"/>
  <c r="AO31" i="7" s="1"/>
  <c r="P131" i="1"/>
  <c r="E27" i="7" s="1"/>
  <c r="AO27" i="7" s="1"/>
  <c r="AA86" i="11"/>
  <c r="AB86" i="11" s="1"/>
  <c r="AQ86" i="11" s="1"/>
  <c r="AB13" i="11"/>
  <c r="AO13" i="11"/>
  <c r="U52" i="11"/>
  <c r="AA30" i="11"/>
  <c r="AB30" i="11" s="1"/>
  <c r="AQ30" i="11" s="1"/>
  <c r="AA68" i="11"/>
  <c r="AB68" i="11" s="1"/>
  <c r="AQ68" i="11" s="1"/>
  <c r="AK62" i="11"/>
  <c r="AA28" i="11"/>
  <c r="AB28" i="11" s="1"/>
  <c r="AQ28" i="11" s="1"/>
  <c r="AK66" i="11"/>
  <c r="AO79" i="11"/>
  <c r="AA45" i="11"/>
  <c r="AK57" i="11"/>
  <c r="AA31" i="11"/>
  <c r="AB31" i="11" s="1"/>
  <c r="AQ31" i="11" s="1"/>
  <c r="AA71" i="11"/>
  <c r="AB71" i="11" s="1"/>
  <c r="AQ71" i="11" s="1"/>
  <c r="AA32" i="11"/>
  <c r="AB32" i="11" s="1"/>
  <c r="AQ32" i="11" s="1"/>
  <c r="AK58" i="11"/>
  <c r="AB24" i="11"/>
  <c r="X131" i="10"/>
  <c r="Z101" i="10"/>
  <c r="U79" i="11"/>
  <c r="AA14" i="10"/>
  <c r="AA46" i="11"/>
  <c r="AB46" i="11" s="1"/>
  <c r="AQ46" i="11" s="1"/>
  <c r="AK45" i="11"/>
  <c r="AA35" i="11"/>
  <c r="AB35" i="11" s="1"/>
  <c r="AQ35" i="11" s="1"/>
  <c r="S20" i="11"/>
  <c r="AK60" i="11"/>
  <c r="S131" i="10"/>
  <c r="AA56" i="11"/>
  <c r="AB56" i="11" s="1"/>
  <c r="AQ56" i="11" s="1"/>
  <c r="X198" i="10"/>
  <c r="Z181" i="10"/>
  <c r="S176" i="10"/>
  <c r="U131" i="10"/>
  <c r="AK87" i="11"/>
  <c r="AK63" i="11"/>
  <c r="U176" i="10"/>
  <c r="AA75" i="11"/>
  <c r="AB75" i="11" s="1"/>
  <c r="AQ75" i="11" s="1"/>
  <c r="AK34" i="11"/>
  <c r="AK37" i="11"/>
  <c r="S198" i="10"/>
  <c r="S41" i="11"/>
  <c r="AK47" i="11"/>
  <c r="D14" i="7"/>
  <c r="C14" i="7" s="1"/>
  <c r="M92" i="8"/>
  <c r="B24" i="7"/>
  <c r="AL14" i="7"/>
  <c r="AL24" i="7" s="1"/>
  <c r="AL55" i="7" s="1"/>
  <c r="AL56" i="7" s="1"/>
  <c r="S52" i="11"/>
  <c r="AO41" i="11"/>
  <c r="S98" i="10"/>
  <c r="U198" i="10"/>
  <c r="U92" i="11"/>
  <c r="U41" i="11"/>
  <c r="AA55" i="11"/>
  <c r="X92" i="11"/>
  <c r="Z82" i="11"/>
  <c r="N92" i="8"/>
  <c r="X176" i="10"/>
  <c r="Z134" i="10"/>
  <c r="AK24" i="11"/>
  <c r="R46" i="8"/>
  <c r="G10" i="7" s="1"/>
  <c r="S90" i="8"/>
  <c r="H20" i="7" s="1"/>
  <c r="AR20" i="7" s="1"/>
  <c r="Q21" i="4"/>
  <c r="Q54" i="4"/>
  <c r="F45" i="7" s="1"/>
  <c r="AP45" i="7" s="1"/>
  <c r="R18" i="4"/>
  <c r="S18" i="4" s="1"/>
  <c r="Q61" i="4"/>
  <c r="Q79" i="4"/>
  <c r="Q48" i="4"/>
  <c r="F43" i="7" s="1"/>
  <c r="AP43" i="7" s="1"/>
  <c r="Q89" i="4"/>
  <c r="F49" i="7" s="1"/>
  <c r="AP49" i="7" s="1"/>
  <c r="R84" i="4"/>
  <c r="S84" i="4" s="1"/>
  <c r="Q92" i="8"/>
  <c r="AP10" i="7"/>
  <c r="AP24" i="7" s="1"/>
  <c r="F24" i="7"/>
  <c r="AO10" i="7"/>
  <c r="AN43" i="7"/>
  <c r="C43" i="7"/>
  <c r="W40" i="7"/>
  <c r="Z33" i="7"/>
  <c r="Y39" i="7"/>
  <c r="Y55" i="7" s="1"/>
  <c r="Z25" i="7"/>
  <c r="AC17" i="9"/>
  <c r="H47" i="7" l="1"/>
  <c r="AR47" i="7" s="1"/>
  <c r="C24" i="7"/>
  <c r="C55" i="7" s="1"/>
  <c r="R263" i="1"/>
  <c r="G37" i="7" s="1"/>
  <c r="AQ37" i="7" s="1"/>
  <c r="R61" i="4"/>
  <c r="G47" i="7" s="1"/>
  <c r="AQ47" i="7" s="1"/>
  <c r="S260" i="1"/>
  <c r="S263" i="1" s="1"/>
  <c r="H37" i="7" s="1"/>
  <c r="AR37" i="7" s="1"/>
  <c r="AK20" i="11"/>
  <c r="S240" i="1"/>
  <c r="H33" i="7" s="1"/>
  <c r="AR33" i="7" s="1"/>
  <c r="R240" i="1"/>
  <c r="G33" i="7" s="1"/>
  <c r="AQ33" i="7" s="1"/>
  <c r="S171" i="1"/>
  <c r="H29" i="7" s="1"/>
  <c r="AR29" i="7" s="1"/>
  <c r="AK92" i="11"/>
  <c r="Q266" i="1"/>
  <c r="R257" i="1"/>
  <c r="G35" i="7" s="1"/>
  <c r="AQ35" i="7" s="1"/>
  <c r="S131" i="1"/>
  <c r="H27" i="7" s="1"/>
  <c r="AR27" i="7" s="1"/>
  <c r="S257" i="1"/>
  <c r="H35" i="7" s="1"/>
  <c r="AR35" i="7" s="1"/>
  <c r="F33" i="7"/>
  <c r="AP33" i="7" s="1"/>
  <c r="AP39" i="7" s="1"/>
  <c r="R54" i="4"/>
  <c r="G45" i="7" s="1"/>
  <c r="AQ45" i="7" s="1"/>
  <c r="S229" i="1"/>
  <c r="H31" i="7" s="1"/>
  <c r="AR31" i="7" s="1"/>
  <c r="R229" i="1"/>
  <c r="G31" i="7" s="1"/>
  <c r="AQ31" i="7" s="1"/>
  <c r="E47" i="7"/>
  <c r="AO47" i="7" s="1"/>
  <c r="E39" i="7"/>
  <c r="S48" i="4"/>
  <c r="H43" i="7" s="1"/>
  <c r="AR43" i="7" s="1"/>
  <c r="AA20" i="11"/>
  <c r="R171" i="1"/>
  <c r="G29" i="7" s="1"/>
  <c r="AQ29" i="7" s="1"/>
  <c r="R48" i="4"/>
  <c r="G43" i="7" s="1"/>
  <c r="AQ43" i="7" s="1"/>
  <c r="R131" i="1"/>
  <c r="G27" i="7" s="1"/>
  <c r="AQ27" i="7" s="1"/>
  <c r="S21" i="4"/>
  <c r="H41" i="7" s="1"/>
  <c r="AR41" i="7" s="1"/>
  <c r="AO18" i="11"/>
  <c r="AO20" i="11" s="1"/>
  <c r="AO39" i="7"/>
  <c r="P92" i="4"/>
  <c r="X200" i="10"/>
  <c r="P266" i="1"/>
  <c r="AK79" i="11"/>
  <c r="AA41" i="11"/>
  <c r="U200" i="10"/>
  <c r="AK41" i="11"/>
  <c r="Z176" i="10"/>
  <c r="AA134" i="10"/>
  <c r="AQ24" i="11"/>
  <c r="AQ41" i="11" s="1"/>
  <c r="AB41" i="11"/>
  <c r="AK52" i="11"/>
  <c r="S200" i="10"/>
  <c r="B55" i="7"/>
  <c r="B25" i="7"/>
  <c r="AA52" i="11"/>
  <c r="AB45" i="11"/>
  <c r="AB20" i="11"/>
  <c r="AQ13" i="11"/>
  <c r="O92" i="8"/>
  <c r="Z92" i="11"/>
  <c r="AA82" i="11"/>
  <c r="AN14" i="7"/>
  <c r="AN24" i="7" s="1"/>
  <c r="AN55" i="7" s="1"/>
  <c r="AN56" i="7" s="1"/>
  <c r="D24" i="7"/>
  <c r="D55" i="7" s="1"/>
  <c r="Z198" i="10"/>
  <c r="AA181" i="10"/>
  <c r="AA79" i="11"/>
  <c r="AB55" i="11"/>
  <c r="AA98" i="10"/>
  <c r="AB14" i="10"/>
  <c r="AB98" i="10" s="1"/>
  <c r="Z131" i="10"/>
  <c r="AA101" i="10"/>
  <c r="F41" i="7"/>
  <c r="AP41" i="7" s="1"/>
  <c r="Q92" i="4"/>
  <c r="R21" i="4"/>
  <c r="F47" i="7"/>
  <c r="AP47" i="7" s="1"/>
  <c r="R89" i="4"/>
  <c r="G49" i="7" s="1"/>
  <c r="AQ49" i="7" s="1"/>
  <c r="S89" i="4"/>
  <c r="H49" i="7" s="1"/>
  <c r="AR49" i="7" s="1"/>
  <c r="AR10" i="7"/>
  <c r="AQ10" i="7"/>
  <c r="Z39" i="7"/>
  <c r="Z55" i="7" s="1"/>
  <c r="AC35" i="9"/>
  <c r="AC84" i="9" s="1"/>
  <c r="AN17" i="9"/>
  <c r="AN35" i="9" s="1"/>
  <c r="AN84" i="9" s="1"/>
  <c r="H39" i="7" l="1"/>
  <c r="E40" i="7"/>
  <c r="AQ39" i="7"/>
  <c r="AQ18" i="11"/>
  <c r="AQ20" i="11" s="1"/>
  <c r="AR39" i="7"/>
  <c r="S266" i="1"/>
  <c r="F39" i="7"/>
  <c r="F55" i="7" s="1"/>
  <c r="R266" i="1"/>
  <c r="G39" i="7"/>
  <c r="S92" i="4"/>
  <c r="AP55" i="7"/>
  <c r="AP56" i="7" s="1"/>
  <c r="AA198" i="10"/>
  <c r="AB181" i="10"/>
  <c r="AB198" i="10" s="1"/>
  <c r="AA92" i="11"/>
  <c r="AB82" i="11"/>
  <c r="AB79" i="11"/>
  <c r="AQ55" i="11"/>
  <c r="AQ79" i="11" s="1"/>
  <c r="Z200" i="10"/>
  <c r="AA131" i="10"/>
  <c r="AB101" i="10"/>
  <c r="AB131" i="10" s="1"/>
  <c r="AA176" i="10"/>
  <c r="AB134" i="10"/>
  <c r="AB176" i="10" s="1"/>
  <c r="AB52" i="11"/>
  <c r="AQ45" i="11"/>
  <c r="AQ52" i="11" s="1"/>
  <c r="G41" i="7"/>
  <c r="AQ41" i="7" s="1"/>
  <c r="R92" i="4"/>
  <c r="Z40" i="7"/>
  <c r="AR17" i="9"/>
  <c r="AR35" i="9" s="1"/>
  <c r="AR84" i="9" s="1"/>
  <c r="H40" i="7" l="1"/>
  <c r="AB92" i="11"/>
  <c r="AQ82" i="11"/>
  <c r="AQ92" i="11" s="1"/>
  <c r="AB200" i="10"/>
  <c r="E14" i="7"/>
  <c r="P92" i="8"/>
  <c r="AA200" i="10"/>
  <c r="G14" i="7" l="1"/>
  <c r="R92" i="8"/>
  <c r="H14" i="7"/>
  <c r="S92" i="8"/>
  <c r="AO14" i="7"/>
  <c r="AO24" i="7" s="1"/>
  <c r="AO55" i="7" s="1"/>
  <c r="E24" i="7"/>
  <c r="AQ14" i="7" l="1"/>
  <c r="AQ24" i="7" s="1"/>
  <c r="AQ55" i="7" s="1"/>
  <c r="G24" i="7"/>
  <c r="G55" i="7" s="1"/>
  <c r="AR14" i="7"/>
  <c r="AR24" i="7" s="1"/>
  <c r="AR55" i="7" s="1"/>
  <c r="H24" i="7"/>
  <c r="E25" i="7"/>
  <c r="E55" i="7"/>
  <c r="AO56" i="7" s="1"/>
  <c r="AQ56" i="7" l="1"/>
  <c r="H55" i="7"/>
  <c r="AR56" i="7" s="1"/>
  <c r="H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Puryear</author>
  </authors>
  <commentList>
    <comment ref="P10" authorId="0" shapeId="0" xr:uid="{00000000-0006-0000-0100-000001000000}">
      <text>
        <r>
          <rPr>
            <sz val="9"/>
            <color indexed="81"/>
            <rFont val="Tahoma"/>
            <family val="2"/>
          </rPr>
          <t>Multiple accounts are allowed
Example: 14110,15110 
or a range of accounts 
Example:
14110..15110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Rodriguez</author>
  </authors>
  <commentList>
    <comment ref="O28" authorId="0" shapeId="0" xr:uid="{7952BE33-4AAD-4EE9-B73A-D0BE302286A0}">
      <text>
        <r>
          <rPr>
            <b/>
            <sz val="9"/>
            <color indexed="81"/>
            <rFont val="Tahoma"/>
            <family val="2"/>
          </rPr>
          <t>Add / Replace</t>
        </r>
      </text>
    </comment>
    <comment ref="P28" authorId="0" shapeId="0" xr:uid="{D7DE49B8-6509-4062-9D64-815DD753471D}">
      <text>
        <r>
          <rPr>
            <b/>
            <sz val="9"/>
            <color indexed="81"/>
            <rFont val="Tahoma"/>
            <family val="2"/>
          </rPr>
          <t>New / Used</t>
        </r>
      </text>
    </comment>
    <comment ref="AG28" authorId="0" shapeId="0" xr:uid="{3368603E-DAEB-4411-9616-D959EF594878}">
      <text>
        <r>
          <rPr>
            <sz val="9"/>
            <color indexed="81"/>
            <rFont val="Tahoma"/>
            <family val="2"/>
          </rPr>
          <t>Required if PO Item is marked as 'R' and if Heavy Equipment or Truck</t>
        </r>
      </text>
    </comment>
    <comment ref="AI28" authorId="0" shapeId="0" xr:uid="{13200527-9FA9-47BD-827A-8D184132FD33}">
      <text>
        <r>
          <rPr>
            <sz val="9"/>
            <color indexed="81"/>
            <rFont val="Tahoma"/>
            <family val="2"/>
          </rPr>
          <t>Required if PO Item is marked as 'R' and if Heavy Equipment or Truck</t>
        </r>
      </text>
    </comment>
    <comment ref="AK28" authorId="0" shapeId="0" xr:uid="{1C6A1654-1CEC-4A6A-B92B-4E771874B611}">
      <text>
        <r>
          <rPr>
            <b/>
            <sz val="9"/>
            <color indexed="81"/>
            <rFont val="Tahoma"/>
            <family val="2"/>
          </rPr>
          <t>This field will not be uploaded to DMS</t>
        </r>
      </text>
    </comment>
    <comment ref="AM28" authorId="0" shapeId="0" xr:uid="{D9DE118A-2728-4212-83E2-4FC1F2EE69E5}">
      <text>
        <r>
          <rPr>
            <b/>
            <sz val="9"/>
            <color indexed="81"/>
            <rFont val="Tahoma"/>
            <family val="2"/>
          </rPr>
          <t xml:space="preserve">This field will not be uploaded to DMS
</t>
        </r>
        <r>
          <rPr>
            <sz val="9"/>
            <color indexed="81"/>
            <rFont val="Tahoma"/>
            <family val="2"/>
          </rPr>
          <t>Text will become a hyperlink when you pull again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Heather Garland</author>
    <author>Joe Wonderlick</author>
    <author>Lindsay Waldram</author>
  </authors>
  <commentList>
    <comment ref="C10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2148 6/2013.</t>
        </r>
      </text>
    </comment>
    <comment ref="C10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2144 12/31/2013.
</t>
        </r>
      </text>
    </comment>
    <comment ref="C14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This was #706 but per district should have been #709.</t>
        </r>
      </text>
    </comment>
    <comment ref="C152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Not used, to be scrapped per Truck Log.</t>
        </r>
      </text>
    </comment>
    <comment ref="C157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to 2144.</t>
        </r>
      </text>
    </comment>
    <comment ref="C161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to 2182.</t>
        </r>
      </text>
    </comment>
    <comment ref="C16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Totalled.</t>
        </r>
      </text>
    </comment>
    <comment ref="D166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Joe Wonderlick:</t>
        </r>
        <r>
          <rPr>
            <sz val="9"/>
            <color indexed="81"/>
            <rFont val="Tahoma"/>
            <family val="2"/>
          </rPr>
          <t xml:space="preserve">
Base asset does not appear to be present.--JW 9/7/16</t>
        </r>
      </text>
    </comment>
    <comment ref="C167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Parked at 2148 per truck log.  Stickered as Murrey's.</t>
        </r>
      </text>
    </comment>
    <comment ref="C176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Parked at 2148 per Truck Log.  Stickered as Murrey's.</t>
        </r>
      </text>
    </comment>
    <comment ref="A204" authorId="3" shapeId="0" xr:uid="{8BB8E84A-43D0-4084-983B-9E87E649DF52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was transffered onto the FAR and is now being picked up on that tab</t>
        </r>
      </text>
    </comment>
    <comment ref="C204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from 2149.</t>
        </r>
      </text>
    </comment>
    <comment ref="A206" authorId="3" shapeId="0" xr:uid="{71B17BC7-6882-46C3-94D9-B15648098D5B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was transffered onto the FAR and is now being picked up on that tab</t>
        </r>
      </text>
    </comment>
    <comment ref="C210" authorId="1" shapeId="0" xr:uid="{791A25C4-EECE-48FC-89D5-6239D05565B1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from Mason County.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Wonderlick</author>
  </authors>
  <commentList>
    <comment ref="D30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Wonderlick:</t>
        </r>
        <r>
          <rPr>
            <sz val="9"/>
            <color indexed="81"/>
            <rFont val="Tahoma"/>
            <family val="2"/>
          </rPr>
          <t xml:space="preserve">
Removed 4 out of 50.  46 remain.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</authors>
  <commentList>
    <comment ref="A1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Transferred to 2149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Heather Garland</author>
  </authors>
  <commentList>
    <comment ref="C141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This was #706 but per district should have been #709.</t>
        </r>
      </text>
    </comment>
    <comment ref="C147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Not used, to be scrapped per Truck Log.</t>
        </r>
      </text>
    </comment>
    <comment ref="C152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to 2144.</t>
        </r>
      </text>
    </comment>
    <comment ref="C156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to 2182.</t>
        </r>
      </text>
    </comment>
    <comment ref="C158" authorId="1" shapeId="0" xr:uid="{00000000-0006-0000-0400-00000F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Totalled.</t>
        </r>
      </text>
    </comment>
  </commentList>
</comments>
</file>

<file path=xl/sharedStrings.xml><?xml version="1.0" encoding="utf-8"?>
<sst xmlns="http://schemas.openxmlformats.org/spreadsheetml/2006/main" count="10229" uniqueCount="2307">
  <si>
    <t>Depreciation Schedule</t>
  </si>
  <si>
    <t>Months in first year</t>
  </si>
  <si>
    <t>CONVENTIONS</t>
  </si>
  <si>
    <t>Months in second year</t>
  </si>
  <si>
    <t>A.</t>
  </si>
  <si>
    <t>Purchase date</t>
  </si>
  <si>
    <t>First year</t>
  </si>
  <si>
    <t>B.</t>
  </si>
  <si>
    <t>End of Test Period</t>
  </si>
  <si>
    <t xml:space="preserve">Calendar year test period: </t>
  </si>
  <si>
    <t>mos in first year</t>
  </si>
  <si>
    <t>Second year</t>
  </si>
  <si>
    <t>C</t>
  </si>
  <si>
    <t>Date fully Depr</t>
  </si>
  <si>
    <t>mos in 2nd year</t>
  </si>
  <si>
    <t>D.</t>
  </si>
  <si>
    <t>Beg of Test Period</t>
  </si>
  <si>
    <t>Total</t>
  </si>
  <si>
    <t>Beginning</t>
  </si>
  <si>
    <t>Allocated</t>
  </si>
  <si>
    <t>E.</t>
  </si>
  <si>
    <t>Disposition Date</t>
  </si>
  <si>
    <t>Second Year</t>
  </si>
  <si>
    <t>Salvage</t>
  </si>
  <si>
    <t>Year</t>
  </si>
  <si>
    <t>Disposal</t>
  </si>
  <si>
    <t>Accumulated</t>
  </si>
  <si>
    <t>Branch</t>
  </si>
  <si>
    <t>Accum.</t>
  </si>
  <si>
    <t>Value</t>
  </si>
  <si>
    <t>Method</t>
  </si>
  <si>
    <t>Asset</t>
  </si>
  <si>
    <t>Test year</t>
  </si>
  <si>
    <t>Test yr.</t>
  </si>
  <si>
    <t>%</t>
  </si>
  <si>
    <t>Depreciation</t>
  </si>
  <si>
    <t>Allo.</t>
  </si>
  <si>
    <t>Depr.</t>
  </si>
  <si>
    <t>Average</t>
  </si>
  <si>
    <t>Mo</t>
  </si>
  <si>
    <t>M</t>
  </si>
  <si>
    <t xml:space="preserve"> Mo.</t>
  </si>
  <si>
    <t>Cost</t>
  </si>
  <si>
    <t>Depn</t>
  </si>
  <si>
    <t>Depn.</t>
  </si>
  <si>
    <t>Investment</t>
  </si>
  <si>
    <t>B</t>
  </si>
  <si>
    <t>C.</t>
  </si>
  <si>
    <t>Dispositions must be in test period</t>
  </si>
  <si>
    <t>-</t>
  </si>
  <si>
    <t>Total Trucks</t>
  </si>
  <si>
    <t>S/L</t>
  </si>
  <si>
    <t>Codes</t>
  </si>
  <si>
    <t>RO</t>
  </si>
  <si>
    <t xml:space="preserve"> </t>
  </si>
  <si>
    <t>GARBAGE</t>
  </si>
  <si>
    <t>Date in</t>
  </si>
  <si>
    <t>Truck</t>
  </si>
  <si>
    <t xml:space="preserve">Service </t>
  </si>
  <si>
    <t>No</t>
  </si>
  <si>
    <t>Asset Classification</t>
  </si>
  <si>
    <t xml:space="preserve">Life </t>
  </si>
  <si>
    <t xml:space="preserve">Fully </t>
  </si>
  <si>
    <t>Years</t>
  </si>
  <si>
    <t>Depr</t>
  </si>
  <si>
    <t>Test</t>
  </si>
  <si>
    <t xml:space="preserve">Monthly </t>
  </si>
  <si>
    <t>ENGINE</t>
  </si>
  <si>
    <t>2 YD CONT W/LIDS (N)</t>
  </si>
  <si>
    <t>1 YD CONT W/LIDS (N)</t>
  </si>
  <si>
    <t>Total Containers</t>
  </si>
  <si>
    <t>40 YD DB W/LIDS (N)</t>
  </si>
  <si>
    <t>Accum</t>
  </si>
  <si>
    <t>Ending</t>
  </si>
  <si>
    <t>Equipment</t>
  </si>
  <si>
    <t>Test Year</t>
  </si>
  <si>
    <t>Accum Depr</t>
  </si>
  <si>
    <t>Trucks</t>
  </si>
  <si>
    <t xml:space="preserve">Recycling </t>
  </si>
  <si>
    <t>Service Equipment</t>
  </si>
  <si>
    <t>Shop Equipment</t>
  </si>
  <si>
    <t>Office Equipment</t>
  </si>
  <si>
    <t>R</t>
  </si>
  <si>
    <t>G</t>
  </si>
  <si>
    <t xml:space="preserve">1989 FRGHTL TRK W/RO (U) </t>
  </si>
  <si>
    <t xml:space="preserve">1990 GMC TRK W/PAKER (U) </t>
  </si>
  <si>
    <t>G &amp; R</t>
  </si>
  <si>
    <t>1996 FORD DSL RETRIVER (U)</t>
  </si>
  <si>
    <t>2 WAY RADIO &amp; BASE STAT (U)</t>
  </si>
  <si>
    <t>G-AM</t>
  </si>
  <si>
    <t xml:space="preserve">1 HEIL 18-CBC YD PAKER (N) </t>
  </si>
  <si>
    <t>TRUCK REBUILT</t>
  </si>
  <si>
    <t>T-1</t>
  </si>
  <si>
    <t>1992 PETERBUILT CASC TRI (U)</t>
  </si>
  <si>
    <t>1997 INT'L W/PACKER V T-1</t>
  </si>
  <si>
    <t xml:space="preserve">REBUILT TRANSMISSION TRK </t>
  </si>
  <si>
    <t xml:space="preserve">REBUILD REAR END TRK </t>
  </si>
  <si>
    <t xml:space="preserve">REBULIT REAR END TRK </t>
  </si>
  <si>
    <t>Mill</t>
  </si>
  <si>
    <t>2000 KENWORTH T 800</t>
  </si>
  <si>
    <t xml:space="preserve">2003 INT'L PCKR &amp; GRAPHICS (N) </t>
  </si>
  <si>
    <t xml:space="preserve">2004 INT'L PCKR &amp; GRAPHICS (N) </t>
  </si>
  <si>
    <t>G-FL</t>
  </si>
  <si>
    <t>ENGINE OVERHAUL</t>
  </si>
  <si>
    <t>INFRAME REBUILD-KIT, CYLINDERS,Heads</t>
  </si>
  <si>
    <t xml:space="preserve">2004 FREIGHTLINER </t>
  </si>
  <si>
    <t>CART TIPPER</t>
  </si>
  <si>
    <t>1993 PETERBUILT HEIL W/LEACH 20 CY (U)</t>
  </si>
  <si>
    <t>1998 VOLVO W/PACKR LF (U) TF-IN</t>
  </si>
  <si>
    <t>2005 INT'L W/20YD McNEILESPCKR (N)</t>
  </si>
  <si>
    <t>2005 PETERBILT RO W/CHAIN HOIST (N)</t>
  </si>
  <si>
    <t>Total Garbage Trucks</t>
  </si>
  <si>
    <t>1991 PETERBUILT (U)</t>
  </si>
  <si>
    <t>TF-ST</t>
  </si>
  <si>
    <t>2000 KENWORTH TRACTOR (U)</t>
  </si>
  <si>
    <t>VAR CONT (U)</t>
  </si>
  <si>
    <t>VAR DROP BOX (U)</t>
  </si>
  <si>
    <t>1 YD CONT (U)</t>
  </si>
  <si>
    <t>1 1/2 YD CONT (U)</t>
  </si>
  <si>
    <t>2 YD CONT (U)</t>
  </si>
  <si>
    <t>6 YRD CONT (U)</t>
  </si>
  <si>
    <t>30 YD DROP BOX (U)</t>
  </si>
  <si>
    <t>1 YD CONT (U) (3/97)</t>
  </si>
  <si>
    <t>1/2 YD CONT (U) (3/97)</t>
  </si>
  <si>
    <t>2 YD CONT (U) (3/97)</t>
  </si>
  <si>
    <t>30 YD DROP BOX (U) (3/97)</t>
  </si>
  <si>
    <t>1 1/2 YRD CONT W/LIDS (N)</t>
  </si>
  <si>
    <t>2 YRD CONT W/LIDS (N)</t>
  </si>
  <si>
    <t>20 YD CONT W/LIDS (N)</t>
  </si>
  <si>
    <t>25 YD CONT W/LIDS (N)</t>
  </si>
  <si>
    <t>AUT-CARTS 35-GAL (N)</t>
  </si>
  <si>
    <t>1 YD CONT W/LIDS (N) C</t>
  </si>
  <si>
    <t>AUTOMATED TOTES (U)</t>
  </si>
  <si>
    <t>1 YD +2-6 YD W/LIDS (N)</t>
  </si>
  <si>
    <t>1 YD +20-2 YD W/LIDS (N)</t>
  </si>
  <si>
    <t>1 YD CONT W/LID</t>
  </si>
  <si>
    <t>60 GAL CARTS</t>
  </si>
  <si>
    <t>2 YD REAR LOAD W/L (N)</t>
  </si>
  <si>
    <t>1YRD REAR LOAD W/L (N)</t>
  </si>
  <si>
    <t>(3-EACH) 12 GAL R-BINS (N)</t>
  </si>
  <si>
    <t>CONTAINERS</t>
  </si>
  <si>
    <t>Totes 14-gal MSD Recycle</t>
  </si>
  <si>
    <t>AUTOMATED 68-GAL universal</t>
  </si>
  <si>
    <t xml:space="preserve">AUTOMATED 35-GAL </t>
  </si>
  <si>
    <t>14- GAL RECYCLING BINS 9N)</t>
  </si>
  <si>
    <t>65 GAL CARTS 9N)</t>
  </si>
  <si>
    <t>32 GAL CARTS (N)</t>
  </si>
  <si>
    <t>PACKET CONVERSION KIT</t>
  </si>
  <si>
    <t>3 YRD FL LOAD W/L (N)</t>
  </si>
  <si>
    <t>4 YD FL LOAD W/L (N)</t>
  </si>
  <si>
    <t>1 YD REAR LOAD W/L (N)</t>
  </si>
  <si>
    <t>1.5 YD REAR LOAD W/L (N)</t>
  </si>
  <si>
    <t>2 YRD REAR LOAD W/L (N)</t>
  </si>
  <si>
    <t>38 GAL CARTS (N)</t>
  </si>
  <si>
    <t>CONTAINER PARTS</t>
  </si>
  <si>
    <t xml:space="preserve">14 GAL MSD RECYCLE </t>
  </si>
  <si>
    <t>FORK POCKETS 16X18</t>
  </si>
  <si>
    <t>Automated ZARN 35 GAL MSD M-L</t>
  </si>
  <si>
    <t>Automated 68 GAL GREEN BASE</t>
  </si>
  <si>
    <t>Automated 68 GAL MSD PLLB</t>
  </si>
  <si>
    <t>2YD REL CONTAINERS</t>
  </si>
  <si>
    <t>6YD FEL CATHEDRAL CONTAINERS</t>
  </si>
  <si>
    <t>3YD FEL CONTAINERS W/LIDS</t>
  </si>
  <si>
    <t>4YD FEL CONTAINERS</t>
  </si>
  <si>
    <t>30 YD DROP BOXES</t>
  </si>
  <si>
    <t>1.5YD REL CONTAINERS</t>
  </si>
  <si>
    <t>1YD REL CONTAINERS</t>
  </si>
  <si>
    <t>25YD DROP BOX</t>
  </si>
  <si>
    <t>30YD DROP BOX</t>
  </si>
  <si>
    <t>1YD REL CONTAINERS (N)</t>
  </si>
  <si>
    <t>2YD REL CONTAINERS (N)</t>
  </si>
  <si>
    <t>4YD FEL CONTAINERS (N)</t>
  </si>
  <si>
    <t>6YD FEL CONTAINERS (N)</t>
  </si>
  <si>
    <t>20YD DROP BOX W/LID (N)</t>
  </si>
  <si>
    <t>30YD DROP BOX W/LID (N)</t>
  </si>
  <si>
    <t>1.5YD REL CONTAINERS (N)</t>
  </si>
  <si>
    <t>Automated 65 GAL GREEN BASE</t>
  </si>
  <si>
    <t>Total Recycling</t>
  </si>
  <si>
    <t>Olympic Disposal</t>
  </si>
  <si>
    <t>Recycle Trucks</t>
  </si>
  <si>
    <t>Office</t>
  </si>
  <si>
    <t>Shop Equip</t>
  </si>
  <si>
    <t>74 CHEVY PU  ST-1</t>
  </si>
  <si>
    <t xml:space="preserve">1972 FORD TRK- W/UTIL BX (U) </t>
  </si>
  <si>
    <t>1983 CAT FORKLIFT  (U)</t>
  </si>
  <si>
    <t xml:space="preserve">1989 CHEV PU 1-TN (U)  </t>
  </si>
  <si>
    <t xml:space="preserve">1991 GMC PU 3/4-TN  (U)  </t>
  </si>
  <si>
    <t>275 GAL UL OVAL TANK</t>
  </si>
  <si>
    <t>(2) HEAVY DUTY AIR JACKS</t>
  </si>
  <si>
    <t>Total Shop</t>
  </si>
  <si>
    <t>Various</t>
  </si>
  <si>
    <t>cannon copier</t>
  </si>
  <si>
    <t>Phone system</t>
  </si>
  <si>
    <t>Total Office</t>
  </si>
  <si>
    <t>Computers</t>
  </si>
  <si>
    <t>Compact Desk Pro</t>
  </si>
  <si>
    <t>Hardware</t>
  </si>
  <si>
    <t>Olympic Conversion</t>
  </si>
  <si>
    <t>Route Mger License</t>
  </si>
  <si>
    <t>2006 PETERBUILT RO (N)</t>
  </si>
  <si>
    <t>2006 Int'l w/Packer 20 yd (N)</t>
  </si>
  <si>
    <t>2007 Int'l w/Pcker 20 yd (N)</t>
  </si>
  <si>
    <t>G RL</t>
  </si>
  <si>
    <t>Automated 35 GAL GREEN BASE</t>
  </si>
  <si>
    <t>Misc Software</t>
  </si>
  <si>
    <t>Leasehold Improvement</t>
  </si>
  <si>
    <t>Optic Line</t>
  </si>
  <si>
    <t>Panosonic Laptop (DM)</t>
  </si>
  <si>
    <t>Del</t>
  </si>
  <si>
    <t>2004 Int'l DelTrk w/lift gate (U)</t>
  </si>
  <si>
    <t>CD1</t>
  </si>
  <si>
    <t>Wall</t>
  </si>
  <si>
    <t>RECYCL BINS (N)</t>
  </si>
  <si>
    <t>Engine Rebuuild</t>
  </si>
  <si>
    <t>Body Rebuild</t>
  </si>
  <si>
    <t>Roll-off Trucks</t>
  </si>
  <si>
    <t>Total Roll-off Trucks</t>
  </si>
  <si>
    <t>G Spare</t>
  </si>
  <si>
    <t>G &amp; R 1/2</t>
  </si>
  <si>
    <t>Drive Cam, Camara (4)</t>
  </si>
  <si>
    <t>Drive Cam, Camara (9)</t>
  </si>
  <si>
    <t xml:space="preserve">Drive Cam, Camara </t>
  </si>
  <si>
    <t>Heater</t>
  </si>
  <si>
    <t>G SL</t>
  </si>
  <si>
    <t>G FL</t>
  </si>
  <si>
    <t>Shop Heater</t>
  </si>
  <si>
    <t>2009 Peterbuilt w/Pckr F718635</t>
  </si>
  <si>
    <t>2009 Peterbuilt w/Pckr F718864</t>
  </si>
  <si>
    <t>2009 Peterbuilt w/Pckr F718865</t>
  </si>
  <si>
    <t>2009 Peterbuilt w/Pckr F718369</t>
  </si>
  <si>
    <t>4YD REL CONTAINERS (N)</t>
  </si>
  <si>
    <t>6YD REL CONTAINERS (N)</t>
  </si>
  <si>
    <t>New Transmission</t>
  </si>
  <si>
    <t>Engine Rebuild</t>
  </si>
  <si>
    <t>Capital Repair (Engine Rebuild)</t>
  </si>
  <si>
    <t>1YD FEL CONTAINERS (N)</t>
  </si>
  <si>
    <t>1.5YD FEL CONTAINERS (N)</t>
  </si>
  <si>
    <t>2YD FEL CONTAINERS (N)</t>
  </si>
  <si>
    <t>Recycle Containers</t>
  </si>
  <si>
    <t>Note:  the auditor only accepted one Heater since we could not produce the second invoice.</t>
  </si>
  <si>
    <t>(see shop)</t>
  </si>
  <si>
    <t>Removed after receiving invoices</t>
  </si>
  <si>
    <t>Sony Internet TV</t>
  </si>
  <si>
    <t>Service Equipment:</t>
  </si>
  <si>
    <t>Trailblazer Compressor, Generator</t>
  </si>
  <si>
    <t>Salt Dogg 2-yd Poly Tank Spread</t>
  </si>
  <si>
    <t>2009 Peterbilt TF Tractor (U)</t>
  </si>
  <si>
    <t>Automated 65 GALREFUSE CARTS</t>
  </si>
  <si>
    <t>Automated 35 GALREFUSE CARTS</t>
  </si>
  <si>
    <t>Shop Diagnostice Laptop,Softw</t>
  </si>
  <si>
    <t>G-ASL</t>
  </si>
  <si>
    <t>Automated 65 GALREFUSE CARTS (N)</t>
  </si>
  <si>
    <t>Automated 35 GALREFUSE CARTS (N)</t>
  </si>
  <si>
    <t>RTA Equipment</t>
  </si>
  <si>
    <t>Storm &amp; Retention Pond Improvement</t>
  </si>
  <si>
    <t>Garbage Carts</t>
  </si>
  <si>
    <t>Total Garbage Carts</t>
  </si>
  <si>
    <t>Roll Off</t>
  </si>
  <si>
    <t>Total Roll Off</t>
  </si>
  <si>
    <t>35 Gal Refuse Carts (N)</t>
  </si>
  <si>
    <t>Gantry Overhead Crane (Shop)</t>
  </si>
  <si>
    <t>FAR #</t>
  </si>
  <si>
    <t>2007 Freightliner (U)</t>
  </si>
  <si>
    <t>Retired/Transferred 2013</t>
  </si>
  <si>
    <t>Total Mill-Haul Trucks</t>
  </si>
  <si>
    <t>Transfer Station Trucks</t>
  </si>
  <si>
    <t>Total Transfer Station Trucks</t>
  </si>
  <si>
    <t>Garbage Containers</t>
  </si>
  <si>
    <t>Total Containers/Carts</t>
  </si>
  <si>
    <t>Depreciation &amp; Average Investment Summary</t>
  </si>
  <si>
    <t>Olympic Disposal G-9</t>
  </si>
  <si>
    <t>65 Gal Refuse Carts (N)</t>
  </si>
  <si>
    <t>105398/105399</t>
  </si>
  <si>
    <t>TRL</t>
  </si>
  <si>
    <t>1992 Wabi Van Trailer (U)</t>
  </si>
  <si>
    <t>1991 Wabi Van Trailer (U)</t>
  </si>
  <si>
    <t>(3) Truck Radios</t>
  </si>
  <si>
    <t>(1) Truck Radios</t>
  </si>
  <si>
    <t>(2) Truck Radios</t>
  </si>
  <si>
    <t>Removed 2013:</t>
  </si>
  <si>
    <t>2011 Ford F-350 Shop Pick-Up (N)</t>
  </si>
  <si>
    <t>Wyse Winterms D10D</t>
  </si>
  <si>
    <t>1999 International (N)</t>
  </si>
  <si>
    <t>Transmission Repair #228</t>
  </si>
  <si>
    <t>2004 Sterling 7500 (U)</t>
  </si>
  <si>
    <t>G-Spare</t>
  </si>
  <si>
    <t>2004 INTL 4300 FLAT 20 Truck (U)</t>
  </si>
  <si>
    <t>DEL</t>
  </si>
  <si>
    <t>Retired/Transferred 2014</t>
  </si>
  <si>
    <t>2004 Kenworth Boom Truck (Cont Del) (U)</t>
  </si>
  <si>
    <t>2013 Peterbuilt w/Pckr (N)</t>
  </si>
  <si>
    <t xml:space="preserve">1991 NISSAN TRK RETRVR (N) </t>
  </si>
  <si>
    <t>(13) Truck Radios</t>
  </si>
  <si>
    <t>Retired 2014</t>
  </si>
  <si>
    <t>44501-45594</t>
  </si>
  <si>
    <t>Tractor</t>
  </si>
  <si>
    <t>2004 Peterbilt Tractor (U) MRF Hauls</t>
  </si>
  <si>
    <t>MRF Hauls</t>
  </si>
  <si>
    <t>Total MRF Haul Trucks</t>
  </si>
  <si>
    <t>115374/116107</t>
  </si>
  <si>
    <t>HP Prodesk 600 G1 &amp; Monitor</t>
  </si>
  <si>
    <t xml:space="preserve">2002 FORD F-150 PU (U)  </t>
  </si>
  <si>
    <t>Removed 2014:</t>
  </si>
  <si>
    <t>Tarper #401</t>
  </si>
  <si>
    <t>Tarper #402</t>
  </si>
  <si>
    <t>G REL</t>
  </si>
  <si>
    <t>2015 REL Freighliner (N)</t>
  </si>
  <si>
    <t>Truck Radio</t>
  </si>
  <si>
    <t>Winterms</t>
  </si>
  <si>
    <t>96 Gal Refuse Carts (N)</t>
  </si>
  <si>
    <t>HP Probook 650 G1</t>
  </si>
  <si>
    <t>1994 Type HT C-C Trailer (U)</t>
  </si>
  <si>
    <t>Retired/Transferred 2015</t>
  </si>
  <si>
    <t>Mill-Haul Trucks</t>
  </si>
  <si>
    <t>3YD FEL CONTAINERS (N)</t>
  </si>
  <si>
    <t>20YD DROP BOX (N)</t>
  </si>
  <si>
    <t>30YD DROP BOX (N)</t>
  </si>
  <si>
    <t>Transmission Repair #402</t>
  </si>
  <si>
    <t>Removed 2015:</t>
  </si>
  <si>
    <t>ASL</t>
  </si>
  <si>
    <t>2016 ASL Peterbilt (N)</t>
  </si>
  <si>
    <t>Pressure Washer</t>
  </si>
  <si>
    <t>FEL</t>
  </si>
  <si>
    <t>2016 FEL Truck</t>
  </si>
  <si>
    <t>Truck Wash Bay</t>
  </si>
  <si>
    <t>4YD FEL PLASTIC CONTAINERS (N)</t>
  </si>
  <si>
    <t>2YD FEL PLASTIC CONTAINERS (N)</t>
  </si>
  <si>
    <t>131543/132353</t>
  </si>
  <si>
    <t>Samsung Route Tablets/Mounts</t>
  </si>
  <si>
    <t>Snap On Diagnostics Shop Computer</t>
  </si>
  <si>
    <t>Turntable Bearing Repair to 1992 trailer FAR #11010 or Unit #7702</t>
  </si>
  <si>
    <t>1994 Ford F450 Service Truck</t>
  </si>
  <si>
    <t>Engine Rebuild on 1994 F450 Service Truck - #125</t>
  </si>
  <si>
    <t>133437/133438/133439/133440</t>
  </si>
  <si>
    <t>2017 Peterbilt RO (N)</t>
  </si>
  <si>
    <t>6yd FEL Containers</t>
  </si>
  <si>
    <t>1yd REL containers</t>
  </si>
  <si>
    <t>1yd Flat Top Containers</t>
  </si>
  <si>
    <t>2yd REL Containers</t>
  </si>
  <si>
    <t>2yd FEL Flat Top Containers</t>
  </si>
  <si>
    <t>4yd FEL Containers</t>
  </si>
  <si>
    <t>Engine Overhaul</t>
  </si>
  <si>
    <t>2014 Truck Dodge Ram 1500</t>
  </si>
  <si>
    <t>Deluxe AC Machine</t>
  </si>
  <si>
    <t xml:space="preserve">Scissor Lift </t>
  </si>
  <si>
    <t>96 Gallon MSW Carts</t>
  </si>
  <si>
    <t>35 Gallon MSW Carts</t>
  </si>
  <si>
    <t>64 Gallon MSW Carts</t>
  </si>
  <si>
    <t>64 Gal gray MSW Tote w/green lid</t>
  </si>
  <si>
    <t>96 Gal gray MSW Tote w/green lid</t>
  </si>
  <si>
    <t>35 Gallon Gray MSW Totes w/green lid</t>
  </si>
  <si>
    <t>1yd FEL Flat Top Containers w/plastic lid</t>
  </si>
  <si>
    <t>1.5yd FEL Flat Top Containers w/plastic lid</t>
  </si>
  <si>
    <t>2yd FEL Flat Top Container w/plastic lid</t>
  </si>
  <si>
    <t>3yd FEL Flat Top Containers w/plastic lid</t>
  </si>
  <si>
    <t>2YD FEL Containers</t>
  </si>
  <si>
    <t>2yd REL Containers w/plastic lid</t>
  </si>
  <si>
    <t>96 Gallon Gray Recy Totes w/blue lid</t>
  </si>
  <si>
    <t>96 Gallon Recy Totes</t>
  </si>
  <si>
    <t>96 Gallon Recycle Carts (UTC)</t>
  </si>
  <si>
    <t>Diagnostic Laptop for Shop</t>
  </si>
  <si>
    <t>HP Probook 640 G2</t>
  </si>
  <si>
    <t>Software for Diagnostic Laptop</t>
  </si>
  <si>
    <t>20yd RO Boxes</t>
  </si>
  <si>
    <t>30 YD Rolloff boxes</t>
  </si>
  <si>
    <t>Used 2008 Ford F-150 4x4 Supervisor P/U Truck</t>
  </si>
  <si>
    <t>REL</t>
  </si>
  <si>
    <t>New 2009 International REL (Package Purchase)</t>
  </si>
  <si>
    <t>2003 Brentwood chassis</t>
  </si>
  <si>
    <t>1992 40 Foot Chassis Trailer</t>
  </si>
  <si>
    <t>1991 Type HT Drop Trailer</t>
  </si>
  <si>
    <t>1993 Type HT Dolly Trailer</t>
  </si>
  <si>
    <t>181880/183281</t>
  </si>
  <si>
    <t>Replace Engine in Truck #663</t>
  </si>
  <si>
    <t>183280/183718</t>
  </si>
  <si>
    <t>2018 RO Truck</t>
  </si>
  <si>
    <t>184362/184561</t>
  </si>
  <si>
    <t>2018 ASL Truck</t>
  </si>
  <si>
    <t>Used Skid Steer 2014 Cat</t>
  </si>
  <si>
    <t>Salvage Value Calculations</t>
  </si>
  <si>
    <t>Adjustment to</t>
  </si>
  <si>
    <t>Amort of</t>
  </si>
  <si>
    <t>Total Depreciation</t>
  </si>
  <si>
    <t>Avg. Investment</t>
  </si>
  <si>
    <t>Adjusted Avg.</t>
  </si>
  <si>
    <t>Salvage Value</t>
  </si>
  <si>
    <t>For Test Period</t>
  </si>
  <si>
    <t>Fully Depr Assets</t>
  </si>
  <si>
    <t>Assets w/ Depr Life</t>
  </si>
  <si>
    <t>25 Gallon Carts</t>
  </si>
  <si>
    <t>14T Floor Jacks (@)</t>
  </si>
  <si>
    <t>HP ProBook 640 G2 (Maint. Mgr)</t>
  </si>
  <si>
    <t>d</t>
  </si>
  <si>
    <t>Cubicles at Carlsborg</t>
  </si>
  <si>
    <t>186565/186694</t>
  </si>
  <si>
    <t>188447/188448</t>
  </si>
  <si>
    <t>2009 International</t>
  </si>
  <si>
    <t>Retired/Transferred 2017</t>
  </si>
  <si>
    <t>190224</t>
  </si>
  <si>
    <t>190223</t>
  </si>
  <si>
    <t>190222</t>
  </si>
  <si>
    <t>Paving and Stormwater Pond</t>
  </si>
  <si>
    <t>New Roof for Building</t>
  </si>
  <si>
    <t>Paving</t>
  </si>
  <si>
    <t>NOTE: Last UTC filing 6/1/2011</t>
  </si>
  <si>
    <t>Annual</t>
  </si>
  <si>
    <t>Year/Mo</t>
  </si>
  <si>
    <t>Fully Depr</t>
  </si>
  <si>
    <t>No.</t>
  </si>
  <si>
    <t xml:space="preserve">Total </t>
  </si>
  <si>
    <t>Cap Repair - Truck 996 Transmission Replacement</t>
  </si>
  <si>
    <t>2000 ASL Truck</t>
  </si>
  <si>
    <t>Licensing and sales tax</t>
  </si>
  <si>
    <t>1999 Type H Side ASL</t>
  </si>
  <si>
    <t>2018 Better Weigh Mfg Pup Trailer</t>
  </si>
  <si>
    <t>2018 Ford F350 Shop Truck</t>
  </si>
  <si>
    <t>35 GALLON GARBAGE CARTS</t>
  </si>
  <si>
    <t>65 GALLON GARBAGE CARTS</t>
  </si>
  <si>
    <t>96 GALLON GARBAGE CARTS</t>
  </si>
  <si>
    <t>Roll Off Boxes - 20 Yd</t>
  </si>
  <si>
    <t>Roll Off Boxes - 30 Yd</t>
  </si>
  <si>
    <t>22 ft Storage Unit</t>
  </si>
  <si>
    <t>Carlsborg Shop Addition</t>
  </si>
  <si>
    <t>Structural Analysis at Carlsborg Site</t>
  </si>
  <si>
    <t>Star TSP 743IIU-24 Gry - receipt printer - two-color (monochrome) -direct</t>
  </si>
  <si>
    <t>HP ProDesk 600 G3 - SFF - Core i3</t>
  </si>
  <si>
    <t>Adapter</t>
  </si>
  <si>
    <t>18 Gal Recycle Bins</t>
  </si>
  <si>
    <t>64 Gal Garbage Carts</t>
  </si>
  <si>
    <t>FEL Containers - 4 Yd</t>
  </si>
  <si>
    <t>REL Containers - 2 yd</t>
  </si>
  <si>
    <t>REL Containers - 1.5 Yd</t>
  </si>
  <si>
    <t>FEL Containers - 1.5 Yd</t>
  </si>
  <si>
    <t>FEL Containers - 2 Yd</t>
  </si>
  <si>
    <t>FEL Containers - 6 Yd</t>
  </si>
  <si>
    <t>204187/207701</t>
  </si>
  <si>
    <t>2019 ASL Truck</t>
  </si>
  <si>
    <t>204184/207702</t>
  </si>
  <si>
    <t>Truck Mount Air Compressor</t>
  </si>
  <si>
    <t>203680/ 197793</t>
  </si>
  <si>
    <t>Air Hose Reel &amp; Lift Gate for New Shop Truck</t>
  </si>
  <si>
    <t>New Toyota Forklift (Carlsborg Shop)</t>
  </si>
  <si>
    <t>203588 / 203587 / 197793</t>
  </si>
  <si>
    <t>202995</t>
  </si>
  <si>
    <t>Storm Water Infiltration Pond</t>
  </si>
  <si>
    <t>202084</t>
  </si>
  <si>
    <t>Paving &amp; Storm Water Pond at Carlsborg</t>
  </si>
  <si>
    <t>72015/ 202451</t>
  </si>
  <si>
    <t>Cap Repair - Truck 882 Transmission Replacement</t>
  </si>
  <si>
    <t>New Pressure Washer - Wash Rack at Carlsborg</t>
  </si>
  <si>
    <t>Retired/Transferred 2018</t>
  </si>
  <si>
    <t>Retired 2018</t>
  </si>
  <si>
    <t>4 Yd FEL Metal Containers</t>
  </si>
  <si>
    <t>6 Yd FEL Metal Containers</t>
  </si>
  <si>
    <t>2 Yd FEL Metal Containers</t>
  </si>
  <si>
    <t>1 Yd FEL Metal Containers</t>
  </si>
  <si>
    <t>2 Yd REL Metal Containers</t>
  </si>
  <si>
    <t>1 Yd REL Metal Containers</t>
  </si>
  <si>
    <t>3 Yd FEL Metal Containers</t>
  </si>
  <si>
    <t>MSW Carts 96 Gal</t>
  </si>
  <si>
    <t>65 Gallon MSW Carts</t>
  </si>
  <si>
    <t>30 Yd ROL Boxes</t>
  </si>
  <si>
    <t>20 Yd ROL Boxes</t>
  </si>
  <si>
    <t>Truck #703 Amort of Salvage</t>
  </si>
  <si>
    <t>Truck #601 Amort of Salvage</t>
  </si>
  <si>
    <t>Truck #600 Amort of Salvage</t>
  </si>
  <si>
    <t>Truck #603 Amort of Salvage</t>
  </si>
  <si>
    <t>Truck CD1 Amort of Salvage</t>
  </si>
  <si>
    <t>Truck #800 Amort of Salvage</t>
  </si>
  <si>
    <t>Truck #801 Amort of Salvage</t>
  </si>
  <si>
    <t>Truck #802 Amort of Salvage</t>
  </si>
  <si>
    <t>Truck #919 Amort of Salvage</t>
  </si>
  <si>
    <t>Truck #401 Amort of Salvage</t>
  </si>
  <si>
    <t>Truck #402 Amort of Salvage</t>
  </si>
  <si>
    <t>Truck #404 Amort of Salvage</t>
  </si>
  <si>
    <t>Truck #153 Amort of Salvage</t>
  </si>
  <si>
    <t>New 2019 RO Truck</t>
  </si>
  <si>
    <t>2012 FEL Truck</t>
  </si>
  <si>
    <t>Wash Rack Awning</t>
  </si>
  <si>
    <t>Wash Rack - Oil and Water Separator/Catch Basin</t>
  </si>
  <si>
    <t>218616</t>
  </si>
  <si>
    <t>New Shop IS Hardware</t>
  </si>
  <si>
    <t>New Shop</t>
  </si>
  <si>
    <t>Maintanence Shop (Sequim)</t>
  </si>
  <si>
    <t>Facility Improvements</t>
  </si>
  <si>
    <t>HP Probook 650 G4 Asst Controller</t>
  </si>
  <si>
    <t>Retired/Transferred 2019</t>
  </si>
  <si>
    <t>2020 Peterbilt FEL</t>
  </si>
  <si>
    <t>209256, 209257</t>
  </si>
  <si>
    <t>218615, 220969, 220970, 221106, 221735</t>
  </si>
  <si>
    <t>Contract Specific</t>
  </si>
  <si>
    <t>50 YD Metal RO - PA Contract Blue Mtn</t>
  </si>
  <si>
    <t>16 Gal Bins Blue, Green, Beige - PT Contract</t>
  </si>
  <si>
    <t>Total Contract Specific</t>
  </si>
  <si>
    <t>2020 Peterbilt ASL</t>
  </si>
  <si>
    <t>4 YD FEL Plastic Container</t>
  </si>
  <si>
    <t>3 YD FEL  Plastic Container</t>
  </si>
  <si>
    <t>2 YD FEL Plastic Container</t>
  </si>
  <si>
    <t>1 YD FEL Plastic Container</t>
  </si>
  <si>
    <t>2005 Ford F150 (Brown)</t>
  </si>
  <si>
    <t>Q2 2020</t>
  </si>
  <si>
    <t>Truck Lift</t>
  </si>
  <si>
    <t>City Contract Specific</t>
  </si>
  <si>
    <t>Total City Contract</t>
  </si>
  <si>
    <t>Q1 2020</t>
  </si>
  <si>
    <t>New FEL Peterbilt / Labrie 40yd</t>
  </si>
  <si>
    <t>No longer at this site, new facility.</t>
  </si>
  <si>
    <t>Recycle/YW Trucks</t>
  </si>
  <si>
    <t>Total Recycling Bins</t>
  </si>
  <si>
    <t>Recycling Carts - Clallam UTC, Sequim, PA</t>
  </si>
  <si>
    <t xml:space="preserve">Recycling Bins - Jefferson UTC </t>
  </si>
  <si>
    <t>Total Recycling Carts</t>
  </si>
  <si>
    <t>TOTAL CONTAINERS/CARTS</t>
  </si>
  <si>
    <t>Containers</t>
  </si>
  <si>
    <t>Replace Engine in Truck #603</t>
  </si>
  <si>
    <t xml:space="preserve">New 2009 International REL </t>
  </si>
  <si>
    <t>44500, 130290</t>
  </si>
  <si>
    <t>2004 Road Tractor</t>
  </si>
  <si>
    <t>44502, 106297</t>
  </si>
  <si>
    <t>2010 Peterbilt ASL</t>
  </si>
  <si>
    <t>Packer Trucks</t>
  </si>
  <si>
    <t>2000 Type H Rear Load</t>
  </si>
  <si>
    <t>2011 Peterbilt 320 ASL</t>
  </si>
  <si>
    <t>2005 International REL</t>
  </si>
  <si>
    <t>Total Recycle/YW Trucks</t>
  </si>
  <si>
    <t>Total Service Equipment</t>
  </si>
  <si>
    <t>Total Shop Equipment</t>
  </si>
  <si>
    <t>Total Computers</t>
  </si>
  <si>
    <t>Total Leasehold Improvement</t>
  </si>
  <si>
    <t>TOTAL EQUIP/COMPUTERS/LH IMPROVEMENTS</t>
  </si>
  <si>
    <t>95 Gal Plastic Carts - Refuse</t>
  </si>
  <si>
    <t>65 Gal Plastic Carts - Refuse</t>
  </si>
  <si>
    <t>35 Gal Plastic Carts - Refuse</t>
  </si>
  <si>
    <t>2020 Peterbilt REL Truck</t>
  </si>
  <si>
    <t>2020 Peterbilt Recycle Truck</t>
  </si>
  <si>
    <t>2020 Peterbilt FEL Truck</t>
  </si>
  <si>
    <t>Desktop PC - Blue Mtn TS SN-MXL0132VMF</t>
  </si>
  <si>
    <t>1 Yard REL Containers</t>
  </si>
  <si>
    <t>1.5 Yard REL Containers</t>
  </si>
  <si>
    <t>2 Yard REL Containers</t>
  </si>
  <si>
    <t>1 Yard FEL Containers</t>
  </si>
  <si>
    <t>1.5 Yard FEL Containers</t>
  </si>
  <si>
    <t>2 Yard FEL Containers</t>
  </si>
  <si>
    <t>3 Yard FEL Containers</t>
  </si>
  <si>
    <t>4 Yard FEL Containers</t>
  </si>
  <si>
    <t>6 Yard FEL Containers</t>
  </si>
  <si>
    <t>8 Yard FEL Containers</t>
  </si>
  <si>
    <t>95 Gal Plastic Carts - Grey</t>
  </si>
  <si>
    <t>16 Gal Recycle Bins</t>
  </si>
  <si>
    <t>2020 Peterbilt ASL Truck</t>
  </si>
  <si>
    <t>ops2</t>
  </si>
  <si>
    <t>ops3</t>
  </si>
  <si>
    <t>2020 Ford Pickup Truck</t>
  </si>
  <si>
    <t>(48) Lytx Drivecams</t>
  </si>
  <si>
    <t>(48) Lytx Drivecam Harness</t>
  </si>
  <si>
    <t>Retired/Transferred 2020</t>
  </si>
  <si>
    <t>20 Yd RO Boxes</t>
  </si>
  <si>
    <t>10 YD Drop Boxes</t>
  </si>
  <si>
    <t>1.5 Yd Commercial Containers</t>
  </si>
  <si>
    <t>3 Yd Containers</t>
  </si>
  <si>
    <t>6 Yd Commercial Containers</t>
  </si>
  <si>
    <t>4 Yd Commercial Containers</t>
  </si>
  <si>
    <t>4 Yd Containers</t>
  </si>
  <si>
    <t>30 Yd Containers</t>
  </si>
  <si>
    <t>Recy PT</t>
  </si>
  <si>
    <t>MSW PT</t>
  </si>
  <si>
    <t>MSW/Recy PT</t>
  </si>
  <si>
    <t>Yes</t>
  </si>
  <si>
    <t>WCNX</t>
  </si>
  <si>
    <t>SL</t>
  </si>
  <si>
    <t>A</t>
  </si>
  <si>
    <t>Internal</t>
  </si>
  <si>
    <t>Non-Rolling Stock</t>
  </si>
  <si>
    <t>2 Way Radio &amp; Base Station (U)</t>
  </si>
  <si>
    <t>P</t>
  </si>
  <si>
    <t>20 YD RO Box</t>
  </si>
  <si>
    <t>20yd Containers w/Lids (N)</t>
  </si>
  <si>
    <t>35gal (N)</t>
  </si>
  <si>
    <t>1 YD FEL/REL/SL Metal</t>
  </si>
  <si>
    <t>1yd Containers w/Lids (N)</t>
  </si>
  <si>
    <t>Dewald Northwest</t>
  </si>
  <si>
    <t>99-2111-0855</t>
  </si>
  <si>
    <t>15894-159028</t>
  </si>
  <si>
    <t>1yd Rearload Containers</t>
  </si>
  <si>
    <t>Orix Credit</t>
  </si>
  <si>
    <t>Toters (lease payoff)</t>
  </si>
  <si>
    <t>p</t>
  </si>
  <si>
    <t>99-2111-0862</t>
  </si>
  <si>
    <t>Non Audit Assets</t>
  </si>
  <si>
    <t>Freight &amp; Sales Tax Charges</t>
  </si>
  <si>
    <t>Various Equipment</t>
  </si>
  <si>
    <t>Cannon Copier</t>
  </si>
  <si>
    <t>00-2112-222</t>
  </si>
  <si>
    <t>Insight</t>
  </si>
  <si>
    <t>952320695/S6943CVN2K460</t>
  </si>
  <si>
    <t>1 - Compaq Deskpro EP Celeron/Modem &amp; Monitor</t>
  </si>
  <si>
    <t>NO</t>
  </si>
  <si>
    <t>Olympic Goodwill</t>
  </si>
  <si>
    <t>Olympic Non-Compete</t>
  </si>
  <si>
    <t>OC</t>
  </si>
  <si>
    <t>Olympic G Permit</t>
  </si>
  <si>
    <t>00-2112-001</t>
  </si>
  <si>
    <t>DeWald Northwest Co.</t>
  </si>
  <si>
    <t>165950-165964</t>
  </si>
  <si>
    <t>1 Yard Rear Load ontainers w/Lids</t>
  </si>
  <si>
    <t>TR61891</t>
  </si>
  <si>
    <t>01-2112-003</t>
  </si>
  <si>
    <t>Rehrig Pacific Company</t>
  </si>
  <si>
    <t>WC1-1 T0 WC1-90</t>
  </si>
  <si>
    <t>60 Gallon Carts</t>
  </si>
  <si>
    <t>TR61891F</t>
  </si>
  <si>
    <t>Rehrig Pacific</t>
  </si>
  <si>
    <t>Freight on Containers</t>
  </si>
  <si>
    <t>01-2112-007</t>
  </si>
  <si>
    <t>Capital Industries</t>
  </si>
  <si>
    <t>1 Yd Rear Load Containers w/ Lids</t>
  </si>
  <si>
    <t>OII 51811</t>
  </si>
  <si>
    <t>02-2112-003</t>
  </si>
  <si>
    <t>Otto Industries</t>
  </si>
  <si>
    <t>680001-680225</t>
  </si>
  <si>
    <t>68 Gallon Universal Carts</t>
  </si>
  <si>
    <t>02-2112-002</t>
  </si>
  <si>
    <t>DeWald Northwest</t>
  </si>
  <si>
    <t>176406-176425</t>
  </si>
  <si>
    <t>1 Yd Rear Load Containers w/ Comp Lids</t>
  </si>
  <si>
    <t>02-2112-005</t>
  </si>
  <si>
    <t>320001-320100</t>
  </si>
  <si>
    <t>35 Gallon Carts</t>
  </si>
  <si>
    <t>OWS 378</t>
  </si>
  <si>
    <t>03-2112-005</t>
  </si>
  <si>
    <t>Otto Waste Systems</t>
  </si>
  <si>
    <t>65 Gallon Carts</t>
  </si>
  <si>
    <t>OWS 440</t>
  </si>
  <si>
    <t>32 Gallon Carts</t>
  </si>
  <si>
    <t>U-03-2112-016</t>
  </si>
  <si>
    <t>Pocket Conversion Kits</t>
  </si>
  <si>
    <t>3 YD FEL/REL/SL Metal</t>
  </si>
  <si>
    <t>3 Yard FL Containers</t>
  </si>
  <si>
    <t>03-2112-001, 002, 003</t>
  </si>
  <si>
    <t>Wasteline Industries</t>
  </si>
  <si>
    <t>1 Yd Rear Load Containers</t>
  </si>
  <si>
    <t>OWS 1205</t>
  </si>
  <si>
    <t>03-2112-008</t>
  </si>
  <si>
    <t>03-2112-007</t>
  </si>
  <si>
    <t>68 Gallon Carts</t>
  </si>
  <si>
    <t>Olympic</t>
  </si>
  <si>
    <t>Olympic G Cert Purchase</t>
  </si>
  <si>
    <t>03-2112-017</t>
  </si>
  <si>
    <t>Container Parts</t>
  </si>
  <si>
    <t>Quest</t>
  </si>
  <si>
    <t>Hardware for Port Angeles Conversion</t>
  </si>
  <si>
    <t>Insight Technology Soluti</t>
  </si>
  <si>
    <t>Phone System for Port Angeles</t>
  </si>
  <si>
    <t>111-4983</t>
  </si>
  <si>
    <t>NetVersant</t>
  </si>
  <si>
    <t>Progressive Data Systems,</t>
  </si>
  <si>
    <t>IVC00838</t>
  </si>
  <si>
    <t>FrontLine-OnRoad</t>
  </si>
  <si>
    <t>CAMCAL Inc</t>
  </si>
  <si>
    <t>275 Gal. UL Oval Tank-Labor &amp; Materials to Assembl</t>
  </si>
  <si>
    <t>ELOY 520</t>
  </si>
  <si>
    <t>Otto Environmental System</t>
  </si>
  <si>
    <t>6800776 THRU 6801363</t>
  </si>
  <si>
    <t>68 Gal Green Base Green Arrows Lid</t>
  </si>
  <si>
    <t>ELOY 531</t>
  </si>
  <si>
    <t>6801364 THRU 6801525</t>
  </si>
  <si>
    <t>68 Gal MSD PLLB-2 Base &amp; F Lid - Green</t>
  </si>
  <si>
    <t>2-275266</t>
  </si>
  <si>
    <t>Other</t>
  </si>
  <si>
    <t>Six Robblees' Inc.</t>
  </si>
  <si>
    <t>(2) Heavy Duty Air Jacks) - 10-Ton Cap.</t>
  </si>
  <si>
    <t>2 YD FEL/REL/SL Metal</t>
  </si>
  <si>
    <t>Capital Industries, inc.</t>
  </si>
  <si>
    <t>6 YD FEL/REL/SL Metal</t>
  </si>
  <si>
    <t>6yd FELCathedral Containers w/ Plastict Lids</t>
  </si>
  <si>
    <t>3yd FEL Containers w/ Plastic Lids &amp; 4/0 Caste</t>
  </si>
  <si>
    <t>1yd REL Containers</t>
  </si>
  <si>
    <t>U042112026</t>
  </si>
  <si>
    <t>25 YD RO Box</t>
  </si>
  <si>
    <t>Enterprise Sales, Inc</t>
  </si>
  <si>
    <t>25 YD Drop-Boxes</t>
  </si>
  <si>
    <t>Olympic Conversion-Programming Services; Conversio</t>
  </si>
  <si>
    <t>1 YD Rear Load Containers</t>
  </si>
  <si>
    <t>7786 (JE# 212263)</t>
  </si>
  <si>
    <t>U052112013</t>
  </si>
  <si>
    <t>DesertMicro</t>
  </si>
  <si>
    <t>(1) RM License</t>
  </si>
  <si>
    <t>2-Way Dome Lid Kits</t>
  </si>
  <si>
    <t>2 Yard R/L Containers</t>
  </si>
  <si>
    <t>Capital Industries, Inc.</t>
  </si>
  <si>
    <t>2 Yard REL Containers w/ Lids &amp; Casters</t>
  </si>
  <si>
    <t>1 Yard REL Containers w/ Lids &amp; Casters</t>
  </si>
  <si>
    <t>2 Yd Rear Load Containers</t>
  </si>
  <si>
    <t>KA76718</t>
  </si>
  <si>
    <t>35 Gal. Cart Assy 025u w/ Lid-Plano Green/UV</t>
  </si>
  <si>
    <t>LA121349</t>
  </si>
  <si>
    <t>65 Gal. Cart Assy 025u w/ Lid-Plano Green/UV</t>
  </si>
  <si>
    <t>25 YD Structural Drop Off Boxes w/ 18' Lids</t>
  </si>
  <si>
    <t>06-2112-002</t>
  </si>
  <si>
    <t>R/O Truck</t>
  </si>
  <si>
    <t>Cascon</t>
  </si>
  <si>
    <t>Peterbilt 378</t>
  </si>
  <si>
    <t>C37646S</t>
  </si>
  <si>
    <t>1NPFL40XX7D675713</t>
  </si>
  <si>
    <t>2007 PeterBilt 378</t>
  </si>
  <si>
    <t>06-2112-005</t>
  </si>
  <si>
    <t>1.5 YD FEL/REL/SL Metal</t>
  </si>
  <si>
    <t>CAPITAL INDUSTRIES, INC.</t>
  </si>
  <si>
    <t>1.5 Yard RL Waste Containers</t>
  </si>
  <si>
    <t>2 yard RL Waste Containers</t>
  </si>
  <si>
    <t>0022181-IN</t>
  </si>
  <si>
    <t>Chassis Plumb work</t>
  </si>
  <si>
    <t>06-2112-011</t>
  </si>
  <si>
    <t>2 YD RL</t>
  </si>
  <si>
    <t>ENTERPRISE SALES, INC.</t>
  </si>
  <si>
    <t>07-2112-401</t>
  </si>
  <si>
    <t>1.5 yard RL containers</t>
  </si>
  <si>
    <t>1 YD RL containers</t>
  </si>
  <si>
    <t>07-2112-400</t>
  </si>
  <si>
    <t>DESERT MICRO</t>
  </si>
  <si>
    <t>Route Manager License</t>
  </si>
  <si>
    <t>07-2112-003</t>
  </si>
  <si>
    <t>30 YD RO Box</t>
  </si>
  <si>
    <t>30 Yard box</t>
  </si>
  <si>
    <t>07-2112-004</t>
  </si>
  <si>
    <t>2 yard rear load</t>
  </si>
  <si>
    <t>07-2112-005</t>
  </si>
  <si>
    <t>1 Yard RL containers</t>
  </si>
  <si>
    <t>LA135105</t>
  </si>
  <si>
    <t>07-2112-018</t>
  </si>
  <si>
    <t>REHRIG PACIFIC COMPANY</t>
  </si>
  <si>
    <t>35 gallon carts</t>
  </si>
  <si>
    <t>LA135109</t>
  </si>
  <si>
    <t>65 gallon carts</t>
  </si>
  <si>
    <t>HJH7777</t>
  </si>
  <si>
    <t>07-2112-403</t>
  </si>
  <si>
    <t>Panasonic Laptop S/N#7JTYA18055</t>
  </si>
  <si>
    <t>07-2112-402</t>
  </si>
  <si>
    <t>Leasehold Improvements</t>
  </si>
  <si>
    <t>2112-8-0001-1</t>
  </si>
  <si>
    <t>2YD REL Containers</t>
  </si>
  <si>
    <t>LA143313</t>
  </si>
  <si>
    <t>2112-8-0008-1</t>
  </si>
  <si>
    <t>65 Gallon Green Carts</t>
  </si>
  <si>
    <t>LA144678</t>
  </si>
  <si>
    <t>2112-9-0009-1</t>
  </si>
  <si>
    <t>BOTERO &amp; SON ELECTRICAL L</t>
  </si>
  <si>
    <t>Heaters for Warehouse</t>
  </si>
  <si>
    <t>LeMay Enterprises</t>
  </si>
  <si>
    <t>1.5 Yard Commercial Containers</t>
  </si>
  <si>
    <t>4072167-IN</t>
  </si>
  <si>
    <t>2112-9-0010-1</t>
  </si>
  <si>
    <t>Drive Cam</t>
  </si>
  <si>
    <t>Onsite Technician for Drive Cam</t>
  </si>
  <si>
    <t>407087-1N</t>
  </si>
  <si>
    <t>(24) Drive Cams</t>
  </si>
  <si>
    <t>2112-9-0014-1</t>
  </si>
  <si>
    <t>FEL Truck</t>
  </si>
  <si>
    <t>McNeilus</t>
  </si>
  <si>
    <t>Peterbilt 320</t>
  </si>
  <si>
    <t>B58292N</t>
  </si>
  <si>
    <t>3BPZL00X88F718369</t>
  </si>
  <si>
    <t>New 2008 Peterbilt/McNeilus 40 yd FEL (Package Purchase)</t>
  </si>
  <si>
    <t>2112-9-0015-1</t>
  </si>
  <si>
    <t>Grouped Containers</t>
  </si>
  <si>
    <t>ENTERPRISE SALES INC</t>
  </si>
  <si>
    <t>1 YD FEL Containers</t>
  </si>
  <si>
    <t>Automated Sideload</t>
  </si>
  <si>
    <t>New 2009 ASL Truck (Package Purchase)</t>
  </si>
  <si>
    <t>4071795-IN</t>
  </si>
  <si>
    <t>2181-9-0006-1</t>
  </si>
  <si>
    <t>(4) Drive Cam Units</t>
  </si>
  <si>
    <t>Helm</t>
  </si>
  <si>
    <t>LA156205R</t>
  </si>
  <si>
    <t>2112-10-0007-1</t>
  </si>
  <si>
    <t>LA156206R</t>
  </si>
  <si>
    <t>2112-9-0016-1</t>
  </si>
  <si>
    <t>New Transformer for Bailer</t>
  </si>
  <si>
    <t>2112-10-0003-1</t>
  </si>
  <si>
    <t>2112-10-0002-1</t>
  </si>
  <si>
    <t>2112-10-0005-1</t>
  </si>
  <si>
    <t>2112-10-0006-1</t>
  </si>
  <si>
    <t>4 YD FEL/REL/SL Metal</t>
  </si>
  <si>
    <t>2112-10-0004-1</t>
  </si>
  <si>
    <t>WASTEQUIP</t>
  </si>
  <si>
    <t>Bucket Loader</t>
  </si>
  <si>
    <t xml:space="preserve"> Other</t>
  </si>
  <si>
    <t>1986 Used Fiat Allis W110 Loader</t>
  </si>
  <si>
    <t>2112-10-0013-2</t>
  </si>
  <si>
    <t>SNAP ON BUSINESS SOLUTION</t>
  </si>
  <si>
    <t>Shop Diagnostic Laptop Computer w/ Software</t>
  </si>
  <si>
    <t>2112-10-0013-1</t>
  </si>
  <si>
    <t>LA162611RR</t>
  </si>
  <si>
    <t>2112-11-0005-1</t>
  </si>
  <si>
    <t>35 gallon refuse carts</t>
  </si>
  <si>
    <t>LA162610R</t>
  </si>
  <si>
    <t>65 gallon refuse carts</t>
  </si>
  <si>
    <t>OPS1</t>
  </si>
  <si>
    <t>Pcard 06-20-11</t>
  </si>
  <si>
    <t>2112-11-0009-1</t>
  </si>
  <si>
    <t>Pick Up Truck</t>
  </si>
  <si>
    <t>Pickup</t>
  </si>
  <si>
    <t>FORD F-350</t>
  </si>
  <si>
    <t>B11858P</t>
  </si>
  <si>
    <t>1FTSW31P83EC15430</t>
  </si>
  <si>
    <t>Used 2003 Ford F350 Supervisor Pick-Up Truck</t>
  </si>
  <si>
    <t>19825; 19858</t>
  </si>
  <si>
    <t>2112-11-0014-1</t>
  </si>
  <si>
    <t>Thunderbird Plastics, Ltd</t>
  </si>
  <si>
    <t>Residential Recycling Bins</t>
  </si>
  <si>
    <t>2112-11-0006-1</t>
  </si>
  <si>
    <t>2112-11-0007-1</t>
  </si>
  <si>
    <t>2112-11-0008-1</t>
  </si>
  <si>
    <t>D3978</t>
  </si>
  <si>
    <t>2112-11-0002-1</t>
  </si>
  <si>
    <t>B23425U</t>
  </si>
  <si>
    <t>1FDRF3E67BEA87319</t>
  </si>
  <si>
    <t>2011 Ford F-350 Service Truck</t>
  </si>
  <si>
    <t>B94670</t>
  </si>
  <si>
    <t>2112-11-0016-1</t>
  </si>
  <si>
    <t>N/A</t>
  </si>
  <si>
    <t>Snow Dogg</t>
  </si>
  <si>
    <t>M062002209</t>
  </si>
  <si>
    <t>Snow Dogg Snow Plow Blade and Lift Frame</t>
  </si>
  <si>
    <t>Salt Dogg 2-yard Poly Tank Spreader</t>
  </si>
  <si>
    <t>PT 67608</t>
  </si>
  <si>
    <t>2112-11-0017-1</t>
  </si>
  <si>
    <t>Central Welding Supply</t>
  </si>
  <si>
    <t>Trailblazer 302 Air Pak all-in-one compressor/generator/welder</t>
  </si>
  <si>
    <t>C563011</t>
  </si>
  <si>
    <t>1010-11-0048-1</t>
  </si>
  <si>
    <t>CDW</t>
  </si>
  <si>
    <t>(1) Sony Internet TV S/N# S0180642039</t>
  </si>
  <si>
    <t>LA169363</t>
  </si>
  <si>
    <t>2112-12-0003-1</t>
  </si>
  <si>
    <t>65 Gallon Residential Garbage Carts</t>
  </si>
  <si>
    <t>KE73180</t>
  </si>
  <si>
    <t>2112-12-0004-1</t>
  </si>
  <si>
    <t>35 Gallon Refuse Carts - ROC Grey</t>
  </si>
  <si>
    <t>2112-12-0005-1</t>
  </si>
  <si>
    <t>J787178</t>
  </si>
  <si>
    <t>1010-12-0021-1</t>
  </si>
  <si>
    <t>0080143-IN</t>
  </si>
  <si>
    <t>2112-12-0012-1</t>
  </si>
  <si>
    <t>GK INDUSTRIAL REFUSE SYST</t>
  </si>
  <si>
    <t>30 YD compactor receiver tubes for Makah T/S</t>
  </si>
  <si>
    <t>2112-12-0014-1</t>
  </si>
  <si>
    <t>Storm &amp; Retention Pond Improvements</t>
  </si>
  <si>
    <t>2112-12-0013-1</t>
  </si>
  <si>
    <t>CAPITAL INDUSTRIES INC</t>
  </si>
  <si>
    <t>LA173845</t>
  </si>
  <si>
    <t>2112-12-0015-1</t>
  </si>
  <si>
    <t>(003189 - 003512)</t>
  </si>
  <si>
    <t>65 Gallon Refuse Carts</t>
  </si>
  <si>
    <t>2112-12-0001-1</t>
  </si>
  <si>
    <t>Labrie</t>
  </si>
  <si>
    <t>C18081U</t>
  </si>
  <si>
    <t>3BPZL70X9DF198816</t>
  </si>
  <si>
    <t>New 2013 Peterbilt 320 w/ Labrie Expert 2000 - ASL</t>
  </si>
  <si>
    <t>12.27.12</t>
  </si>
  <si>
    <t>2112-13-0012-1</t>
  </si>
  <si>
    <t>HOCH CONSTRUCTION</t>
  </si>
  <si>
    <t>Stormwater Upgrade / Repair</t>
  </si>
  <si>
    <t>2112-13-0004-1</t>
  </si>
  <si>
    <t>3Yd FEL Containers</t>
  </si>
  <si>
    <t>2112-13-0005-1</t>
  </si>
  <si>
    <t>4 Yd FEL Containers</t>
  </si>
  <si>
    <t>LA177654</t>
  </si>
  <si>
    <t>2112-13-0007-1</t>
  </si>
  <si>
    <t>35 Gallon Refuse Carts</t>
  </si>
  <si>
    <t>2112-13-0011-1</t>
  </si>
  <si>
    <t>Global Industrial</t>
  </si>
  <si>
    <t>10,000 LB Gantry Overhead Crane</t>
  </si>
  <si>
    <t>10,000 LB Gantry Overhead Crane 2nd Installment</t>
  </si>
  <si>
    <t>2112-13-0001-1</t>
  </si>
  <si>
    <t>Recycle Truck</t>
  </si>
  <si>
    <t>GS Products</t>
  </si>
  <si>
    <t>Freightliner M2</t>
  </si>
  <si>
    <t>B27531Y</t>
  </si>
  <si>
    <t>1FVACXS77HY21596</t>
  </si>
  <si>
    <t>2007 Freightliner</t>
  </si>
  <si>
    <t>2112-13-0003-1</t>
  </si>
  <si>
    <t>30 YD R/O Drop Boxes</t>
  </si>
  <si>
    <t>LA181348</t>
  </si>
  <si>
    <t>2112-13-0008-1</t>
  </si>
  <si>
    <t>2112-13-0010-1</t>
  </si>
  <si>
    <t>THUNDERBIRD PLASTICS LTD</t>
  </si>
  <si>
    <t>Resi Recylce Bins (3-Bin System)</t>
  </si>
  <si>
    <t>2112-13-0014-1</t>
  </si>
  <si>
    <t>DAY WIRELESS SYSTEMS</t>
  </si>
  <si>
    <t>Truck Radios</t>
  </si>
  <si>
    <t>Multiple beginning with K</t>
  </si>
  <si>
    <t>2000-14-0006-1</t>
  </si>
  <si>
    <t>FORD F-150</t>
  </si>
  <si>
    <t>B42374T</t>
  </si>
  <si>
    <t>2FTRX18W22CA19954</t>
  </si>
  <si>
    <t>2002 Used Ford F150 Supervisor Pick Up</t>
  </si>
  <si>
    <t>NT06974</t>
  </si>
  <si>
    <t>2112-14-0013-1</t>
  </si>
  <si>
    <t>HP Prodesk 600 G1</t>
  </si>
  <si>
    <t>PC09959</t>
  </si>
  <si>
    <t>Desktop Monitor</t>
  </si>
  <si>
    <t>ke80561</t>
  </si>
  <si>
    <t>2112-14-0004-1</t>
  </si>
  <si>
    <t>35 gal refuse carts</t>
  </si>
  <si>
    <t>2112-14-0012-1</t>
  </si>
  <si>
    <t>REL Truck</t>
  </si>
  <si>
    <t>McNelius</t>
  </si>
  <si>
    <t>Freighliner M2</t>
  </si>
  <si>
    <t>C68628B</t>
  </si>
  <si>
    <t>3ALHCYCY0FDGJ8209</t>
  </si>
  <si>
    <t>2015 REL Truck</t>
  </si>
  <si>
    <t>2112-14-0008-1</t>
  </si>
  <si>
    <t>Improvement - Tarper</t>
  </si>
  <si>
    <t>156143-00</t>
  </si>
  <si>
    <t>2112-14-0011-1</t>
  </si>
  <si>
    <t>Day Wireless Systems</t>
  </si>
  <si>
    <t>2112-15-0010-1</t>
  </si>
  <si>
    <t>18-Gal Recycle Bins</t>
  </si>
  <si>
    <t>Trailer</t>
  </si>
  <si>
    <t>TT13225</t>
  </si>
  <si>
    <t>2112-15-0013-1</t>
  </si>
  <si>
    <t>7 Winterms</t>
  </si>
  <si>
    <t>2112-15-0009-1</t>
  </si>
  <si>
    <t>Phone System</t>
  </si>
  <si>
    <t>ELOY</t>
  </si>
  <si>
    <t>2112-15-0012-1</t>
  </si>
  <si>
    <t>OTTO ENVIRONMENTAL SYSTEM</t>
  </si>
  <si>
    <t>65 Gal Garbage Carts</t>
  </si>
  <si>
    <t>2112-15-0015-1</t>
  </si>
  <si>
    <t>Toter</t>
  </si>
  <si>
    <t>96 Gallon Carts</t>
  </si>
  <si>
    <t>WC94371</t>
  </si>
  <si>
    <t>2112-15-0016-1</t>
  </si>
  <si>
    <t>2112-15-0014-1</t>
  </si>
  <si>
    <t>4 YD REL Containers</t>
  </si>
  <si>
    <t>2112-15-0007-1</t>
  </si>
  <si>
    <t>20 yd Roll Off Boxes</t>
  </si>
  <si>
    <t>1 yd REL Containers</t>
  </si>
  <si>
    <t>2 yd REL containers</t>
  </si>
  <si>
    <t>2112-15-0017-1</t>
  </si>
  <si>
    <t>H&amp;R Parts and Equipment</t>
  </si>
  <si>
    <t>Transmission Repair - truck 42965</t>
  </si>
  <si>
    <t>P100885</t>
  </si>
  <si>
    <t>2112-15-0005-1</t>
  </si>
  <si>
    <t>C18573T</t>
  </si>
  <si>
    <t>3BPZLJ0X9GF100885</t>
  </si>
  <si>
    <t>2016 ASL Truck</t>
  </si>
  <si>
    <t>2112-15-0018-1</t>
  </si>
  <si>
    <t>18 Gallon Recycle Carts</t>
  </si>
  <si>
    <t>Dist Adj for New pressure</t>
  </si>
  <si>
    <t>2112-15-0020-1</t>
  </si>
  <si>
    <t>AMB Tools and Equipment</t>
  </si>
  <si>
    <t>Pressure Washer - AMB Tools</t>
  </si>
  <si>
    <t>2112-15-0006-1</t>
  </si>
  <si>
    <t>30 YD Roll Off Boxes</t>
  </si>
  <si>
    <t>P1667</t>
  </si>
  <si>
    <t>2112-16-0024-1</t>
  </si>
  <si>
    <t>VERIZON WIRELESS P1667~NA</t>
  </si>
  <si>
    <t>34 Samsung Tablets</t>
  </si>
  <si>
    <t>SI-1137467</t>
  </si>
  <si>
    <t>ProClip USA, Inc</t>
  </si>
  <si>
    <t>(34) Tablet Mounts and Cases</t>
  </si>
  <si>
    <t>2112-16-0006-1</t>
  </si>
  <si>
    <t>18 Gal Recycle boxes</t>
  </si>
  <si>
    <t>LA203975</t>
  </si>
  <si>
    <t>2112-16-0010-1</t>
  </si>
  <si>
    <t>4 YD FEL/REL/SL Plastic</t>
  </si>
  <si>
    <t>4 YD Commercial Plastic Containers</t>
  </si>
  <si>
    <t>LA203970</t>
  </si>
  <si>
    <t>2 YD FEL/REL/SL Plastic</t>
  </si>
  <si>
    <t>2YD Plastic Containers</t>
  </si>
  <si>
    <t>2112-16-0013-1</t>
  </si>
  <si>
    <t>30 YD Lidded box</t>
  </si>
  <si>
    <t>20 YD Lidded Boxes</t>
  </si>
  <si>
    <t>2112-14-0007-1</t>
  </si>
  <si>
    <t>TREND SERVICES INC</t>
  </si>
  <si>
    <t>Tank for Truck Wash</t>
  </si>
  <si>
    <t>HochCC*912N4</t>
  </si>
  <si>
    <t>2112-15-0008-1</t>
  </si>
  <si>
    <t>Wash Rack for Truck Wash</t>
  </si>
  <si>
    <t>12312015-1</t>
  </si>
  <si>
    <t>2112-15-0019-1</t>
  </si>
  <si>
    <t>Trench Drain and Diversion Beam for Truck Wash</t>
  </si>
  <si>
    <t>2112-16-0026-1</t>
  </si>
  <si>
    <t>WashRack for Truck Wash</t>
  </si>
  <si>
    <t>30YD boxes with lids</t>
  </si>
  <si>
    <t>2112-16-0025-1</t>
  </si>
  <si>
    <t>Snap-On</t>
  </si>
  <si>
    <t>Snap-On Diagnostic Shop Computer</t>
  </si>
  <si>
    <t>LA204235</t>
  </si>
  <si>
    <t>2 Yard RL Plastic Containers with Lids</t>
  </si>
  <si>
    <t>LA204239</t>
  </si>
  <si>
    <t>6 YD FEL/REL/SL Plastic</t>
  </si>
  <si>
    <t>6 Yard Plastic Commercial Container with Lid</t>
  </si>
  <si>
    <t>P414304</t>
  </si>
  <si>
    <t>2112-16-0001-1</t>
  </si>
  <si>
    <t>AAA welding</t>
  </si>
  <si>
    <t>Peterbilt 567</t>
  </si>
  <si>
    <t>C58123G</t>
  </si>
  <si>
    <t>1NPCL40X9HD414304</t>
  </si>
  <si>
    <t>2017 R/O Truck</t>
  </si>
  <si>
    <t>2112-16-0003-1</t>
  </si>
  <si>
    <t>30yd box w/lid</t>
  </si>
  <si>
    <t>20yd boxes w/lids</t>
  </si>
  <si>
    <t>0024843-IN</t>
  </si>
  <si>
    <t>2112-16-0029-5</t>
  </si>
  <si>
    <t>Rule Steel</t>
  </si>
  <si>
    <t>2112-16-0029-4</t>
  </si>
  <si>
    <t>2112-16-0029-2</t>
  </si>
  <si>
    <t>2112-16-0029-1</t>
  </si>
  <si>
    <t>2112-16-0029-3</t>
  </si>
  <si>
    <t>2112-16-0029-6</t>
  </si>
  <si>
    <t>141750916-001</t>
  </si>
  <si>
    <t>2112-16-0034-1</t>
  </si>
  <si>
    <t>Manlift</t>
  </si>
  <si>
    <t>Skyjack SJIII3226</t>
  </si>
  <si>
    <t>Scissor Lift 24-26' Electric 30-36" wide</t>
  </si>
  <si>
    <t>2112-16-0033-1</t>
  </si>
  <si>
    <t>LA100044</t>
  </si>
  <si>
    <t>02-2148-002</t>
  </si>
  <si>
    <t>Nestable/Stackable Recycle Bins</t>
  </si>
  <si>
    <t>03-2148-005, 006</t>
  </si>
  <si>
    <t>2 Yard Rear Load Containers</t>
  </si>
  <si>
    <t>03-2148-007</t>
  </si>
  <si>
    <t>IVC00839</t>
  </si>
  <si>
    <t>CAMCAL Inc.</t>
  </si>
  <si>
    <t>220 Gal UL Oval Tank-Labor &amp; Materials to Mount</t>
  </si>
  <si>
    <t>1 YD REL Containers w/ Plastic Lids &amp; Casters</t>
  </si>
  <si>
    <t>ELOY334</t>
  </si>
  <si>
    <t>14 Gal. MSD Recycle Bins-Beige</t>
  </si>
  <si>
    <t>ELOY334b</t>
  </si>
  <si>
    <t>14 Gal. MSD Recycle Bins-LT Gray</t>
  </si>
  <si>
    <t>ELOY334c</t>
  </si>
  <si>
    <t>14 Gal. MSD Recycle Bins-LT Blue</t>
  </si>
  <si>
    <t>2 YD REL Containers</t>
  </si>
  <si>
    <t>DM Disposal Port Angelas</t>
  </si>
  <si>
    <t>40 YD RO Box</t>
  </si>
  <si>
    <t>U052148006</t>
  </si>
  <si>
    <t>1HTWCAAN43J067543</t>
  </si>
  <si>
    <t>Sales Tax for New Truck #602</t>
  </si>
  <si>
    <t>2 YD REL containers</t>
  </si>
  <si>
    <t>30 YD Structural R/O Box w/ 18' EZ Screen Lid</t>
  </si>
  <si>
    <t>PS2148</t>
  </si>
  <si>
    <t>06-2148-009</t>
  </si>
  <si>
    <t>WASTE MANAGEMENT</t>
  </si>
  <si>
    <t>Toters and containers for curbside contract</t>
  </si>
  <si>
    <t>06-2148-008</t>
  </si>
  <si>
    <t>TOTER INCORPORATED</t>
  </si>
  <si>
    <t>96 gallons carts</t>
  </si>
  <si>
    <t>06-2148-010</t>
  </si>
  <si>
    <t>2 yard  REL containers</t>
  </si>
  <si>
    <t>06-2148-402</t>
  </si>
  <si>
    <t>96 Gallon carts</t>
  </si>
  <si>
    <t>Lids</t>
  </si>
  <si>
    <t>06-2148-405</t>
  </si>
  <si>
    <t>96 Gallon lids</t>
  </si>
  <si>
    <t>06-2148-407</t>
  </si>
  <si>
    <t>96 gallon carts</t>
  </si>
  <si>
    <t>06-2148-406</t>
  </si>
  <si>
    <t>96 gallon toters</t>
  </si>
  <si>
    <t>07-2148-409</t>
  </si>
  <si>
    <t>RM License</t>
  </si>
  <si>
    <t>07-2148-411</t>
  </si>
  <si>
    <t>5VCEC6LFX3N194918</t>
  </si>
  <si>
    <t>Taxes on 2003 sideloader FAS # 47553</t>
  </si>
  <si>
    <t>07-2148-410</t>
  </si>
  <si>
    <t>5VCH36UEX3N194761</t>
  </si>
  <si>
    <t>Taxes for 2003 sideloader FAS #  47554</t>
  </si>
  <si>
    <t>07-2148-004</t>
  </si>
  <si>
    <t>1 YD REL Containers</t>
  </si>
  <si>
    <t>07-2148-003</t>
  </si>
  <si>
    <t>City of Sequim</t>
  </si>
  <si>
    <t>1.5yd FEL Containers from WM:</t>
  </si>
  <si>
    <t>2yd Recycling Cages from WM:</t>
  </si>
  <si>
    <t>4yd Recycling Cages from WM:</t>
  </si>
  <si>
    <t>6yd Recycling Cages from WM:</t>
  </si>
  <si>
    <t>Carts:</t>
  </si>
  <si>
    <t>Contracts - City of Sequim</t>
  </si>
  <si>
    <t>07-2148-005</t>
  </si>
  <si>
    <t>4 YD FEL Carboard Bin</t>
  </si>
  <si>
    <t>2148-8-0013-1</t>
  </si>
  <si>
    <t>Sales Tax on FEL Truck VIN#200124</t>
  </si>
  <si>
    <t>2148-8-0015-1</t>
  </si>
  <si>
    <t>6YD FEL Containers</t>
  </si>
  <si>
    <t>2148-8-0009-1</t>
  </si>
  <si>
    <t>KB 232383</t>
  </si>
  <si>
    <t>2148-8-0010-1</t>
  </si>
  <si>
    <t>96 Galllon Grey Carts</t>
  </si>
  <si>
    <t>4 - Junk Boxes &amp; Oil Assemblies</t>
  </si>
  <si>
    <t>Spill Kit</t>
  </si>
  <si>
    <t>11749846/16267</t>
  </si>
  <si>
    <t>2010-8-0023-1</t>
  </si>
  <si>
    <t>Truck #227 - Engine</t>
  </si>
  <si>
    <t>MRF Equipment</t>
  </si>
  <si>
    <t>OTHER</t>
  </si>
  <si>
    <t>Baler</t>
  </si>
  <si>
    <t>07-2170-004</t>
  </si>
  <si>
    <t>PACIFIC WIRE PRODUCTS</t>
  </si>
  <si>
    <t>PARTS &amp; LABOR FOR REBUILD</t>
  </si>
  <si>
    <t>4072177-IN</t>
  </si>
  <si>
    <t>2148-9-0018-1</t>
  </si>
  <si>
    <t>Drive Cam Installation and Onsite Technician</t>
  </si>
  <si>
    <t>4070885-1N</t>
  </si>
  <si>
    <t>DriveCam</t>
  </si>
  <si>
    <t>(16) Drive Cams</t>
  </si>
  <si>
    <t>4070926-IN</t>
  </si>
  <si>
    <t>Drivecam</t>
  </si>
  <si>
    <t>Drive Cam Installation Cost</t>
  </si>
  <si>
    <t>LA153886</t>
  </si>
  <si>
    <t>2148-10-0013-1</t>
  </si>
  <si>
    <t>95 Gallon YW Carts</t>
  </si>
  <si>
    <t>LA153926</t>
  </si>
  <si>
    <t>95 Gallon Recycling Carts (Blue Lids)</t>
  </si>
  <si>
    <t>LA153927</t>
  </si>
  <si>
    <t>LA153904</t>
  </si>
  <si>
    <t>LA153905</t>
  </si>
  <si>
    <t>LA153948</t>
  </si>
  <si>
    <t>95 Gallon Recycling Carts(Blue Lids)</t>
  </si>
  <si>
    <t>10-059</t>
  </si>
  <si>
    <t>2148-10-0011-1</t>
  </si>
  <si>
    <t>Baler Electrical Set-up</t>
  </si>
  <si>
    <t>LA156153R</t>
  </si>
  <si>
    <t>2148-10-0005-1</t>
  </si>
  <si>
    <t>95 Gallon Carts</t>
  </si>
  <si>
    <t>LA156154</t>
  </si>
  <si>
    <t>2148-10-0002-1</t>
  </si>
  <si>
    <t>20 Yard Recycle Dropoff Center Containers</t>
  </si>
  <si>
    <t>KE69404</t>
  </si>
  <si>
    <t>80 Liter Recycle Carts - Grey</t>
  </si>
  <si>
    <t>2148-10-0007-1</t>
  </si>
  <si>
    <t>Baler Pit</t>
  </si>
  <si>
    <t>2148-10-0009-1</t>
  </si>
  <si>
    <t>2148-10-0010-1</t>
  </si>
  <si>
    <t>0046599-IN</t>
  </si>
  <si>
    <t>2148-10-0008-1</t>
  </si>
  <si>
    <t>SOLID WASTE SYSTEMS</t>
  </si>
  <si>
    <t>Excel 6029 Rubber Belt Conveyor for Port Angeles MRF</t>
  </si>
  <si>
    <t>2148-10-0012-1</t>
  </si>
  <si>
    <t>Petebilt 320</t>
  </si>
  <si>
    <t>C18574T</t>
  </si>
  <si>
    <t>3BPZL00X4BF117807</t>
  </si>
  <si>
    <t>New 2011 Peterbilt 320 ASL</t>
  </si>
  <si>
    <t>2148-11-0006-1</t>
  </si>
  <si>
    <t>2148-11-0007-1</t>
  </si>
  <si>
    <t>2148-11-0008-1</t>
  </si>
  <si>
    <t>2148-11-0012-1</t>
  </si>
  <si>
    <t>4 YD Self-Dump Hoppers for Blue Mt. T/S</t>
  </si>
  <si>
    <t>MRF-FL3</t>
  </si>
  <si>
    <t>95719277-001</t>
  </si>
  <si>
    <t>2148-11-0003-1</t>
  </si>
  <si>
    <t>Forklift</t>
  </si>
  <si>
    <t>593040A</t>
  </si>
  <si>
    <t>Used 2006 Komatsu FG25T-14 Forklift</t>
  </si>
  <si>
    <t>95509559-001</t>
  </si>
  <si>
    <t>2148-11-0002-1</t>
  </si>
  <si>
    <t>John Deere</t>
  </si>
  <si>
    <t>Grapple bucket and sweeper for MRF skid steer</t>
  </si>
  <si>
    <t>2148-11-0014-1</t>
  </si>
  <si>
    <t>WASTEQUIP  WEST COAST</t>
  </si>
  <si>
    <t>2YD FEL Cardboard Containers (Metal)</t>
  </si>
  <si>
    <t>TW1110038RL</t>
  </si>
  <si>
    <t>2148-11-0001-1</t>
  </si>
  <si>
    <t>International 7400</t>
  </si>
  <si>
    <t>C18567T</t>
  </si>
  <si>
    <t>1HTWGAATX5J146592</t>
  </si>
  <si>
    <t>Used 2005 International 7400 REL</t>
  </si>
  <si>
    <t>LA166566</t>
  </si>
  <si>
    <t>2148-11-0005-1</t>
  </si>
  <si>
    <t>65 Gallon Carts - ROC Grey</t>
  </si>
  <si>
    <t>LA166567</t>
  </si>
  <si>
    <t>95 Gallon Carts - ROC Grey</t>
  </si>
  <si>
    <t>2148-11-0015-1</t>
  </si>
  <si>
    <t>Snap-On Tools</t>
  </si>
  <si>
    <t>15 HP shop compressor</t>
  </si>
  <si>
    <t>D119957</t>
  </si>
  <si>
    <t>1010-12-0018-1</t>
  </si>
  <si>
    <t>cdw</t>
  </si>
  <si>
    <t>Sony Internet TV (SN = S018094755O)</t>
  </si>
  <si>
    <t>2148-12-0011-1</t>
  </si>
  <si>
    <t>2148-12-0008-1</t>
  </si>
  <si>
    <t>LA171281</t>
  </si>
  <si>
    <t>2148-12-0006-1</t>
  </si>
  <si>
    <t>004437-004742</t>
  </si>
  <si>
    <t>LA171283</t>
  </si>
  <si>
    <t>2148-12-0014-1</t>
  </si>
  <si>
    <t>002637-002736</t>
  </si>
  <si>
    <t>95 Gallon Yardwaste Carts</t>
  </si>
  <si>
    <t>LA171282</t>
  </si>
  <si>
    <t>2148-12-0015-1</t>
  </si>
  <si>
    <t>000244-000323</t>
  </si>
  <si>
    <t>95 Gallon Garbage Carts - ROC Grey</t>
  </si>
  <si>
    <t>2148-12-0001-1</t>
  </si>
  <si>
    <t>2148-12-0016-1</t>
  </si>
  <si>
    <t>4 YD FEL Recycle Containers</t>
  </si>
  <si>
    <t>2148-12-0017-1</t>
  </si>
  <si>
    <t>6 YD FEL Recycling Containers</t>
  </si>
  <si>
    <t>LA173846</t>
  </si>
  <si>
    <t>2148-12-0018-1</t>
  </si>
  <si>
    <t>(004743 - 004985)</t>
  </si>
  <si>
    <t>95 Gallon Recycle Carts</t>
  </si>
  <si>
    <t>2148-13-0017-1</t>
  </si>
  <si>
    <t>MATCO TOOLS</t>
  </si>
  <si>
    <t>(2) 10Ton Air Jacks</t>
  </si>
  <si>
    <t>2148-13-0016-1</t>
  </si>
  <si>
    <t>Resi Recycle Bins (3-Bin System)</t>
  </si>
  <si>
    <t>LA177652</t>
  </si>
  <si>
    <t>2148-13-0011-1</t>
  </si>
  <si>
    <t>2148-13-0007-1</t>
  </si>
  <si>
    <t>3 Yd FEL Containers</t>
  </si>
  <si>
    <t>2148-13-0008-1</t>
  </si>
  <si>
    <t>4Yd FEL Containers</t>
  </si>
  <si>
    <t>58/51</t>
  </si>
  <si>
    <t>2148-13-0009-1</t>
  </si>
  <si>
    <t>6 YD FEL Containers</t>
  </si>
  <si>
    <t>2148-13-0004-1</t>
  </si>
  <si>
    <t>30 Yd R/O Drop Boxes</t>
  </si>
  <si>
    <t>LA177653</t>
  </si>
  <si>
    <t>2148-13-0010-1</t>
  </si>
  <si>
    <t>W/O 7726</t>
  </si>
  <si>
    <t>2148-13-0001-1</t>
  </si>
  <si>
    <t>LINCOLN INDUSTRIAL CORP I</t>
  </si>
  <si>
    <t>Lift Gate for Service Truck</t>
  </si>
  <si>
    <t>21951Adj</t>
  </si>
  <si>
    <t>Resi Recylce Bins-Remaining Balance</t>
  </si>
  <si>
    <t>VIN 596924</t>
  </si>
  <si>
    <t>07-2112-006</t>
  </si>
  <si>
    <t>Container Delivery Truck</t>
  </si>
  <si>
    <t>Flatbed</t>
  </si>
  <si>
    <t>International 4300</t>
  </si>
  <si>
    <t>C18201U</t>
  </si>
  <si>
    <t>1HTMMAAM34H596924</t>
  </si>
  <si>
    <t>2004 INTL 4300 FLAT 20  TRUCK</t>
  </si>
  <si>
    <t>2148-13-0005-1</t>
  </si>
  <si>
    <t>4Y d FEL OCC Containers</t>
  </si>
  <si>
    <t>2148-13-0006-1</t>
  </si>
  <si>
    <t>2 YD FEL OCC Containers</t>
  </si>
  <si>
    <t>6368720-00</t>
  </si>
  <si>
    <t>2148-13-0015-1</t>
  </si>
  <si>
    <t>PACIFIC POWER PRODUCTS</t>
  </si>
  <si>
    <t>Truck 917 Transmission Repair</t>
  </si>
  <si>
    <t>5900Tax</t>
  </si>
  <si>
    <t>4 YD FEL OCC Containers - Sales Tax</t>
  </si>
  <si>
    <t>6 YD FEL OCC Containers - Sales Tax</t>
  </si>
  <si>
    <t>LA181350</t>
  </si>
  <si>
    <t>2148-13-0014-1</t>
  </si>
  <si>
    <t>LA181432</t>
  </si>
  <si>
    <t>2148-13-0013-1</t>
  </si>
  <si>
    <t>96 Gal Carts</t>
  </si>
  <si>
    <t>2148-13-0003-1</t>
  </si>
  <si>
    <t>Crane/flatbed</t>
  </si>
  <si>
    <t>Kenworth T300</t>
  </si>
  <si>
    <t>A56729U</t>
  </si>
  <si>
    <t>2NKMHD7X64M066807</t>
  </si>
  <si>
    <t>2004 Container Delivery Truck</t>
  </si>
  <si>
    <t>LA181698</t>
  </si>
  <si>
    <t>2148-13-0018-1</t>
  </si>
  <si>
    <t>96 Gallon Recycle Carts</t>
  </si>
  <si>
    <t>2148-13-0019-1</t>
  </si>
  <si>
    <t>2148-14-0014-1</t>
  </si>
  <si>
    <t>The Elctronic Avenue</t>
  </si>
  <si>
    <t>Computer for Transfer Station</t>
  </si>
  <si>
    <t>LA181349</t>
  </si>
  <si>
    <t>2148-14-0015-1</t>
  </si>
  <si>
    <t>la187611</t>
  </si>
  <si>
    <t>2148-14-0008-1</t>
  </si>
  <si>
    <t>2148-14-0011-1</t>
  </si>
  <si>
    <t>3 Bin Recycle System Bins</t>
  </si>
  <si>
    <t>LA187612</t>
  </si>
  <si>
    <t>65 Gal Plastic Carts</t>
  </si>
  <si>
    <t>2148-14-0014-2</t>
  </si>
  <si>
    <t>METTLER TOLEDO INC</t>
  </si>
  <si>
    <t>Scale Parts - Blue Mountain Transfer Station</t>
  </si>
  <si>
    <t>2148-14-0016-1</t>
  </si>
  <si>
    <t>Diagnostic Computer</t>
  </si>
  <si>
    <t>14 Gallon MSD Recycle Bins</t>
  </si>
  <si>
    <t>OWS 299</t>
  </si>
  <si>
    <t>03-2112-006</t>
  </si>
  <si>
    <t>14 Gallon Recycle Bins</t>
  </si>
  <si>
    <t>ELOY 335b</t>
  </si>
  <si>
    <t>14 Gal. MSD Recycle Bin-DK Blue</t>
  </si>
  <si>
    <t>2112-8-0009-1</t>
  </si>
  <si>
    <t>18 GA Recycle Box</t>
  </si>
  <si>
    <t>Thunderbird Plastics</t>
  </si>
  <si>
    <t>Use tax on 5,000 Recycle Bins</t>
  </si>
  <si>
    <t>arv/23030328</t>
  </si>
  <si>
    <t>SNAP ON TOOLS</t>
  </si>
  <si>
    <t>Software for Diagnostic Computer</t>
  </si>
  <si>
    <t>Recycle Bins (U)</t>
  </si>
  <si>
    <t>2148-14-0017-1</t>
  </si>
  <si>
    <t>H&amp;R Parts &amp; Eqiupment</t>
  </si>
  <si>
    <t>Cap Repair - Engine</t>
  </si>
  <si>
    <t>2148-14-0012-1</t>
  </si>
  <si>
    <t>Jasper</t>
  </si>
  <si>
    <t>Cap Repair - Transmission</t>
  </si>
  <si>
    <t>2148-14-0001-1</t>
  </si>
  <si>
    <t>2148-14-0002-1</t>
  </si>
  <si>
    <t>30 Yard Dropboxes</t>
  </si>
  <si>
    <t>LA188322RR</t>
  </si>
  <si>
    <t>95 Gal Recycle Carts - Grey</t>
  </si>
  <si>
    <t>TW1140530RC</t>
  </si>
  <si>
    <t>2148-14-0013-1</t>
  </si>
  <si>
    <t>C18566T</t>
  </si>
  <si>
    <t>3BPZH57XXAF104093</t>
  </si>
  <si>
    <t>2010 Recycle Truck</t>
  </si>
  <si>
    <t>Peterbilt</t>
  </si>
  <si>
    <t>Trucks &amp; Parts of Tampa</t>
  </si>
  <si>
    <t>Use Tax on Recycle Truck</t>
  </si>
  <si>
    <t>TS88486</t>
  </si>
  <si>
    <t>2148-15-0009-1</t>
  </si>
  <si>
    <t>2 Winterms</t>
  </si>
  <si>
    <t>2148-15-0010-1</t>
  </si>
  <si>
    <t>2148-15-0002-1</t>
  </si>
  <si>
    <t>2148-15-0006-1</t>
  </si>
  <si>
    <t>30 yd roll off box w/lid</t>
  </si>
  <si>
    <t>P100886</t>
  </si>
  <si>
    <t>2148-15-0001-1</t>
  </si>
  <si>
    <t>C21022D</t>
  </si>
  <si>
    <t>3BPZLJ0X0GF100886</t>
  </si>
  <si>
    <t>00-2010-c006</t>
  </si>
  <si>
    <t>TS00101RAG 0N 712977</t>
  </si>
  <si>
    <t>Labrie Top Select Body Mounted on FAS 4864</t>
  </si>
  <si>
    <t>2148-15-0011-1</t>
  </si>
  <si>
    <t>H&amp;R Parts</t>
  </si>
  <si>
    <t>Engine Rebuild Truck #243</t>
  </si>
  <si>
    <t>2148-15-0012-1</t>
  </si>
  <si>
    <t>ENTERPRISE SALES, INC</t>
  </si>
  <si>
    <t>2YD Recycle Containers</t>
  </si>
  <si>
    <t>2148-16-0008-1</t>
  </si>
  <si>
    <t>1.5 YD RL Containers</t>
  </si>
  <si>
    <t>2 YD RL Containers</t>
  </si>
  <si>
    <t>2 YD OCC containers</t>
  </si>
  <si>
    <t>1.5 REL Containers</t>
  </si>
  <si>
    <t>LA205574</t>
  </si>
  <si>
    <t>2148-16-0023-1</t>
  </si>
  <si>
    <t>REHRIG PACIFIC COMPANY IN</t>
  </si>
  <si>
    <t>6YD Containers</t>
  </si>
  <si>
    <t>LA205065</t>
  </si>
  <si>
    <t>3YD Containers with lids</t>
  </si>
  <si>
    <t>1YD RL Containers</t>
  </si>
  <si>
    <t>1.5YD RL Containers</t>
  </si>
  <si>
    <t>2YD RL Containers</t>
  </si>
  <si>
    <t>ELOY 20337</t>
  </si>
  <si>
    <t>2148-16-0005-1</t>
  </si>
  <si>
    <t>ELOY 20259</t>
  </si>
  <si>
    <t>2148-16-0004-1</t>
  </si>
  <si>
    <t>1BNWK4T</t>
  </si>
  <si>
    <t>2148-16-0024-1</t>
  </si>
  <si>
    <t>PC tower for ACD Monitor at Port Townsend</t>
  </si>
  <si>
    <t>ELOY 20488</t>
  </si>
  <si>
    <t>2148-16-0002-1</t>
  </si>
  <si>
    <t>2148-16-0026-1</t>
  </si>
  <si>
    <t>H&amp;R Parts &amp; Equipment</t>
  </si>
  <si>
    <t>Engine Overhaul (Trk #916)</t>
  </si>
  <si>
    <t>2148-16-0025-1</t>
  </si>
  <si>
    <t>Deal #75096</t>
  </si>
  <si>
    <t>2144-11-0012-1</t>
  </si>
  <si>
    <t>C20489D</t>
  </si>
  <si>
    <t>1FTRW14W88FB86745</t>
  </si>
  <si>
    <t>Heil</t>
  </si>
  <si>
    <t>2112-17-0023-1</t>
  </si>
  <si>
    <t>WASTEQUIP LLC</t>
  </si>
  <si>
    <t>2112-17-0023-2</t>
  </si>
  <si>
    <t>2112-17-0025-1</t>
  </si>
  <si>
    <t>HGF2099</t>
  </si>
  <si>
    <t>2112-17-0026-1</t>
  </si>
  <si>
    <t>HHT5838</t>
  </si>
  <si>
    <t>2112-17-0027-2</t>
  </si>
  <si>
    <t>Diagnostic Laptop</t>
  </si>
  <si>
    <t>2112-17-0024-1</t>
  </si>
  <si>
    <t>2112-17-0015-1</t>
  </si>
  <si>
    <t>AA Welding</t>
  </si>
  <si>
    <t>PeterBilt 567</t>
  </si>
  <si>
    <t>C64235J</t>
  </si>
  <si>
    <t>1NPCX4EX1JD460289</t>
  </si>
  <si>
    <t>2112-17-0030-1</t>
  </si>
  <si>
    <t>Toter (Wastequip)</t>
  </si>
  <si>
    <t>1V0241329</t>
  </si>
  <si>
    <t>Washington State DOL Clal</t>
  </si>
  <si>
    <t>Initial Licensing for new RO truck</t>
  </si>
  <si>
    <t>P186843</t>
  </si>
  <si>
    <t>2112-17-0017-1</t>
  </si>
  <si>
    <t>PeterBilt 520</t>
  </si>
  <si>
    <t>C63962J</t>
  </si>
  <si>
    <t>3BPDLJ0X3JF186843</t>
  </si>
  <si>
    <t>WA St DOL</t>
  </si>
  <si>
    <t>Initial licensing for trk 887</t>
  </si>
  <si>
    <t>T2391501</t>
  </si>
  <si>
    <t>2112-17-0029-1</t>
  </si>
  <si>
    <t>Caterpillar</t>
  </si>
  <si>
    <t>Integrated Rental</t>
  </si>
  <si>
    <t>0MWD07125</t>
  </si>
  <si>
    <t>2112-17-0033-1</t>
  </si>
  <si>
    <t>BRAMSTEDT SALES</t>
  </si>
  <si>
    <t>94-3283464</t>
  </si>
  <si>
    <t>14T Floor Jacks (2)</t>
  </si>
  <si>
    <t>KCB0250</t>
  </si>
  <si>
    <t>2112-17-0032-1</t>
  </si>
  <si>
    <t>HP ProBook 640 G2 (MM)</t>
  </si>
  <si>
    <t>144727-0</t>
  </si>
  <si>
    <t>2112-17-0034-1</t>
  </si>
  <si>
    <t>Creative Office</t>
  </si>
  <si>
    <t>New Cubicles (6) at Carlsborg</t>
  </si>
  <si>
    <t>KBP7608</t>
  </si>
  <si>
    <t>Docking Station for HP ProBook 640 G2</t>
  </si>
  <si>
    <t>01/0803 #31</t>
  </si>
  <si>
    <t>2149-9-0040-1</t>
  </si>
  <si>
    <t>1HTWCAANX9J126605</t>
  </si>
  <si>
    <t>Use Tax for Truck # 31</t>
  </si>
  <si>
    <t>2112-17-0021-1</t>
  </si>
  <si>
    <t>HOCHCC*912N4</t>
  </si>
  <si>
    <t>2112-17-0021-2</t>
  </si>
  <si>
    <t>11012017-5</t>
  </si>
  <si>
    <t>2112-17-0035-1</t>
  </si>
  <si>
    <t>2112-17-0036-1</t>
  </si>
  <si>
    <t>MCW2532</t>
  </si>
  <si>
    <t>2112-18-0027-1</t>
  </si>
  <si>
    <t>CDW DIR #PWSP-3463 211</t>
  </si>
  <si>
    <t>Zenovic &amp; Associates Inco</t>
  </si>
  <si>
    <t>MCK7279</t>
  </si>
  <si>
    <t>CDW DIR #PWSP-3463</t>
  </si>
  <si>
    <t>PT-15</t>
  </si>
  <si>
    <t>0103885-IN</t>
  </si>
  <si>
    <t>2112-18-0023-1</t>
  </si>
  <si>
    <t>Better Weigh</t>
  </si>
  <si>
    <t>63965AE</t>
  </si>
  <si>
    <t>1B9PP3339JT260194</t>
  </si>
  <si>
    <t>MGV1291</t>
  </si>
  <si>
    <t>2112-18-0029-1</t>
  </si>
  <si>
    <t>Service Truck</t>
  </si>
  <si>
    <t>Ford</t>
  </si>
  <si>
    <t>Titus Will/Ford</t>
  </si>
  <si>
    <t>C18575T</t>
  </si>
  <si>
    <t>1FDRF3G61JEB66657</t>
  </si>
  <si>
    <t>Container Audit</t>
  </si>
  <si>
    <t>1.5 YD Container</t>
  </si>
  <si>
    <t>2 YD Container</t>
  </si>
  <si>
    <t>50 YD RO Box</t>
  </si>
  <si>
    <t>50 YD Container</t>
  </si>
  <si>
    <t>2112-18-0025-1</t>
  </si>
  <si>
    <t>2112-18-0025-2</t>
  </si>
  <si>
    <t>655 -25033, -41604, -2564</t>
  </si>
  <si>
    <t>2112-18-0024-1</t>
  </si>
  <si>
    <t>WASTEQUIP TOTER</t>
  </si>
  <si>
    <t>2112-18-0026-1</t>
  </si>
  <si>
    <t>FEL Containers - 6 yd</t>
  </si>
  <si>
    <t>FEL Containers - 2 yd</t>
  </si>
  <si>
    <t>FEL Containers - 1.5 yd</t>
  </si>
  <si>
    <t>REL Containers - 1.5 yd</t>
  </si>
  <si>
    <t>FEL Containers - 4 yd</t>
  </si>
  <si>
    <t>Paving and Storm Water Pond at Carlsborg</t>
  </si>
  <si>
    <t>2112-18-0003-1</t>
  </si>
  <si>
    <t>C99007N</t>
  </si>
  <si>
    <t>3BPDL70X9KF103954</t>
  </si>
  <si>
    <t>2112-18-0037-1</t>
  </si>
  <si>
    <t>Storm Water Infiltration Pond (Final Bill)</t>
  </si>
  <si>
    <t>FL1</t>
  </si>
  <si>
    <t>160213110-001</t>
  </si>
  <si>
    <t>2112-18-0031-1</t>
  </si>
  <si>
    <t>HHL05HD0000115</t>
  </si>
  <si>
    <t>NEW TOYOTA FORKLIFT FOR CARLSBORG SHOP</t>
  </si>
  <si>
    <t>79U76390RR660431L</t>
  </si>
  <si>
    <t>Lift Gate For New Service Truck 738 (To Be Installed)</t>
  </si>
  <si>
    <t>Air Hose Reel For New Shop Truck</t>
  </si>
  <si>
    <t>2112-18-0034-1</t>
  </si>
  <si>
    <t>64 GAL GARBAGE CARTS</t>
  </si>
  <si>
    <t>ACD1934663</t>
  </si>
  <si>
    <t>Truck Mount Air Compressor For New Service Truck 738</t>
  </si>
  <si>
    <t>2112-18-0001-1</t>
  </si>
  <si>
    <t>C98589N</t>
  </si>
  <si>
    <t>3BPDL70X5KF103952</t>
  </si>
  <si>
    <t>2112-18-0002-1</t>
  </si>
  <si>
    <t>C98588N</t>
  </si>
  <si>
    <t>3BPDL70X7KF103953</t>
  </si>
  <si>
    <t>PA12468</t>
  </si>
  <si>
    <t>2113-11-0006-1</t>
  </si>
  <si>
    <t>NC MACHINERY CO</t>
  </si>
  <si>
    <t>Rear differential repair - 1986 Fiat Allis Bucket Loader</t>
  </si>
  <si>
    <t>D&amp;E Heavy Equipment Parts</t>
  </si>
  <si>
    <t>Capital Repair (Parts) 1986 Fiat Allis bucket loader</t>
  </si>
  <si>
    <t>2112-18-0032-1</t>
  </si>
  <si>
    <t>18 GAL RECYCLE BINS</t>
  </si>
  <si>
    <t>PWD1987929</t>
  </si>
  <si>
    <t>2112-18-0036-1</t>
  </si>
  <si>
    <t>POWER EQUIP DIRECT</t>
  </si>
  <si>
    <t>New Pressure Washer For Wash Rack At Carlsborg Site</t>
  </si>
  <si>
    <t>WA DOL LIC &amp; REG 39989</t>
  </si>
  <si>
    <t>New Truck License Registration For 890</t>
  </si>
  <si>
    <t>New Truck License Registration For 889</t>
  </si>
  <si>
    <t>2112-18-0035-1</t>
  </si>
  <si>
    <t>2112-18-0038-1</t>
  </si>
  <si>
    <t>Wash Rack - Awning</t>
  </si>
  <si>
    <t>2112-19-0010-1</t>
  </si>
  <si>
    <t>Wastequip Toter</t>
  </si>
  <si>
    <t>MSW CARTS 96 GAL</t>
  </si>
  <si>
    <t>0036034-IN</t>
  </si>
  <si>
    <t>2112-19-0011-1</t>
  </si>
  <si>
    <t>RULE STEEL TANKS INC</t>
  </si>
  <si>
    <t>1yd REL Metal Container</t>
  </si>
  <si>
    <t>2112-19-0011-2</t>
  </si>
  <si>
    <t>2yd REL Metal Container</t>
  </si>
  <si>
    <t>2112-19-0011-3</t>
  </si>
  <si>
    <t>1yd FEL Metal Container</t>
  </si>
  <si>
    <t>2112-19-0011-4</t>
  </si>
  <si>
    <t>2yd FEL Metal Container</t>
  </si>
  <si>
    <t>2112-19-0011-5</t>
  </si>
  <si>
    <t>3yd FEL Metal Container</t>
  </si>
  <si>
    <t>2112-19-0011-6</t>
  </si>
  <si>
    <t>4yd FEL Metal Container</t>
  </si>
  <si>
    <t>2112-19-0011-7</t>
  </si>
  <si>
    <t>6yd FEL Metal Container</t>
  </si>
  <si>
    <t>2112-19-0013-1</t>
  </si>
  <si>
    <t>TOTER LLC</t>
  </si>
  <si>
    <t>2112-19-0013-2</t>
  </si>
  <si>
    <t>RVQ5769</t>
  </si>
  <si>
    <t>2112-19-0014-1</t>
  </si>
  <si>
    <t>2112-19-0015-1</t>
  </si>
  <si>
    <t>16gal bins BLUE, GREEN, BEIGE</t>
  </si>
  <si>
    <t>0036135-IN</t>
  </si>
  <si>
    <t>2112-19-0012-1</t>
  </si>
  <si>
    <t>20Yd ROL Box</t>
  </si>
  <si>
    <t>2112-19-0012-2</t>
  </si>
  <si>
    <t>30Yd ROL Box</t>
  </si>
  <si>
    <t>2112-19-0003-1</t>
  </si>
  <si>
    <t>C59360S</t>
  </si>
  <si>
    <t>1NPCX4EX8KD628012</t>
  </si>
  <si>
    <t>New 2019 R/O Truck</t>
  </si>
  <si>
    <t>2112-18-0007-1</t>
  </si>
  <si>
    <t>Maintenance Shop (Sequim)</t>
  </si>
  <si>
    <t>2112-19-0007-1</t>
  </si>
  <si>
    <t>2112-19-0016-1</t>
  </si>
  <si>
    <t>2112-19-0017-1</t>
  </si>
  <si>
    <t>2112-19-0002</t>
  </si>
  <si>
    <t>Peterbilt 520</t>
  </si>
  <si>
    <t>C59361S</t>
  </si>
  <si>
    <t>3BPDLK0X8LF107420</t>
  </si>
  <si>
    <t>2020 FEL Peterbilt  Truck</t>
  </si>
  <si>
    <t>2112-19-0009</t>
  </si>
  <si>
    <t>C59362S</t>
  </si>
  <si>
    <t>3BPDLK0XXLF107421</t>
  </si>
  <si>
    <t>082019Murrays</t>
  </si>
  <si>
    <t>PUD Clallam County</t>
  </si>
  <si>
    <t>Water Meter Installation for New Shop</t>
  </si>
  <si>
    <t>PUD Refund</t>
  </si>
  <si>
    <t>Stits &amp; Hill</t>
  </si>
  <si>
    <t>Engineering Services Refund</t>
  </si>
  <si>
    <t>17789-13</t>
  </si>
  <si>
    <t>SITTS &amp; HILL ENGINEERS IN</t>
  </si>
  <si>
    <t>Permit fees- Electrcal Phase</t>
  </si>
  <si>
    <t>17789-14</t>
  </si>
  <si>
    <t>arch/structual engineering services</t>
  </si>
  <si>
    <t>2112-19-0001</t>
  </si>
  <si>
    <t>C59409S</t>
  </si>
  <si>
    <t>3BPDLK0X6LF107318</t>
  </si>
  <si>
    <t>2112-19-0002-1</t>
  </si>
  <si>
    <t>2020 Peterbilt FEL Truck- Body</t>
  </si>
  <si>
    <t>2112-19-0009-1</t>
  </si>
  <si>
    <t>2112-19-0008</t>
  </si>
  <si>
    <t>C59410S</t>
  </si>
  <si>
    <t>3BPDLK0X8LF107319</t>
  </si>
  <si>
    <t>2020 ASL Peterbilt Truck</t>
  </si>
  <si>
    <t>2112-19-0018-1</t>
  </si>
  <si>
    <t>50 YD Metal RO</t>
  </si>
  <si>
    <t>2112-19-0006-1</t>
  </si>
  <si>
    <t>Non-Container Audit</t>
  </si>
  <si>
    <t>2112-19-0019-1</t>
  </si>
  <si>
    <t>1 YD FEL/REL/SL Plastic</t>
  </si>
  <si>
    <t>2112-19-0019-2</t>
  </si>
  <si>
    <t>2112-19-0019-3</t>
  </si>
  <si>
    <t>3 YD FEL/REL/SL Plastic</t>
  </si>
  <si>
    <t>2112-19-0019-4</t>
  </si>
  <si>
    <t>2131-11-0003-1</t>
  </si>
  <si>
    <t>C18570T</t>
  </si>
  <si>
    <t>1FTPW12515KE71128</t>
  </si>
  <si>
    <t>2005 Ford F150 Lariat pickup (brown)</t>
  </si>
  <si>
    <t>Road Tractor</t>
  </si>
  <si>
    <t>paw00019748</t>
  </si>
  <si>
    <t>2113-16-0006-1</t>
  </si>
  <si>
    <t>NC Machinery</t>
  </si>
  <si>
    <t>Engine Rebuild on asset #44500</t>
  </si>
  <si>
    <t>2004 Tractor</t>
  </si>
  <si>
    <t>2112-20-0025-1</t>
  </si>
  <si>
    <t>2112-20-0019</t>
  </si>
  <si>
    <t>Leach</t>
  </si>
  <si>
    <t>C18480T</t>
  </si>
  <si>
    <t>3BPDLK0X5LF108671</t>
  </si>
  <si>
    <t>2112-20-0020</t>
  </si>
  <si>
    <t>C18481T</t>
  </si>
  <si>
    <t>3BPDLK0X7LF108672</t>
  </si>
  <si>
    <t>2112-20-0026-1</t>
  </si>
  <si>
    <t>2112-20-0026-2</t>
  </si>
  <si>
    <t>2112-20-0026-4</t>
  </si>
  <si>
    <t>2112-20-0021</t>
  </si>
  <si>
    <t>Kann</t>
  </si>
  <si>
    <t>C18584T</t>
  </si>
  <si>
    <t>3BPDLK0X3LF108684</t>
  </si>
  <si>
    <t>2112-20-0022</t>
  </si>
  <si>
    <t>C18478T</t>
  </si>
  <si>
    <t>3BPDLK0X0LF107962</t>
  </si>
  <si>
    <t>2112-20-0023</t>
  </si>
  <si>
    <t>C18479T</t>
  </si>
  <si>
    <t>3BPDLK0X2LF107963</t>
  </si>
  <si>
    <t>XRZ6148</t>
  </si>
  <si>
    <t>2112-20-0028-1</t>
  </si>
  <si>
    <t>0037494-IN</t>
  </si>
  <si>
    <t>2112-20-0024-1</t>
  </si>
  <si>
    <t>2Yard FEL Containers</t>
  </si>
  <si>
    <t>8 YD FEL/REL/SL Metal</t>
  </si>
  <si>
    <t>95 Gal Plastic Carts -Grey</t>
  </si>
  <si>
    <t>2112-20-0027-1</t>
  </si>
  <si>
    <t>16 GAL Recycle Bins</t>
  </si>
  <si>
    <t>2112-20-0018</t>
  </si>
  <si>
    <t>C18477T</t>
  </si>
  <si>
    <t>3BPDLK0X9LF108673</t>
  </si>
  <si>
    <t>2112-20-0026-3</t>
  </si>
  <si>
    <t>OPS2</t>
  </si>
  <si>
    <t>2112-20-0009</t>
  </si>
  <si>
    <t>Ford F150</t>
  </si>
  <si>
    <t>C18585T</t>
  </si>
  <si>
    <t>1FTMF1CBXLKE26192</t>
  </si>
  <si>
    <t>OPS3</t>
  </si>
  <si>
    <t>2112-20-0010</t>
  </si>
  <si>
    <t>C18586T</t>
  </si>
  <si>
    <t>1FTMF1CB1LKE26193</t>
  </si>
  <si>
    <t>2112-20-0029-1</t>
  </si>
  <si>
    <t>06-2113-407</t>
  </si>
  <si>
    <t>30 YD RO Containers</t>
  </si>
  <si>
    <t>4YD Containers</t>
  </si>
  <si>
    <t>4 Yard Commercial Containers</t>
  </si>
  <si>
    <t>6 Yard Commercial Containers</t>
  </si>
  <si>
    <t>30YD Containers</t>
  </si>
  <si>
    <t>3YD Containers</t>
  </si>
  <si>
    <t>2112-20-0031-1</t>
  </si>
  <si>
    <t>LYTX</t>
  </si>
  <si>
    <t>Lytx</t>
  </si>
  <si>
    <t>Sanipac</t>
  </si>
  <si>
    <t>10 YD RO Box</t>
  </si>
  <si>
    <t>10yd Drop Boxes</t>
  </si>
  <si>
    <t>RSG Swap</t>
  </si>
  <si>
    <t>20 YD RO Boxes</t>
  </si>
  <si>
    <t>2112-20-0030-1</t>
  </si>
  <si>
    <t>2112-20-0032-1</t>
  </si>
  <si>
    <t>Land</t>
  </si>
  <si>
    <t>Sequim Sales Agreement-1</t>
  </si>
  <si>
    <t>2112-21-0009-1</t>
  </si>
  <si>
    <t>PARRISH PARRISH BARTEE LL</t>
  </si>
  <si>
    <t>Sequim Land</t>
  </si>
  <si>
    <t>Office Building</t>
  </si>
  <si>
    <t>Sequim Sales Agreement-2</t>
  </si>
  <si>
    <t>2112-21-0010-1</t>
  </si>
  <si>
    <t>Sequim Office Purchase</t>
  </si>
  <si>
    <t>October 20 2010</t>
  </si>
  <si>
    <t>2170-10-0006-1</t>
  </si>
  <si>
    <t xml:space="preserve"> N/A</t>
  </si>
  <si>
    <t xml:space="preserve"> WABASH</t>
  </si>
  <si>
    <t>48188AE</t>
  </si>
  <si>
    <t>1JJV533U8PL204715</t>
  </si>
  <si>
    <t>Used 1993 Wabi Van Trailers #9324</t>
  </si>
  <si>
    <t>06-2144-001</t>
  </si>
  <si>
    <t>R/O Trailer</t>
  </si>
  <si>
    <t>Cascon Heavy Hauler pull</t>
  </si>
  <si>
    <t>63966AE</t>
  </si>
  <si>
    <t>1C9RS22456R992020</t>
  </si>
  <si>
    <t>Roll off trailer</t>
  </si>
  <si>
    <t>915-0666</t>
  </si>
  <si>
    <t>06-2113-033</t>
  </si>
  <si>
    <t>C18583T</t>
  </si>
  <si>
    <t>2XPFDB9X84M813975</t>
  </si>
  <si>
    <t>T-4721</t>
  </si>
  <si>
    <t>Wet Kit for Chassis 831975 invoice #915-0666</t>
  </si>
  <si>
    <t>CM1</t>
  </si>
  <si>
    <t>2113-13-0004-1</t>
  </si>
  <si>
    <t>Travis</t>
  </si>
  <si>
    <t>63967AE</t>
  </si>
  <si>
    <t>48XAR5320E1008685</t>
  </si>
  <si>
    <t>2014 53' Walking Floor Trailer</t>
  </si>
  <si>
    <t>PA13978</t>
  </si>
  <si>
    <t>2113-14-0005-1</t>
  </si>
  <si>
    <t>2004 Peterbilt In-Frame Repair</t>
  </si>
  <si>
    <t>P435297</t>
  </si>
  <si>
    <t>2113-16-0003-1</t>
  </si>
  <si>
    <t>C18582T</t>
  </si>
  <si>
    <t>1XPCP40X8HD435297</t>
  </si>
  <si>
    <t>2017 4 Axle Long Haul Tractor</t>
  </si>
  <si>
    <t>2112-21-0006-1</t>
  </si>
  <si>
    <t>MATTHEW C LASHER III</t>
  </si>
  <si>
    <t>(4) Gray Truck Lifts</t>
  </si>
  <si>
    <t>Sequim Sales Agreement-3</t>
  </si>
  <si>
    <t>2112-21-0014-1</t>
  </si>
  <si>
    <t>15 GAL RECYCLE BINS</t>
  </si>
  <si>
    <t>First American Title</t>
  </si>
  <si>
    <t>2112-21-0015-1</t>
  </si>
  <si>
    <t xml:space="preserve">Non-Container Audit </t>
  </si>
  <si>
    <t>95 Gal Recycle Carts (Gray)</t>
  </si>
  <si>
    <t>95 Gal MSW Carts (Gray)</t>
  </si>
  <si>
    <t>20INV000012850</t>
  </si>
  <si>
    <t>2112-21-0016-1</t>
  </si>
  <si>
    <t>1YD FEL METAL CONTAINERS</t>
  </si>
  <si>
    <t>2YD FEL METAL CONTAINERS</t>
  </si>
  <si>
    <t>3YD FEL METAL CONTAINERS</t>
  </si>
  <si>
    <t>4YD FEL METAL CONTAINERS</t>
  </si>
  <si>
    <t>6YD FEL METAL CONTAINERS</t>
  </si>
  <si>
    <t>8YD FEL METAL CONTAINERS</t>
  </si>
  <si>
    <t>2112-21-0016-2</t>
  </si>
  <si>
    <t>1YD REL METAL CONTAINERS</t>
  </si>
  <si>
    <t>2YD REL METAL CONTAINERS</t>
  </si>
  <si>
    <t>Stoel Rives LLP</t>
  </si>
  <si>
    <t>Sequim Office - Legal</t>
  </si>
  <si>
    <t>INV00075983</t>
  </si>
  <si>
    <t>2112-21-0018-1</t>
  </si>
  <si>
    <t>NOREGON SYSTEMS INC</t>
  </si>
  <si>
    <t>NOREGON Panasonic Toughbook FZ-55</t>
  </si>
  <si>
    <t>1 YD Container</t>
  </si>
  <si>
    <t>4 YD Container</t>
  </si>
  <si>
    <t>6 YD Container</t>
  </si>
  <si>
    <t>8 YD Container</t>
  </si>
  <si>
    <t>F220465</t>
  </si>
  <si>
    <t>2112-21-0019-1</t>
  </si>
  <si>
    <t>HP ProBook - SN 5CD11674KP</t>
  </si>
  <si>
    <t>F295034</t>
  </si>
  <si>
    <t>Laptop Memory - SN S58SNM0R526654</t>
  </si>
  <si>
    <t>M20947</t>
  </si>
  <si>
    <t>2112-21-0021-1</t>
  </si>
  <si>
    <t>X</t>
  </si>
  <si>
    <t>1H2P04839SW017827</t>
  </si>
  <si>
    <t>Fruehauf Container Chassis (1995)</t>
  </si>
  <si>
    <t>2112-21-0021-2</t>
  </si>
  <si>
    <t>1H2P04831TW021825</t>
  </si>
  <si>
    <t>Fruehauf Container Chassis (1996)</t>
  </si>
  <si>
    <t>2112-21-0021-3</t>
  </si>
  <si>
    <t>1H2P04835TW021827</t>
  </si>
  <si>
    <t>2112-21-0021-4</t>
  </si>
  <si>
    <t>1S9CC53428T505312</t>
  </si>
  <si>
    <t>2112-21-0021-5</t>
  </si>
  <si>
    <t>1P9CG5049XH401010</t>
  </si>
  <si>
    <t>2112-21-0021-6</t>
  </si>
  <si>
    <t>1P9CG5042XH401012</t>
  </si>
  <si>
    <t>2112-21-0021-7</t>
  </si>
  <si>
    <t>1P9CG5044XH401013</t>
  </si>
  <si>
    <t>2112-21-0021-8</t>
  </si>
  <si>
    <t>1P9CG504XYH401017</t>
  </si>
  <si>
    <t>2112-21-0023-1</t>
  </si>
  <si>
    <t>15 Gal Recycle Bins</t>
  </si>
  <si>
    <t>20INV000022382</t>
  </si>
  <si>
    <t>2112-21-0020-1</t>
  </si>
  <si>
    <t>2112-21-0025-1</t>
  </si>
  <si>
    <t>65 Gallon Carts (Gray)</t>
  </si>
  <si>
    <t>L262134</t>
  </si>
  <si>
    <t>2112-21-0031-1</t>
  </si>
  <si>
    <t>CDW DIR #PO  2112-21-0</t>
  </si>
  <si>
    <t>HP Probook S/N #5CD1321R5W</t>
  </si>
  <si>
    <t>AMZN MKTP US 2C41E96Y2</t>
  </si>
  <si>
    <t>docking station for DM - NO S/N listed for Amazon Purchases</t>
  </si>
  <si>
    <t>2112-21-0028</t>
  </si>
  <si>
    <t>1XPXP49X3LD679887</t>
  </si>
  <si>
    <t>2020 Peterbilt Transfer Tractor</t>
  </si>
  <si>
    <t>2112-21-0024-1</t>
  </si>
  <si>
    <t>2022 ROL Pup Trailer (Pioneer HR2000PP)</t>
  </si>
  <si>
    <t>2112-21-0026-1</t>
  </si>
  <si>
    <t>2 YD FEL Container</t>
  </si>
  <si>
    <t>2Yd FL Containers</t>
  </si>
  <si>
    <t>2 YD REL Container</t>
  </si>
  <si>
    <t>2Yd REL Containers</t>
  </si>
  <si>
    <t>4 YD FEL Container</t>
  </si>
  <si>
    <t>4Yd FL Containers</t>
  </si>
  <si>
    <t>2112-21-0033-1</t>
  </si>
  <si>
    <t>025R256430</t>
  </si>
  <si>
    <t>2112-21-0032-1</t>
  </si>
  <si>
    <t>Capital Repair - Transmission Truck #884</t>
  </si>
  <si>
    <t>Pre 1/1/2021 Add?</t>
  </si>
  <si>
    <t>EOY Average Investment</t>
  </si>
  <si>
    <t>EOY Accum</t>
  </si>
  <si>
    <t>BOY Accum</t>
  </si>
  <si>
    <t>Test Year Dep</t>
  </si>
  <si>
    <t>Annual Dep</t>
  </si>
  <si>
    <t>Monthly Dep</t>
  </si>
  <si>
    <t>Year/Mo Fully Dep</t>
  </si>
  <si>
    <t>Year Fully Dep</t>
  </si>
  <si>
    <t>YearPIS</t>
  </si>
  <si>
    <t>Month</t>
  </si>
  <si>
    <t>Equipment Type</t>
  </si>
  <si>
    <t>Truck #</t>
  </si>
  <si>
    <t>Beg Depr</t>
  </si>
  <si>
    <t>Seq</t>
  </si>
  <si>
    <t>Dbase</t>
  </si>
  <si>
    <t>Beg Date</t>
  </si>
  <si>
    <t>Depr Meth</t>
  </si>
  <si>
    <t>Activity Cd</t>
  </si>
  <si>
    <t>Book</t>
  </si>
  <si>
    <t>Company Asset #</t>
  </si>
  <si>
    <t>Invoice #</t>
  </si>
  <si>
    <t>Former Company</t>
  </si>
  <si>
    <t>Acq Type</t>
  </si>
  <si>
    <t>Current Depr</t>
  </si>
  <si>
    <t>Expense Account</t>
  </si>
  <si>
    <t>Accum YTD</t>
  </si>
  <si>
    <t>NBV</t>
  </si>
  <si>
    <t>Accum Life to Date</t>
  </si>
  <si>
    <t>Accum Account</t>
  </si>
  <si>
    <t>Asset Account</t>
  </si>
  <si>
    <t>Useful Life</t>
  </si>
  <si>
    <t>CER #</t>
  </si>
  <si>
    <t>Acq Date</t>
  </si>
  <si>
    <t>In Service Date</t>
  </si>
  <si>
    <t>Ins Category</t>
  </si>
  <si>
    <t>Body Mfg</t>
  </si>
  <si>
    <t>Vendor/Mfg</t>
  </si>
  <si>
    <t>Model Year</t>
  </si>
  <si>
    <t>License Plate</t>
  </si>
  <si>
    <t>MFG Serial#</t>
  </si>
  <si>
    <t>Container Count</t>
  </si>
  <si>
    <t>Descr</t>
  </si>
  <si>
    <t>Parent/ Child</t>
  </si>
  <si>
    <t>Asset #</t>
  </si>
  <si>
    <t>District</t>
  </si>
  <si>
    <t>(Not setup yet)</t>
  </si>
  <si>
    <t>Depreciated %:</t>
  </si>
  <si>
    <t>Ins Category:</t>
  </si>
  <si>
    <t>Asset #:</t>
  </si>
  <si>
    <t>Exp Acct:</t>
  </si>
  <si>
    <t>(Contains the string)</t>
  </si>
  <si>
    <t>PO Number:</t>
  </si>
  <si>
    <t>Service Date From:</t>
  </si>
  <si>
    <t>Asset Acct:</t>
  </si>
  <si>
    <t>Description:</t>
  </si>
  <si>
    <t>(F9 Aware)</t>
  </si>
  <si>
    <t>2112</t>
  </si>
  <si>
    <t>District:</t>
  </si>
  <si>
    <t>Service Date To:</t>
  </si>
  <si>
    <t>(Leave blank for all)</t>
  </si>
  <si>
    <t>Parent/Child:</t>
  </si>
  <si>
    <t>VIN:</t>
  </si>
  <si>
    <t>Ctrl + Shift + J</t>
  </si>
  <si>
    <t>Period:</t>
  </si>
  <si>
    <t>First Year</t>
  </si>
  <si>
    <t>Data Last Updated in this Pull:</t>
  </si>
  <si>
    <t>Asset Count:</t>
  </si>
  <si>
    <t>Fixed Asset Register</t>
  </si>
  <si>
    <t>reportdrill(Invoice!C2,,pairgroup(pair("C:C",Invoice!E8),pair("",Invoice!E7,"N")),"Drill To Invoices by FAS# (Exc CIP)")</t>
  </si>
  <si>
    <t>Default Year :</t>
  </si>
  <si>
    <t>Default Month :</t>
  </si>
  <si>
    <t>BegLifeToDate</t>
  </si>
  <si>
    <t>Sequence</t>
  </si>
  <si>
    <t>LongName</t>
  </si>
  <si>
    <t>BegLsDeprDate</t>
  </si>
  <si>
    <t>DeprMethod</t>
  </si>
  <si>
    <t>ActivityCd</t>
  </si>
  <si>
    <t>CompAsstNo</t>
  </si>
  <si>
    <t>InvoiceNum</t>
  </si>
  <si>
    <t>FormerCompany</t>
  </si>
  <si>
    <t>AcqType</t>
  </si>
  <si>
    <t>CurrentPeriodDepr</t>
  </si>
  <si>
    <t>ExpenseGL</t>
  </si>
  <si>
    <t>CurrentYearToDate</t>
  </si>
  <si>
    <t>CurrentLifeToDate</t>
  </si>
  <si>
    <t>AccumulatedGL</t>
  </si>
  <si>
    <t>AcqValue</t>
  </si>
  <si>
    <t>AssetGL</t>
  </si>
  <si>
    <t>EstimatedLife</t>
  </si>
  <si>
    <t>PONumber</t>
  </si>
  <si>
    <t>AcquisitionDate</t>
  </si>
  <si>
    <t>InServiceDate</t>
  </si>
  <si>
    <t>InsuranceCategory</t>
  </si>
  <si>
    <t>BodyManuf</t>
  </si>
  <si>
    <t>VendorMfg</t>
  </si>
  <si>
    <t>ModelYear</t>
  </si>
  <si>
    <t>LicensePlate</t>
  </si>
  <si>
    <t>MFGSerialNum</t>
  </si>
  <si>
    <t>SystemNo</t>
  </si>
  <si>
    <t>Description</t>
  </si>
  <si>
    <t>ParentChild</t>
  </si>
  <si>
    <t>AssetID</t>
  </si>
  <si>
    <t>Location</t>
  </si>
  <si>
    <t>Assets Through 12.31.2020</t>
  </si>
  <si>
    <t>New Assets Adds from FAR (1.1.2021 and Beyond)</t>
  </si>
  <si>
    <t>+</t>
  </si>
  <si>
    <t>Proforma Adds</t>
  </si>
  <si>
    <t>=</t>
  </si>
  <si>
    <t>Combined Summary - This Section to Proforma</t>
  </si>
  <si>
    <t>Roll Off Truck</t>
  </si>
  <si>
    <t>Retired/Transferred 2022</t>
  </si>
  <si>
    <t>Garbage Truck</t>
  </si>
  <si>
    <t>Mill Haul Truck</t>
  </si>
  <si>
    <t>MRF Hauls Truck</t>
  </si>
  <si>
    <t>Recycling/YW Truck</t>
  </si>
  <si>
    <t>City Contract Specific Truck</t>
  </si>
  <si>
    <t>Row Labels</t>
  </si>
  <si>
    <t>Grand Total</t>
  </si>
  <si>
    <t>Sum of Cost</t>
  </si>
  <si>
    <t>Sum of Test Year Dep</t>
  </si>
  <si>
    <t>Sum of BOY Accum</t>
  </si>
  <si>
    <t>Sum of EOY Accum</t>
  </si>
  <si>
    <t>Sum of EOY Average Investment</t>
  </si>
  <si>
    <t>Pasted Values</t>
  </si>
  <si>
    <t>Recycling Bins</t>
  </si>
  <si>
    <t>Recycling Carts</t>
  </si>
  <si>
    <t>Test Period Beg. Month</t>
  </si>
  <si>
    <t>Test Period End Month</t>
  </si>
  <si>
    <t>Test Period End Mo/Yr</t>
  </si>
  <si>
    <t>Test Period Beg. Mo/Yr</t>
  </si>
  <si>
    <t xml:space="preserve">Non-Rolling Stock </t>
  </si>
  <si>
    <t>2007 Ford  Pickup</t>
  </si>
  <si>
    <t>1FTNF20577EA97142</t>
  </si>
  <si>
    <t>C37810A</t>
  </si>
  <si>
    <t>FORD</t>
  </si>
  <si>
    <t>TS-1</t>
  </si>
  <si>
    <t>Container Chassis</t>
  </si>
  <si>
    <t>1W9SR2536NC269920</t>
  </si>
  <si>
    <t>Geo Tablets</t>
  </si>
  <si>
    <t>1010-21-0060</t>
  </si>
  <si>
    <t>1H9CC53467T347110</t>
  </si>
  <si>
    <t>63644AC</t>
  </si>
  <si>
    <t>06-2113-028</t>
  </si>
  <si>
    <t>48 ft Dry Van Container - Sales Tax</t>
  </si>
  <si>
    <t>06-2113-403</t>
  </si>
  <si>
    <t>Drive Cameras Subscription Fees</t>
  </si>
  <si>
    <t>Deivecam</t>
  </si>
  <si>
    <t>2113-9-0010-1</t>
  </si>
  <si>
    <t>4070925-1N</t>
  </si>
  <si>
    <t>Shark Comm. Trailer, Skid Mounted 3500 PSI Pressure Washer</t>
  </si>
  <si>
    <t>Pressure Washers Direct</t>
  </si>
  <si>
    <t>2113-10-0003-1</t>
  </si>
  <si>
    <t>PWD147302</t>
  </si>
  <si>
    <t>(4) Drivecam Units</t>
  </si>
  <si>
    <t>2113-20-0002-1</t>
  </si>
  <si>
    <t>(1) Sony Internet TV S/N# S0180642028</t>
  </si>
  <si>
    <t>C563015</t>
  </si>
  <si>
    <t>HP ProBook 640 G2 - 14" Laptop</t>
  </si>
  <si>
    <t>2113-18-0002-1</t>
  </si>
  <si>
    <t>MFT2979</t>
  </si>
  <si>
    <t>16G Recycle Bins</t>
  </si>
  <si>
    <t>2112-22-0020-1</t>
  </si>
  <si>
    <t>AP Sales Tax</t>
  </si>
  <si>
    <t>Sales Tax</t>
  </si>
  <si>
    <t>Thunderbird Plastics LTD</t>
  </si>
  <si>
    <t>33457A</t>
  </si>
  <si>
    <t>65G MSW Carts</t>
  </si>
  <si>
    <t>2112-22-0015-1</t>
  </si>
  <si>
    <t>95G MSW Carts</t>
  </si>
  <si>
    <t>2112-22-0015-2</t>
  </si>
  <si>
    <t>2yd Containers</t>
  </si>
  <si>
    <t>DM Disposal</t>
  </si>
  <si>
    <t>2 yd Containers w/Lids</t>
  </si>
  <si>
    <t>Island</t>
  </si>
  <si>
    <t xml:space="preserve">2022 Cont.Audit- Partial </t>
  </si>
  <si>
    <t>3 YD Containers</t>
  </si>
  <si>
    <t>CONSOLIDATED FABRICATORS</t>
  </si>
  <si>
    <t>07-4025-015</t>
  </si>
  <si>
    <t>30 YD Roll Off Containers</t>
  </si>
  <si>
    <t>a</t>
  </si>
  <si>
    <t>BFI - Wichita</t>
  </si>
  <si>
    <t>GreenTeam of San Jose</t>
  </si>
  <si>
    <t>Evergreen</t>
  </si>
  <si>
    <t>6 YD Containers</t>
  </si>
  <si>
    <t>El Dorado Disposal</t>
  </si>
  <si>
    <t>Walker</t>
  </si>
  <si>
    <t>8 Yd Commercial Containers</t>
  </si>
  <si>
    <t>Progressive Waste</t>
  </si>
  <si>
    <t>HP ProBook 640 SN: 5CD2159TCZ</t>
  </si>
  <si>
    <t>CDW DIR #PO  2112-22-0</t>
  </si>
  <si>
    <t>2112-22-0021-1</t>
  </si>
  <si>
    <t>X303809</t>
  </si>
  <si>
    <t>New Docking Station for Ops Manager Laptop - NO SN for Amazon Purchases</t>
  </si>
  <si>
    <t>AMZN MKTP US 1L2RR10T0</t>
  </si>
  <si>
    <t>New Computer for Site SN: QQ21452166</t>
  </si>
  <si>
    <t>CDW DIR #2112-22-0016</t>
  </si>
  <si>
    <t>2112-22-0016-1</t>
  </si>
  <si>
    <t>Z686679</t>
  </si>
  <si>
    <t>New Computer for site SN: 5CD2164KYL</t>
  </si>
  <si>
    <t>CDW DIR #2112-22-0023</t>
  </si>
  <si>
    <t>2112-22-0023-1</t>
  </si>
  <si>
    <t>Z686337</t>
  </si>
  <si>
    <t>Docking Station for new Laptop - No SN on Amazon Purchase</t>
  </si>
  <si>
    <t>AMZN MKTP US 5O7RX1EW3</t>
  </si>
  <si>
    <t>New computer for site SN: 5CD221613B</t>
  </si>
  <si>
    <t>2112-22-0023-2</t>
  </si>
  <si>
    <t>New Docking Station for Laptop - No SN on Amazon Purchases</t>
  </si>
  <si>
    <t>AMZN MKTP US M20416MC3</t>
  </si>
  <si>
    <t>65 Gal MSW Carts</t>
  </si>
  <si>
    <t>Non-ContaIner Audit</t>
  </si>
  <si>
    <t>2112-22-0022-1</t>
  </si>
  <si>
    <t>1 YARD FEL</t>
  </si>
  <si>
    <t>1 YD FEL Container</t>
  </si>
  <si>
    <t>2112-22-0017-1</t>
  </si>
  <si>
    <t>20INV000142490</t>
  </si>
  <si>
    <t>1 YARD STANDARD BODY REAR LOAD</t>
  </si>
  <si>
    <t>1 YD REL Container</t>
  </si>
  <si>
    <t>20INV000166704</t>
  </si>
  <si>
    <t>2112-22-0017-3</t>
  </si>
  <si>
    <t>2 YARD STANDARD BODY REAR LOAD</t>
  </si>
  <si>
    <t>2112-22-0017-2</t>
  </si>
  <si>
    <t>2 YARD STANDARD BODY REAR LOADS</t>
  </si>
  <si>
    <t>2112-22-0019-1</t>
  </si>
  <si>
    <t>20INV000165794</t>
  </si>
  <si>
    <t>3 YARD SLANT FRONT LOAD</t>
  </si>
  <si>
    <t>3 YD FEL Container</t>
  </si>
  <si>
    <t>2112-22-0017-4</t>
  </si>
  <si>
    <t>4 YARD SLANT FRONT LOAD</t>
  </si>
  <si>
    <t>2112-22-0017-5</t>
  </si>
  <si>
    <t>6 YARD SLANT FRONT LOAD</t>
  </si>
  <si>
    <t>6 YD FEL Container</t>
  </si>
  <si>
    <t>20INV000161892</t>
  </si>
  <si>
    <t>2112-22-0017-6</t>
  </si>
  <si>
    <t>8 YARD SLANT FRONT LOAD</t>
  </si>
  <si>
    <t>8 YD FEL Container</t>
  </si>
  <si>
    <t>2112-22-0017-7</t>
  </si>
  <si>
    <t>3BPZL00X59F718864</t>
  </si>
  <si>
    <t>B58297N</t>
  </si>
  <si>
    <t>2112-9-0012-1</t>
  </si>
  <si>
    <t>HP Smart Buy ProBook 450 G8 for AC SN: 5CD22097QZ</t>
  </si>
  <si>
    <t>CDW DIR #2112</t>
  </si>
  <si>
    <t>2112-22-0025-1</t>
  </si>
  <si>
    <t>BT66312</t>
  </si>
  <si>
    <t>Docking Station for Laptop - No SN on Amazon Purchses</t>
  </si>
  <si>
    <t>AMZN MKTP US QL5RQ8YS3</t>
  </si>
  <si>
    <t>1999 Type M Van Box</t>
  </si>
  <si>
    <t>JW6BBF1H9XL003661</t>
  </si>
  <si>
    <t>Mitsubishi</t>
  </si>
  <si>
    <t>Rebuild Cylinder Head for UNIT 9577 - Capital Repair</t>
  </si>
  <si>
    <t>H&amp;H DIESEL SERVICES</t>
  </si>
  <si>
    <t>2184-10-0003-1</t>
  </si>
  <si>
    <t>Replace Engine in Unit 9577</t>
  </si>
  <si>
    <t>OLYMPIC TRUCK SERVICE</t>
  </si>
  <si>
    <t>Install new Engine In Unit 9577</t>
  </si>
  <si>
    <t>TRUCK SHOP</t>
  </si>
  <si>
    <t>2023 Peterbilt ROL Truck</t>
  </si>
  <si>
    <t>1NPCX4EX8PD839279</t>
  </si>
  <si>
    <t>2112-22-0014-1</t>
  </si>
  <si>
    <t>Decals</t>
  </si>
  <si>
    <t>Bailey Signs &amp; Graphic</t>
  </si>
  <si>
    <t>1NPCX4EX3PD839285</t>
  </si>
  <si>
    <t>2112-22-0004-1</t>
  </si>
  <si>
    <t>40yd Roll Off Boxes</t>
  </si>
  <si>
    <t>2112-22-0024-1</t>
  </si>
  <si>
    <t>0040253-IN</t>
  </si>
  <si>
    <t>Variance</t>
  </si>
  <si>
    <t>2023 RSA Add</t>
  </si>
  <si>
    <t>Z452504-22889</t>
  </si>
  <si>
    <t>2004 Genie Man Lift Z45/25</t>
  </si>
  <si>
    <t>0 NBV Input</t>
  </si>
  <si>
    <t>024/209970</t>
  </si>
  <si>
    <t>2149-9-0026-1</t>
  </si>
  <si>
    <t>3BPZL00X78F718153</t>
  </si>
  <si>
    <t>Instillation of Auto Grease System Truck #28</t>
  </si>
  <si>
    <t>Alingment on Truck #28</t>
  </si>
  <si>
    <t>02-1633</t>
  </si>
  <si>
    <t>Sales/Use tax on 2008 Peterbilt ASL Truck</t>
  </si>
  <si>
    <t>B12084L</t>
  </si>
  <si>
    <t>2008 Peterbilt/McNeilus ASL Truck</t>
  </si>
  <si>
    <t>A-01-2149-002</t>
  </si>
  <si>
    <t>12 YD RO Box</t>
  </si>
  <si>
    <t>12 Yd Rectangle Drop Boxes w/ Lids</t>
  </si>
  <si>
    <t>DM Recycling</t>
  </si>
  <si>
    <t>20 yd Drop Box (U)</t>
  </si>
  <si>
    <t>6 YD Commercial Customers ($100 each)</t>
  </si>
  <si>
    <t>Mason County</t>
  </si>
  <si>
    <t>Murreys Disposal</t>
  </si>
  <si>
    <t>6yd Containers S'D n/Lids (N)</t>
  </si>
  <si>
    <t>20INV000368504</t>
  </si>
  <si>
    <t>2112-23-0008-2</t>
  </si>
  <si>
    <t>1.5 YD REL Container</t>
  </si>
  <si>
    <t>PO BOX 603008</t>
  </si>
  <si>
    <t>1.5 YD REL Containers</t>
  </si>
  <si>
    <t>2112-23-0007-1</t>
  </si>
  <si>
    <t>xxxx</t>
  </si>
  <si>
    <t>22 Rollover- New Container Delivery Truck - 4 Colored Door Panels</t>
  </si>
  <si>
    <t>L0204888923 4</t>
  </si>
  <si>
    <t>CD Truck CD2 Registration</t>
  </si>
  <si>
    <t>L0204888923 3</t>
  </si>
  <si>
    <t>L0204888923 2</t>
  </si>
  <si>
    <t>L0204888923</t>
  </si>
  <si>
    <t>2112-22-0005-1</t>
  </si>
  <si>
    <t>2NPMHM7X7PM881323</t>
  </si>
  <si>
    <t>Lytx Drive Cam</t>
  </si>
  <si>
    <t>Grapple</t>
  </si>
  <si>
    <t>2023 Peterbilt 537 Grapple Truck</t>
  </si>
  <si>
    <t>20INV000368500</t>
  </si>
  <si>
    <t>2112-23-0008-1</t>
  </si>
  <si>
    <t>4 YD FEL Containers</t>
  </si>
  <si>
    <t>1.5 YD FEL Container</t>
  </si>
  <si>
    <t>1.5 YD FEL Containers</t>
  </si>
  <si>
    <t>NA</t>
  </si>
  <si>
    <t>2112-23-0009-1</t>
  </si>
  <si>
    <t>CDW DIR #14111</t>
  </si>
  <si>
    <t>HP USB-C G5 Essential Dock - SN: 5CG242ZSDQ</t>
  </si>
  <si>
    <t>HP ProBook 450 G9 Notebook -Wolf Pro Security - 15.6" - SN: 5CD3112QFB</t>
  </si>
  <si>
    <t>2149-9-0036-1</t>
  </si>
  <si>
    <t>C18568T</t>
  </si>
  <si>
    <t>2009 New International Truck</t>
  </si>
  <si>
    <t>2144-9-0008-1</t>
  </si>
  <si>
    <t>Mcneilus 20yd</t>
  </si>
  <si>
    <t>1HTWGAZR6AJ259927</t>
  </si>
  <si>
    <t>New Mc Neilus Truck # 50-39 Use Tax</t>
  </si>
  <si>
    <t xml:space="preserve"> 50-40</t>
  </si>
  <si>
    <t>International</t>
  </si>
  <si>
    <t>B27391N</t>
  </si>
  <si>
    <t>2010 International 7400 REL</t>
  </si>
  <si>
    <t>2112-22-0002-1</t>
  </si>
  <si>
    <t>3BPDLK0X7PF114140</t>
  </si>
  <si>
    <t>2023 Peterbilt MSL Truck-Body</t>
  </si>
  <si>
    <t>SQ  BAILEY SIGNS &amp; GRAPHI</t>
  </si>
  <si>
    <t>Decals-2023 MSL Truck</t>
  </si>
  <si>
    <t>2112-22-0002</t>
  </si>
  <si>
    <t>S/L Truck</t>
  </si>
  <si>
    <t>D23503C</t>
  </si>
  <si>
    <t>2023 Peterbilt MSL Truck-Chassis</t>
  </si>
  <si>
    <t>2144-22-0015-1</t>
  </si>
  <si>
    <t>3BPDLJ0X0PF113681</t>
  </si>
  <si>
    <t>New Way</t>
  </si>
  <si>
    <t>D33058A</t>
  </si>
  <si>
    <t>2023 Peterbilt ASL Truck - PKG</t>
  </si>
  <si>
    <t>2112-22-0027-1</t>
  </si>
  <si>
    <t>57L Recycling Bins</t>
  </si>
  <si>
    <t>D20176B</t>
  </si>
  <si>
    <t>D WELD SHOP</t>
  </si>
  <si>
    <t>Weld Plate</t>
  </si>
  <si>
    <t>D33057A</t>
  </si>
  <si>
    <t>10 YD FEL/REL/SL Metal</t>
  </si>
  <si>
    <t>2022 Container Audit Addi</t>
  </si>
  <si>
    <t>C-8</t>
  </si>
  <si>
    <t>2006 Helm Container Chassis</t>
  </si>
  <si>
    <t>PT16</t>
  </si>
  <si>
    <t>OD8</t>
  </si>
  <si>
    <t>Panderra</t>
  </si>
  <si>
    <t>40026AG</t>
  </si>
  <si>
    <t>2000 Panderra Container Chassis</t>
  </si>
  <si>
    <t>OD7</t>
  </si>
  <si>
    <t>40027AG</t>
  </si>
  <si>
    <t>OD6</t>
  </si>
  <si>
    <t>40028AG</t>
  </si>
  <si>
    <t>OD5</t>
  </si>
  <si>
    <t>40029AG</t>
  </si>
  <si>
    <t>OD4</t>
  </si>
  <si>
    <t>Homemade</t>
  </si>
  <si>
    <t>40051AG</t>
  </si>
  <si>
    <t>2008 Homemade Container Chassis</t>
  </si>
  <si>
    <t>OD3</t>
  </si>
  <si>
    <t>OD2</t>
  </si>
  <si>
    <t>OD1</t>
  </si>
  <si>
    <t>MRF-loader</t>
  </si>
  <si>
    <t>2023-07</t>
  </si>
  <si>
    <t>Aug  8 2023  2:18PM</t>
  </si>
  <si>
    <t>Retired/Transferred 2023</t>
  </si>
  <si>
    <t>PT-16</t>
  </si>
  <si>
    <t>Column Definitions</t>
  </si>
  <si>
    <t>TruckRequest#</t>
  </si>
  <si>
    <t>PONum_Modified</t>
  </si>
  <si>
    <t>CurrentProjectNumber_FPS</t>
  </si>
  <si>
    <t>ProjectNumber_FPS</t>
  </si>
  <si>
    <t>DeleteFlag</t>
  </si>
  <si>
    <t>PoNumber</t>
  </si>
  <si>
    <t>PoItemNumber</t>
  </si>
  <si>
    <t>ProjectName_FPS</t>
  </si>
  <si>
    <t>ItemDescription</t>
  </si>
  <si>
    <t>Explanation</t>
  </si>
  <si>
    <t>AssetType</t>
  </si>
  <si>
    <t>AssetSubType</t>
  </si>
  <si>
    <t>Life</t>
  </si>
  <si>
    <t>AddReplace</t>
  </si>
  <si>
    <t>Condition</t>
  </si>
  <si>
    <t>TruckCenterNum ValueList:RequestedTruckList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</si>
  <si>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</si>
  <si>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</si>
  <si>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</si>
  <si>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</si>
  <si>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</si>
  <si>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</si>
  <si>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</si>
  <si>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</si>
  <si>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</si>
  <si>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</si>
  <si>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</si>
  <si>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</si>
  <si>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FASNum</t>
  </si>
  <si>
    <t>ReplacementNotes</t>
  </si>
  <si>
    <t>EquipmentNum</t>
  </si>
  <si>
    <t>EquipmentModelYear</t>
  </si>
  <si>
    <t>FileLink hlink:FileLink</t>
  </si>
  <si>
    <t>MessageToUser</t>
  </si>
  <si>
    <t>Formatting Range</t>
  </si>
  <si>
    <t>Report Formulas</t>
  </si>
  <si>
    <t>Pull</t>
  </si>
  <si>
    <t>Clear Hash:</t>
  </si>
  <si>
    <t>CC Query Drill:</t>
  </si>
  <si>
    <t>Pull AssetTypeList:</t>
  </si>
  <si>
    <t>Pull - BudCap:</t>
  </si>
  <si>
    <t>FASDescription</t>
  </si>
  <si>
    <t>Pull - FAS:</t>
  </si>
  <si>
    <t>Save</t>
  </si>
  <si>
    <t>Save:</t>
  </si>
  <si>
    <t>Hidden Parameters &amp; Notes</t>
  </si>
  <si>
    <t>Repull?:</t>
  </si>
  <si>
    <t>FilterHash:</t>
  </si>
  <si>
    <t>486F0B82AB459A1F0E10DB935D50F3</t>
  </si>
  <si>
    <t>CC Query Summary Level:</t>
  </si>
  <si>
    <t>By Change</t>
  </si>
  <si>
    <t>Exclude Items:</t>
  </si>
  <si>
    <t>Pull Blank Rows:</t>
  </si>
  <si>
    <t>For Drill</t>
  </si>
  <si>
    <t>Report Area Below</t>
  </si>
  <si>
    <t>Individual District:</t>
  </si>
  <si>
    <t>(Only one district a time for this input page)</t>
  </si>
  <si>
    <t>Budget Year:</t>
  </si>
  <si>
    <t>IMPORTANT:  Pull for a single district BEFORE inputting.  This will auto create new lines for you and prepare the page for input.</t>
  </si>
  <si>
    <t>Recon Check Against Truck Center</t>
  </si>
  <si>
    <t>CAPITAL DETAIL</t>
  </si>
  <si>
    <t>Replacement Info</t>
  </si>
  <si>
    <t>Suggested</t>
  </si>
  <si>
    <t>New / Used</t>
  </si>
  <si>
    <t>Truck Type</t>
  </si>
  <si>
    <t>Truck Cost</t>
  </si>
  <si>
    <t>Delete on Save</t>
  </si>
  <si>
    <t>PO #</t>
  </si>
  <si>
    <t>Item</t>
  </si>
  <si>
    <t>PO Description (Required)</t>
  </si>
  <si>
    <t>PO Item Description</t>
  </si>
  <si>
    <t>PO Explanation</t>
  </si>
  <si>
    <t>Asset Type</t>
  </si>
  <si>
    <t>SubType</t>
  </si>
  <si>
    <t>A / R</t>
  </si>
  <si>
    <t>N / U</t>
  </si>
  <si>
    <t>Truck Ctr. #</t>
  </si>
  <si>
    <t>FAS #</t>
  </si>
  <si>
    <t>FAS Description</t>
  </si>
  <si>
    <t>Replacement Notes</t>
  </si>
  <si>
    <t>Site Eq #</t>
  </si>
  <si>
    <t>Folder/File Link</t>
  </si>
  <si>
    <t>Save Message</t>
  </si>
  <si>
    <t>PO Description</t>
  </si>
  <si>
    <t>Note</t>
  </si>
  <si>
    <t>Truck Center</t>
  </si>
  <si>
    <r>
      <t>Note</t>
    </r>
    <r>
      <rPr>
        <sz val="11"/>
        <color theme="9"/>
        <rFont val="Calibri"/>
        <family val="2"/>
        <scheme val="minor"/>
      </rPr>
      <t>*</t>
    </r>
  </si>
  <si>
    <t>PO Center</t>
  </si>
  <si>
    <t>Prior year PO</t>
  </si>
  <si>
    <t>Prior Year PO$</t>
  </si>
  <si>
    <t>0001-1</t>
  </si>
  <si>
    <t>New REL Pete/Labrie 25yd</t>
  </si>
  <si>
    <t>New Trucks</t>
  </si>
  <si>
    <t>Rear Load</t>
  </si>
  <si>
    <t>N</t>
  </si>
  <si>
    <t>Replacing truck 31. Existing truck is at the end of its usable life</t>
  </si>
  <si>
    <t>0003-1</t>
  </si>
  <si>
    <t>New Reycle Manual Sideload</t>
  </si>
  <si>
    <t>New Reycle Manual Sideload (UTC)</t>
  </si>
  <si>
    <t xml:space="preserve">Replacing truck to provide a more reliable truck to use on the front line. Current truck is getting old (12 yrs). </t>
  </si>
  <si>
    <t>0006-1</t>
  </si>
  <si>
    <t>Containers Various</t>
  </si>
  <si>
    <t>Toter – Plastic</t>
  </si>
  <si>
    <t/>
  </si>
  <si>
    <t>End of List (save and re-pull for at least 5 more rows)</t>
  </si>
  <si>
    <t>TOTAL CAPITAL</t>
  </si>
  <si>
    <t>Budgeted Amount</t>
  </si>
  <si>
    <t>Received on FAR</t>
  </si>
  <si>
    <t>Budgeted Depreciation Value</t>
  </si>
  <si>
    <t>Usefull Life</t>
  </si>
  <si>
    <t>Test Year Depreciation</t>
  </si>
  <si>
    <t>Average Investment</t>
  </si>
  <si>
    <t>Notes</t>
  </si>
  <si>
    <t>BOOM LIFT</t>
  </si>
  <si>
    <t>CD2</t>
  </si>
  <si>
    <t>157, 158, 667, 992</t>
  </si>
  <si>
    <t>FILE 2524</t>
  </si>
  <si>
    <t>2112-23-0012-1</t>
  </si>
  <si>
    <t>20 Yard R/O Containers</t>
  </si>
  <si>
    <t>30 Yard R/O Containers</t>
  </si>
  <si>
    <t>64 Gal MSW Carts</t>
  </si>
  <si>
    <t>HP USB-C G5 Essential Dock - SN: 5CG301ZYB1</t>
  </si>
  <si>
    <t>CDW DIR #70302</t>
  </si>
  <si>
    <t>2112-23-0013-1</t>
  </si>
  <si>
    <t>HP ProBook 450 G9 Notebook - SN: 5CD3221Q62</t>
  </si>
  <si>
    <t>Less Amt Not Expected to Be Received in time for new rates</t>
  </si>
  <si>
    <t>6969 SHIRLEY AVE</t>
  </si>
  <si>
    <t>2112-23-0011-1</t>
  </si>
  <si>
    <t>Vancouver</t>
  </si>
  <si>
    <t>Total MRF Equipment</t>
  </si>
  <si>
    <t>Recycling Bins - Jefferson UTC &amp; Port Townsend</t>
  </si>
  <si>
    <t>Date Acquired</t>
  </si>
  <si>
    <t>Asset Purchased</t>
  </si>
  <si>
    <t>Amount from JE Query</t>
  </si>
  <si>
    <t>Date In Service Year</t>
  </si>
  <si>
    <t>Salvage Value %</t>
  </si>
  <si>
    <t>Life Year</t>
  </si>
  <si>
    <t>Year Fully Depr</t>
  </si>
  <si>
    <t>Year/Mo Fully Depr</t>
  </si>
  <si>
    <t>Asset Cost</t>
  </si>
  <si>
    <t>Depr Cost</t>
  </si>
  <si>
    <t>Monthly Depr</t>
  </si>
  <si>
    <t>Annual Depr</t>
  </si>
  <si>
    <t>Test Year Depr</t>
  </si>
  <si>
    <t>Beg Accum Depr</t>
  </si>
  <si>
    <t>Ending Accum Depr</t>
  </si>
  <si>
    <t>New Roof for MRF-Install mini purlins an</t>
  </si>
  <si>
    <t>Mold remediation services.</t>
  </si>
  <si>
    <t>North Building Repairs</t>
  </si>
  <si>
    <t>South Building Repairs</t>
  </si>
  <si>
    <t>Final siding and roof repairs for North</t>
  </si>
  <si>
    <t>PATS MRF Pipe Repairs</t>
  </si>
  <si>
    <t>Install Concrete for post protection at</t>
  </si>
  <si>
    <t>Additional Repairs to damage in employee</t>
  </si>
  <si>
    <t>Final Repairs for overhead doors and new</t>
  </si>
  <si>
    <t>3/8/2022 Final repair for wiring are MRF</t>
  </si>
  <si>
    <t>INSTALL NEW GUTTER AND DOWNSPOUT ON RECY</t>
  </si>
  <si>
    <t>Final Repairs for south facing overhead</t>
  </si>
  <si>
    <t>Final door repair at MRF and attempt to</t>
  </si>
  <si>
    <t>Total MRF Capital Repairs</t>
  </si>
  <si>
    <t>MRF Capital Repairs Adds</t>
  </si>
  <si>
    <t>LIVE 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</si>
</sst>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m/d/yy"/>
    <numFmt numFmtId="167" formatCode="mm/dd/yy;@"/>
    <numFmt numFmtId="168" formatCode="_(* #,##0_);_(* \(#,##0\);_(* &quot;-&quot;??_);_(@_)"/>
    <numFmt numFmtId="169" formatCode="0.0%"/>
    <numFmt numFmtId="170" formatCode="0.0"/>
    <numFmt numFmtId="171" formatCode="000#"/>
    <numFmt numFmtId="172" formatCode="0_);\(0\)"/>
    <numFmt numFmtId="173" formatCode="mmm"/>
    <numFmt numFmtId="174" formatCode="0000\-00\-0000\-0"/>
    <numFmt numFmtId="175" formatCode="_(* #,##0,_);_(* \(#,##0,\);_(* &quot;-&quot;_);_(@_)"/>
    <numFmt numFmtId="176" formatCode="&quot;$&quot;#,##0"/>
    <numFmt numFmtId="177" formatCode="#,##0.0"/>
    <numFmt numFmtId="178" formatCode="0.000%"/>
  </numFmts>
  <fonts count="14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Helv"/>
    </font>
    <font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SWIS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9"/>
      <name val="Arial"/>
      <family val="2"/>
    </font>
    <font>
      <sz val="11"/>
      <name val="Bookman Old Style"/>
      <family val="1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3333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Arial"/>
      <family val="2"/>
    </font>
    <font>
      <b/>
      <sz val="24"/>
      <name val="Arial"/>
      <family val="2"/>
    </font>
    <font>
      <b/>
      <sz val="12"/>
      <color theme="1"/>
      <name val="Helv"/>
    </font>
    <font>
      <sz val="9"/>
      <color rgb="FFC00000"/>
      <name val="Arial"/>
      <family val="2"/>
    </font>
    <font>
      <b/>
      <sz val="10"/>
      <color theme="4" tint="-0.499984740745262"/>
      <name val="Arial"/>
      <family val="2"/>
    </font>
    <font>
      <sz val="10"/>
      <color rgb="FF00B050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 tint="0.499984740745262"/>
      <name val="Arial"/>
      <family val="2"/>
    </font>
    <font>
      <b/>
      <sz val="9"/>
      <color rgb="FFFF0000"/>
      <name val="Arial"/>
      <family val="2"/>
    </font>
    <font>
      <sz val="12"/>
      <name val="Calibri"/>
      <family val="2"/>
      <scheme val="minor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indexed="62"/>
      <name val="Arial"/>
      <family val="2"/>
    </font>
    <font>
      <sz val="11"/>
      <color theme="9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FBB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88">
    <xf numFmtId="0" fontId="0" fillId="0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83" fillId="36" borderId="0" applyNumberFormat="0" applyBorder="0" applyAlignment="0" applyProtection="0"/>
    <xf numFmtId="0" fontId="83" fillId="36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84" fillId="46" borderId="0" applyNumberFormat="0" applyBorder="0" applyAlignment="0" applyProtection="0"/>
    <xf numFmtId="0" fontId="39" fillId="6" borderId="0" applyNumberFormat="0" applyBorder="0" applyAlignment="0" applyProtection="0"/>
    <xf numFmtId="0" fontId="39" fillId="17" borderId="0" applyNumberFormat="0" applyBorder="0" applyAlignment="0" applyProtection="0"/>
    <xf numFmtId="0" fontId="39" fillId="6" borderId="0" applyNumberFormat="0" applyBorder="0" applyAlignment="0" applyProtection="0"/>
    <xf numFmtId="0" fontId="39" fillId="1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84" fillId="47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84" fillId="48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84" fillId="49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84" fillId="50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84" fillId="51" borderId="0" applyNumberFormat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84" fillId="52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84" fillId="53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84" fillId="54" borderId="0" applyNumberFormat="0" applyBorder="0" applyAlignment="0" applyProtection="0"/>
    <xf numFmtId="0" fontId="39" fillId="24" borderId="0" applyNumberFormat="0" applyBorder="0" applyAlignment="0" applyProtection="0"/>
    <xf numFmtId="0" fontId="39" fillId="17" borderId="0" applyNumberFormat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84" fillId="55" borderId="0" applyNumberFormat="0" applyBorder="0" applyAlignment="0" applyProtection="0"/>
    <xf numFmtId="0" fontId="39" fillId="16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84" fillId="56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84" fillId="57" borderId="0" applyNumberFormat="0" applyBorder="0" applyAlignment="0" applyProtection="0"/>
    <xf numFmtId="41" fontId="20" fillId="0" borderId="0"/>
    <xf numFmtId="41" fontId="20" fillId="0" borderId="0"/>
    <xf numFmtId="41" fontId="20" fillId="0" borderId="0"/>
    <xf numFmtId="41" fontId="20" fillId="0" borderId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85" fillId="58" borderId="0" applyNumberFormat="0" applyBorder="0" applyAlignment="0" applyProtection="0"/>
    <xf numFmtId="3" fontId="20" fillId="0" borderId="0"/>
    <xf numFmtId="3" fontId="20" fillId="0" borderId="0"/>
    <xf numFmtId="3" fontId="20" fillId="0" borderId="0"/>
    <xf numFmtId="3" fontId="20" fillId="0" borderId="0"/>
    <xf numFmtId="0" fontId="41" fillId="26" borderId="1" applyNumberFormat="0" applyAlignment="0" applyProtection="0"/>
    <xf numFmtId="0" fontId="70" fillId="26" borderId="1" applyNumberFormat="0" applyAlignment="0" applyProtection="0"/>
    <xf numFmtId="0" fontId="41" fillId="26" borderId="1" applyNumberFormat="0" applyAlignment="0" applyProtection="0"/>
    <xf numFmtId="0" fontId="70" fillId="26" borderId="1" applyNumberFormat="0" applyAlignment="0" applyProtection="0"/>
    <xf numFmtId="0" fontId="41" fillId="3" borderId="1" applyNumberFormat="0" applyAlignment="0" applyProtection="0"/>
    <xf numFmtId="0" fontId="41" fillId="3" borderId="1" applyNumberFormat="0" applyAlignment="0" applyProtection="0"/>
    <xf numFmtId="0" fontId="86" fillId="59" borderId="23" applyNumberFormat="0" applyAlignment="0" applyProtection="0"/>
    <xf numFmtId="0" fontId="42" fillId="27" borderId="2" applyNumberFormat="0" applyAlignment="0" applyProtection="0"/>
    <xf numFmtId="0" fontId="42" fillId="28" borderId="3" applyNumberFormat="0" applyAlignment="0" applyProtection="0"/>
    <xf numFmtId="0" fontId="42" fillId="27" borderId="2" applyNumberFormat="0" applyAlignment="0" applyProtection="0"/>
    <xf numFmtId="0" fontId="87" fillId="60" borderId="24" applyNumberFormat="0" applyAlignment="0" applyProtection="0"/>
    <xf numFmtId="0" fontId="20" fillId="29" borderId="0">
      <alignment horizont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56" fillId="0" borderId="0"/>
    <xf numFmtId="0" fontId="57" fillId="0" borderId="0"/>
    <xf numFmtId="0" fontId="57" fillId="0" borderId="0"/>
    <xf numFmtId="0" fontId="55" fillId="30" borderId="4" applyAlignment="0">
      <alignment horizontal="right"/>
      <protection locked="0"/>
    </xf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0" fillId="31" borderId="0">
      <alignment horizontal="right"/>
      <protection locked="0"/>
    </xf>
    <xf numFmtId="14" fontId="2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0" borderId="0"/>
    <xf numFmtId="2" fontId="60" fillId="31" borderId="0">
      <alignment horizontal="right"/>
      <protection locked="0"/>
    </xf>
    <xf numFmtId="1" fontId="20" fillId="0" borderId="0">
      <alignment horizontal="center"/>
    </xf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61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6" applyNumberFormat="0" applyFill="0" applyAlignment="0" applyProtection="0"/>
    <xf numFmtId="0" fontId="61" fillId="0" borderId="7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90" fillId="0" borderId="25" applyNumberFormat="0" applyFill="0" applyAlignment="0" applyProtection="0"/>
    <xf numFmtId="0" fontId="62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8" applyNumberFormat="0" applyFill="0" applyAlignment="0" applyProtection="0"/>
    <xf numFmtId="0" fontId="62" fillId="0" borderId="9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91" fillId="0" borderId="26" applyNumberFormat="0" applyFill="0" applyAlignment="0" applyProtection="0"/>
    <xf numFmtId="0" fontId="63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11" applyNumberFormat="0" applyFill="0" applyAlignment="0" applyProtection="0"/>
    <xf numFmtId="0" fontId="63" fillId="0" borderId="12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92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8" fillId="13" borderId="1" applyNumberFormat="0" applyAlignment="0" applyProtection="0"/>
    <xf numFmtId="0" fontId="79" fillId="13" borderId="1" applyNumberFormat="0" applyAlignment="0" applyProtection="0"/>
    <xf numFmtId="0" fontId="48" fillId="13" borderId="1" applyNumberFormat="0" applyAlignment="0" applyProtection="0"/>
    <xf numFmtId="0" fontId="48" fillId="10" borderId="1" applyNumberFormat="0" applyAlignment="0" applyProtection="0"/>
    <xf numFmtId="0" fontId="48" fillId="10" borderId="1" applyNumberFormat="0" applyAlignment="0" applyProtection="0"/>
    <xf numFmtId="0" fontId="95" fillId="62" borderId="23" applyNumberFormat="0" applyAlignment="0" applyProtection="0"/>
    <xf numFmtId="3" fontId="66" fillId="32" borderId="0">
      <protection locked="0"/>
    </xf>
    <xf numFmtId="4" fontId="66" fillId="32" borderId="0">
      <protection locked="0"/>
    </xf>
    <xf numFmtId="0" fontId="49" fillId="0" borderId="13" applyNumberFormat="0" applyFill="0" applyAlignment="0" applyProtection="0"/>
    <xf numFmtId="0" fontId="54" fillId="0" borderId="14" applyNumberFormat="0" applyFill="0" applyAlignment="0" applyProtection="0"/>
    <xf numFmtId="0" fontId="49" fillId="0" borderId="13" applyNumberFormat="0" applyFill="0" applyAlignment="0" applyProtection="0"/>
    <xf numFmtId="0" fontId="54" fillId="0" borderId="14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96" fillId="0" borderId="28" applyNumberFormat="0" applyFill="0" applyAlignment="0" applyProtection="0"/>
    <xf numFmtId="0" fontId="50" fillId="13" borderId="0" applyNumberFormat="0" applyBorder="0" applyAlignment="0" applyProtection="0"/>
    <xf numFmtId="0" fontId="72" fillId="13" borderId="0" applyNumberFormat="0" applyBorder="0" applyAlignment="0" applyProtection="0"/>
    <xf numFmtId="0" fontId="50" fillId="13" borderId="0" applyNumberFormat="0" applyBorder="0" applyAlignment="0" applyProtection="0"/>
    <xf numFmtId="0" fontId="72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97" fillId="63" borderId="0" applyNumberFormat="0" applyBorder="0" applyAlignment="0" applyProtection="0"/>
    <xf numFmtId="43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83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83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38" fillId="0" borderId="0"/>
    <xf numFmtId="0" fontId="29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77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83" fillId="0" borderId="0"/>
    <xf numFmtId="0" fontId="29" fillId="0" borderId="0"/>
    <xf numFmtId="0" fontId="20" fillId="0" borderId="0">
      <alignment vertical="top"/>
    </xf>
    <xf numFmtId="0" fontId="56" fillId="0" borderId="0">
      <alignment vertical="top"/>
    </xf>
    <xf numFmtId="0" fontId="38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9" fillId="0" borderId="0"/>
    <xf numFmtId="0" fontId="83" fillId="0" borderId="0"/>
    <xf numFmtId="0" fontId="20" fillId="0" borderId="0"/>
    <xf numFmtId="0" fontId="19" fillId="0" borderId="0"/>
    <xf numFmtId="0" fontId="20" fillId="0" borderId="0"/>
    <xf numFmtId="0" fontId="83" fillId="0" borderId="0"/>
    <xf numFmtId="0" fontId="20" fillId="0" borderId="0"/>
    <xf numFmtId="0" fontId="29" fillId="0" borderId="0"/>
    <xf numFmtId="0" fontId="38" fillId="0" borderId="0"/>
    <xf numFmtId="0" fontId="83" fillId="0" borderId="0"/>
    <xf numFmtId="0" fontId="20" fillId="0" borderId="0"/>
    <xf numFmtId="0" fontId="29" fillId="0" borderId="0"/>
    <xf numFmtId="0" fontId="38" fillId="0" borderId="0"/>
    <xf numFmtId="0" fontId="20" fillId="0" borderId="0"/>
    <xf numFmtId="0" fontId="20" fillId="0" borderId="0"/>
    <xf numFmtId="0" fontId="38" fillId="0" borderId="0"/>
    <xf numFmtId="0" fontId="29" fillId="0" borderId="0"/>
    <xf numFmtId="0" fontId="83" fillId="0" borderId="0"/>
    <xf numFmtId="0" fontId="83" fillId="0" borderId="0"/>
    <xf numFmtId="0" fontId="56" fillId="0" borderId="0">
      <alignment vertical="top"/>
    </xf>
    <xf numFmtId="0" fontId="29" fillId="0" borderId="0"/>
    <xf numFmtId="0" fontId="83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20" fillId="0" borderId="0"/>
    <xf numFmtId="0" fontId="83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83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38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8" fillId="0" borderId="0"/>
    <xf numFmtId="0" fontId="38" fillId="0" borderId="0"/>
    <xf numFmtId="0" fontId="83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38" fillId="8" borderId="15" applyNumberFormat="0" applyFont="0" applyAlignment="0" applyProtection="0"/>
    <xf numFmtId="0" fontId="29" fillId="8" borderId="15" applyNumberFormat="0" applyFont="0" applyAlignment="0" applyProtection="0"/>
    <xf numFmtId="0" fontId="38" fillId="8" borderId="15" applyNumberFormat="0" applyFont="0" applyAlignment="0" applyProtection="0"/>
    <xf numFmtId="0" fontId="29" fillId="8" borderId="15" applyNumberFormat="0" applyFont="0" applyAlignment="0" applyProtection="0"/>
    <xf numFmtId="0" fontId="26" fillId="8" borderId="15" applyNumberFormat="0" applyFont="0" applyAlignment="0" applyProtection="0"/>
    <xf numFmtId="0" fontId="38" fillId="8" borderId="15" applyNumberFormat="0" applyFont="0" applyAlignment="0" applyProtection="0"/>
    <xf numFmtId="0" fontId="38" fillId="8" borderId="15" applyNumberFormat="0" applyFont="0" applyAlignment="0" applyProtection="0"/>
    <xf numFmtId="0" fontId="83" fillId="64" borderId="29" applyNumberFormat="0" applyFont="0" applyAlignment="0" applyProtection="0"/>
    <xf numFmtId="0" fontId="83" fillId="64" borderId="29" applyNumberFormat="0" applyFont="0" applyAlignment="0" applyProtection="0"/>
    <xf numFmtId="169" fontId="67" fillId="0" borderId="0" applyNumberFormat="0"/>
    <xf numFmtId="0" fontId="51" fillId="26" borderId="16" applyNumberFormat="0" applyAlignment="0" applyProtection="0"/>
    <xf numFmtId="0" fontId="63" fillId="26" borderId="17" applyNumberFormat="0" applyAlignment="0" applyProtection="0"/>
    <xf numFmtId="0" fontId="51" fillId="26" borderId="16" applyNumberFormat="0" applyAlignment="0" applyProtection="0"/>
    <xf numFmtId="0" fontId="51" fillId="3" borderId="16" applyNumberFormat="0" applyAlignment="0" applyProtection="0"/>
    <xf numFmtId="0" fontId="51" fillId="3" borderId="16" applyNumberFormat="0" applyAlignment="0" applyProtection="0"/>
    <xf numFmtId="0" fontId="98" fillId="59" borderId="30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16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>
      <alignment horizontal="left"/>
    </xf>
    <xf numFmtId="0" fontId="69" fillId="0" borderId="18">
      <alignment horizont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 applyNumberFormat="0" applyBorder="0" applyAlignment="0"/>
    <xf numFmtId="0" fontId="56" fillId="0" borderId="0" applyNumberFormat="0" applyBorder="0" applyAlignment="0"/>
    <xf numFmtId="37" fontId="81" fillId="0" borderId="0"/>
    <xf numFmtId="0" fontId="7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53" fillId="0" borderId="20" applyNumberFormat="0" applyFill="0" applyAlignment="0" applyProtection="0"/>
    <xf numFmtId="0" fontId="53" fillId="0" borderId="21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100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6" fillId="0" borderId="0">
      <alignment vertical="top"/>
    </xf>
    <xf numFmtId="0" fontId="83" fillId="0" borderId="0"/>
    <xf numFmtId="0" fontId="56" fillId="0" borderId="0">
      <alignment vertical="top"/>
    </xf>
    <xf numFmtId="0" fontId="83" fillId="0" borderId="0"/>
    <xf numFmtId="0" fontId="18" fillId="0" borderId="0"/>
    <xf numFmtId="43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3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84" fillId="53" borderId="0" applyNumberFormat="0" applyBorder="0" applyAlignment="0" applyProtection="0"/>
    <xf numFmtId="0" fontId="84" fillId="57" borderId="0" applyNumberFormat="0" applyBorder="0" applyAlignment="0" applyProtection="0"/>
    <xf numFmtId="0" fontId="13" fillId="0" borderId="0"/>
    <xf numFmtId="0" fontId="19" fillId="0" borderId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9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/>
    <xf numFmtId="41" fontId="21" fillId="0" borderId="0" xfId="0" applyNumberFormat="1" applyFont="1"/>
    <xf numFmtId="0" fontId="26" fillId="33" borderId="0" xfId="0" applyFont="1" applyFill="1"/>
    <xf numFmtId="0" fontId="26" fillId="0" borderId="0" xfId="0" applyFont="1"/>
    <xf numFmtId="4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 horizontal="center"/>
    </xf>
    <xf numFmtId="4" fontId="26" fillId="33" borderId="0" xfId="0" applyNumberFormat="1" applyFont="1" applyFill="1" applyAlignment="1">
      <alignment horizontal="right"/>
    </xf>
    <xf numFmtId="14" fontId="30" fillId="33" borderId="0" xfId="0" applyNumberFormat="1" applyFont="1" applyFill="1"/>
    <xf numFmtId="3" fontId="25" fillId="33" borderId="0" xfId="0" applyNumberFormat="1" applyFont="1" applyFill="1" applyAlignment="1">
      <alignment horizontal="right"/>
    </xf>
    <xf numFmtId="4" fontId="26" fillId="33" borderId="0" xfId="0" applyNumberFormat="1" applyFont="1" applyFill="1" applyAlignment="1">
      <alignment horizontal="left"/>
    </xf>
    <xf numFmtId="164" fontId="25" fillId="33" borderId="0" xfId="188" applyNumberFormat="1" applyFont="1" applyFill="1" applyBorder="1" applyAlignment="1">
      <alignment horizontal="left"/>
    </xf>
    <xf numFmtId="0" fontId="25" fillId="33" borderId="0" xfId="0" applyFont="1" applyFill="1" applyAlignment="1">
      <alignment horizontal="right"/>
    </xf>
    <xf numFmtId="0" fontId="25" fillId="33" borderId="0" xfId="0" applyFont="1" applyFill="1" applyAlignment="1">
      <alignment horizontal="center"/>
    </xf>
    <xf numFmtId="4" fontId="26" fillId="0" borderId="0" xfId="0" applyNumberFormat="1" applyFont="1" applyAlignment="1">
      <alignment horizontal="right"/>
    </xf>
    <xf numFmtId="4" fontId="26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left"/>
    </xf>
    <xf numFmtId="9" fontId="25" fillId="33" borderId="0" xfId="0" applyNumberFormat="1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left"/>
    </xf>
    <xf numFmtId="9" fontId="27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fill"/>
    </xf>
    <xf numFmtId="166" fontId="25" fillId="33" borderId="0" xfId="0" applyNumberFormat="1" applyFont="1" applyFill="1" applyAlignment="1">
      <alignment horizontal="center"/>
    </xf>
    <xf numFmtId="165" fontId="25" fillId="33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" fontId="26" fillId="0" borderId="0" xfId="0" applyNumberFormat="1" applyFont="1" applyAlignment="1">
      <alignment horizontal="center"/>
    </xf>
    <xf numFmtId="41" fontId="26" fillId="0" borderId="0" xfId="0" applyNumberFormat="1" applyFont="1" applyAlignment="1">
      <alignment horizontal="right"/>
    </xf>
    <xf numFmtId="37" fontId="26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9" fontId="25" fillId="0" borderId="0" xfId="0" applyNumberFormat="1" applyFont="1"/>
    <xf numFmtId="37" fontId="25" fillId="0" borderId="0" xfId="0" applyNumberFormat="1" applyFont="1"/>
    <xf numFmtId="41" fontId="25" fillId="0" borderId="0" xfId="0" applyNumberFormat="1" applyFont="1" applyAlignment="1">
      <alignment horizontal="right"/>
    </xf>
    <xf numFmtId="37" fontId="26" fillId="33" borderId="0" xfId="0" applyNumberFormat="1" applyFont="1" applyFill="1"/>
    <xf numFmtId="41" fontId="26" fillId="33" borderId="0" xfId="0" applyNumberFormat="1" applyFont="1" applyFill="1"/>
    <xf numFmtId="0" fontId="102" fillId="33" borderId="0" xfId="0" applyFont="1" applyFill="1"/>
    <xf numFmtId="0" fontId="26" fillId="33" borderId="0" xfId="0" applyFont="1" applyFill="1" applyAlignment="1">
      <alignment horizontal="left"/>
    </xf>
    <xf numFmtId="1" fontId="26" fillId="33" borderId="0" xfId="0" applyNumberFormat="1" applyFont="1" applyFill="1" applyAlignment="1">
      <alignment horizontal="center"/>
    </xf>
    <xf numFmtId="9" fontId="26" fillId="33" borderId="0" xfId="0" applyNumberFormat="1" applyFont="1" applyFill="1" applyAlignment="1">
      <alignment horizontal="center"/>
    </xf>
    <xf numFmtId="41" fontId="26" fillId="33" borderId="0" xfId="0" applyNumberFormat="1" applyFont="1" applyFill="1" applyAlignment="1">
      <alignment horizontal="right"/>
    </xf>
    <xf numFmtId="4" fontId="25" fillId="0" borderId="0" xfId="0" applyNumberFormat="1" applyFont="1" applyAlignment="1">
      <alignment horizontal="left"/>
    </xf>
    <xf numFmtId="14" fontId="26" fillId="0" borderId="0" xfId="0" applyNumberFormat="1" applyFont="1"/>
    <xf numFmtId="3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164" fontId="25" fillId="0" borderId="0" xfId="188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4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9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9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fill"/>
    </xf>
    <xf numFmtId="166" fontId="25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9" fontId="26" fillId="0" borderId="0" xfId="0" applyNumberFormat="1" applyFont="1"/>
    <xf numFmtId="4" fontId="26" fillId="0" borderId="0" xfId="0" applyNumberFormat="1" applyFont="1"/>
    <xf numFmtId="0" fontId="103" fillId="0" borderId="0" xfId="0" applyFont="1"/>
    <xf numFmtId="0" fontId="103" fillId="0" borderId="0" xfId="0" applyFont="1" applyAlignment="1">
      <alignment horizontal="left"/>
    </xf>
    <xf numFmtId="1" fontId="103" fillId="0" borderId="0" xfId="0" applyNumberFormat="1" applyFont="1" applyAlignment="1">
      <alignment horizontal="center"/>
    </xf>
    <xf numFmtId="0" fontId="103" fillId="0" borderId="0" xfId="0" applyFont="1" applyAlignment="1">
      <alignment horizontal="center"/>
    </xf>
    <xf numFmtId="37" fontId="103" fillId="0" borderId="0" xfId="0" applyNumberFormat="1" applyFont="1"/>
    <xf numFmtId="9" fontId="103" fillId="0" borderId="0" xfId="0" applyNumberFormat="1" applyFont="1"/>
    <xf numFmtId="4" fontId="103" fillId="0" borderId="0" xfId="0" applyNumberFormat="1" applyFont="1" applyAlignment="1">
      <alignment horizontal="right"/>
    </xf>
    <xf numFmtId="14" fontId="30" fillId="0" borderId="0" xfId="0" applyNumberFormat="1" applyFont="1"/>
    <xf numFmtId="0" fontId="24" fillId="0" borderId="0" xfId="0" applyFont="1"/>
    <xf numFmtId="0" fontId="35" fillId="0" borderId="0" xfId="0" applyFont="1" applyAlignment="1">
      <alignment horizontal="center"/>
    </xf>
    <xf numFmtId="4" fontId="35" fillId="0" borderId="0" xfId="0" applyNumberFormat="1" applyFont="1"/>
    <xf numFmtId="1" fontId="35" fillId="0" borderId="0" xfId="0" applyNumberFormat="1" applyFont="1" applyAlignment="1">
      <alignment horizontal="center"/>
    </xf>
    <xf numFmtId="9" fontId="35" fillId="0" borderId="0" xfId="0" applyNumberFormat="1" applyFont="1" applyAlignment="1">
      <alignment horizontal="center"/>
    </xf>
    <xf numFmtId="37" fontId="24" fillId="0" borderId="0" xfId="0" applyNumberFormat="1" applyFont="1"/>
    <xf numFmtId="0" fontId="33" fillId="0" borderId="0" xfId="0" applyFont="1"/>
    <xf numFmtId="0" fontId="26" fillId="65" borderId="0" xfId="0" applyFont="1" applyFill="1" applyAlignment="1">
      <alignment horizontal="center"/>
    </xf>
    <xf numFmtId="37" fontId="25" fillId="0" borderId="0" xfId="0" applyNumberFormat="1" applyFont="1" applyAlignment="1">
      <alignment horizontal="right"/>
    </xf>
    <xf numFmtId="0" fontId="34" fillId="0" borderId="0" xfId="0" applyFont="1"/>
    <xf numFmtId="0" fontId="33" fillId="0" borderId="0" xfId="0" applyFont="1" applyAlignment="1">
      <alignment horizontal="center"/>
    </xf>
    <xf numFmtId="37" fontId="33" fillId="0" borderId="0" xfId="0" applyNumberFormat="1" applyFont="1"/>
    <xf numFmtId="4" fontId="25" fillId="0" borderId="0" xfId="0" applyNumberFormat="1" applyFont="1"/>
    <xf numFmtId="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center"/>
    </xf>
    <xf numFmtId="4" fontId="28" fillId="0" borderId="0" xfId="0" applyNumberFormat="1" applyFont="1"/>
    <xf numFmtId="4" fontId="28" fillId="0" borderId="0" xfId="0" applyNumberFormat="1" applyFont="1" applyAlignment="1">
      <alignment horizontal="right"/>
    </xf>
    <xf numFmtId="0" fontId="28" fillId="0" borderId="0" xfId="0" applyFont="1"/>
    <xf numFmtId="37" fontId="28" fillId="0" borderId="0" xfId="0" applyNumberFormat="1" applyFont="1"/>
    <xf numFmtId="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0" fontId="26" fillId="66" borderId="0" xfId="0" applyFont="1" applyFill="1"/>
    <xf numFmtId="2" fontId="26" fillId="0" borderId="0" xfId="0" applyNumberFormat="1" applyFont="1" applyAlignment="1">
      <alignment horizontal="center"/>
    </xf>
    <xf numFmtId="43" fontId="19" fillId="0" borderId="0" xfId="188" applyFont="1"/>
    <xf numFmtId="43" fontId="74" fillId="0" borderId="0" xfId="188" applyFont="1" applyBorder="1" applyAlignment="1">
      <alignment horizontal="center"/>
    </xf>
    <xf numFmtId="43" fontId="74" fillId="67" borderId="0" xfId="188" applyFont="1" applyFill="1" applyBorder="1" applyAlignment="1">
      <alignment horizontal="center"/>
    </xf>
    <xf numFmtId="43" fontId="75" fillId="67" borderId="0" xfId="188" applyFont="1" applyFill="1" applyBorder="1"/>
    <xf numFmtId="43" fontId="74" fillId="67" borderId="0" xfId="188" applyFont="1" applyFill="1" applyBorder="1"/>
    <xf numFmtId="168" fontId="26" fillId="33" borderId="0" xfId="188" applyNumberFormat="1" applyFont="1" applyFill="1" applyBorder="1"/>
    <xf numFmtId="168" fontId="74" fillId="0" borderId="0" xfId="188" applyNumberFormat="1" applyFont="1" applyBorder="1" applyAlignment="1">
      <alignment horizontal="center"/>
    </xf>
    <xf numFmtId="168" fontId="74" fillId="67" borderId="0" xfId="188" applyNumberFormat="1" applyFont="1" applyFill="1" applyBorder="1" applyAlignment="1">
      <alignment horizontal="center"/>
    </xf>
    <xf numFmtId="168" fontId="75" fillId="67" borderId="0" xfId="188" applyNumberFormat="1" applyFont="1" applyFill="1" applyBorder="1"/>
    <xf numFmtId="168" fontId="74" fillId="67" borderId="0" xfId="188" applyNumberFormat="1" applyFont="1" applyFill="1" applyBorder="1"/>
    <xf numFmtId="168" fontId="25" fillId="33" borderId="0" xfId="188" applyNumberFormat="1" applyFont="1" applyFill="1" applyBorder="1" applyAlignment="1"/>
    <xf numFmtId="43" fontId="26" fillId="0" borderId="0" xfId="188" applyFont="1" applyBorder="1"/>
    <xf numFmtId="43" fontId="25" fillId="0" borderId="0" xfId="188" applyFont="1" applyBorder="1" applyAlignment="1">
      <alignment horizontal="right"/>
    </xf>
    <xf numFmtId="43" fontId="25" fillId="0" borderId="0" xfId="188" applyFont="1" applyBorder="1" applyAlignment="1"/>
    <xf numFmtId="43" fontId="28" fillId="0" borderId="0" xfId="188" applyFont="1" applyBorder="1"/>
    <xf numFmtId="43" fontId="25" fillId="0" borderId="0" xfId="188" applyFont="1" applyBorder="1"/>
    <xf numFmtId="168" fontId="20" fillId="0" borderId="0" xfId="188" applyNumberFormat="1" applyFont="1"/>
    <xf numFmtId="168" fontId="26" fillId="0" borderId="0" xfId="188" applyNumberFormat="1" applyFont="1" applyFill="1" applyBorder="1"/>
    <xf numFmtId="168" fontId="25" fillId="0" borderId="0" xfId="188" applyNumberFormat="1" applyFont="1" applyFill="1" applyBorder="1" applyAlignment="1">
      <alignment horizontal="right"/>
    </xf>
    <xf numFmtId="165" fontId="25" fillId="0" borderId="0" xfId="0" applyNumberFormat="1" applyFont="1" applyAlignment="1">
      <alignment horizontal="center"/>
    </xf>
    <xf numFmtId="0" fontId="102" fillId="0" borderId="0" xfId="0" applyFont="1"/>
    <xf numFmtId="168" fontId="25" fillId="0" borderId="0" xfId="188" applyNumberFormat="1" applyFont="1" applyFill="1" applyBorder="1" applyAlignment="1"/>
    <xf numFmtId="0" fontId="26" fillId="0" borderId="0" xfId="0" applyFont="1" applyAlignment="1">
      <alignment horizontal="right"/>
    </xf>
    <xf numFmtId="43" fontId="26" fillId="0" borderId="0" xfId="188" applyFont="1" applyFill="1" applyBorder="1"/>
    <xf numFmtId="0" fontId="26" fillId="69" borderId="0" xfId="0" applyFont="1" applyFill="1" applyAlignment="1">
      <alignment horizontal="center"/>
    </xf>
    <xf numFmtId="0" fontId="26" fillId="68" borderId="0" xfId="0" applyFont="1" applyFill="1" applyAlignment="1">
      <alignment horizontal="center"/>
    </xf>
    <xf numFmtId="0" fontId="104" fillId="33" borderId="0" xfId="0" applyFont="1" applyFill="1"/>
    <xf numFmtId="0" fontId="105" fillId="33" borderId="0" xfId="0" applyFont="1" applyFill="1"/>
    <xf numFmtId="2" fontId="106" fillId="0" borderId="0" xfId="0" applyNumberFormat="1" applyFont="1" applyAlignment="1">
      <alignment horizontal="right"/>
    </xf>
    <xf numFmtId="4" fontId="105" fillId="33" borderId="0" xfId="0" applyNumberFormat="1" applyFont="1" applyFill="1" applyAlignment="1">
      <alignment horizontal="left"/>
    </xf>
    <xf numFmtId="4" fontId="105" fillId="0" borderId="0" xfId="0" applyNumberFormat="1" applyFont="1" applyAlignment="1">
      <alignment horizontal="right"/>
    </xf>
    <xf numFmtId="4" fontId="105" fillId="33" borderId="0" xfId="0" applyNumberFormat="1" applyFont="1" applyFill="1" applyAlignment="1">
      <alignment horizontal="right"/>
    </xf>
    <xf numFmtId="4" fontId="105" fillId="33" borderId="0" xfId="0" applyNumberFormat="1" applyFont="1" applyFill="1" applyAlignment="1">
      <alignment horizontal="center"/>
    </xf>
    <xf numFmtId="0" fontId="106" fillId="33" borderId="0" xfId="0" applyFont="1" applyFill="1" applyAlignment="1">
      <alignment horizontal="center"/>
    </xf>
    <xf numFmtId="0" fontId="106" fillId="0" borderId="0" xfId="0" applyFont="1" applyAlignment="1">
      <alignment horizontal="center"/>
    </xf>
    <xf numFmtId="0" fontId="106" fillId="33" borderId="0" xfId="0" applyFont="1" applyFill="1" applyAlignment="1">
      <alignment horizontal="left"/>
    </xf>
    <xf numFmtId="9" fontId="106" fillId="33" borderId="0" xfId="0" applyNumberFormat="1" applyFont="1" applyFill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left"/>
    </xf>
    <xf numFmtId="9" fontId="106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 horizontal="left"/>
    </xf>
    <xf numFmtId="9" fontId="107" fillId="0" borderId="0" xfId="0" applyNumberFormat="1" applyFont="1" applyAlignment="1">
      <alignment horizontal="center"/>
    </xf>
    <xf numFmtId="168" fontId="105" fillId="0" borderId="0" xfId="188" applyNumberFormat="1" applyFont="1" applyFill="1" applyBorder="1" applyAlignment="1">
      <alignment horizontal="right"/>
    </xf>
    <xf numFmtId="43" fontId="105" fillId="0" borderId="0" xfId="188" applyFont="1" applyFill="1" applyBorder="1" applyAlignment="1">
      <alignment horizontal="right"/>
    </xf>
    <xf numFmtId="4" fontId="106" fillId="33" borderId="0" xfId="0" applyNumberFormat="1" applyFont="1" applyFill="1" applyAlignment="1">
      <alignment horizontal="left"/>
    </xf>
    <xf numFmtId="0" fontId="105" fillId="33" borderId="0" xfId="0" applyFont="1" applyFill="1" applyAlignment="1">
      <alignment horizontal="center"/>
    </xf>
    <xf numFmtId="164" fontId="106" fillId="33" borderId="0" xfId="188" applyNumberFormat="1" applyFont="1" applyFill="1" applyBorder="1" applyAlignment="1">
      <alignment horizontal="left"/>
    </xf>
    <xf numFmtId="0" fontId="105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1" fontId="105" fillId="0" borderId="0" xfId="0" applyNumberFormat="1" applyFont="1" applyAlignment="1">
      <alignment horizontal="center"/>
    </xf>
    <xf numFmtId="9" fontId="105" fillId="0" borderId="0" xfId="0" applyNumberFormat="1" applyFont="1" applyAlignment="1">
      <alignment horizontal="center"/>
    </xf>
    <xf numFmtId="170" fontId="105" fillId="0" borderId="0" xfId="188" applyNumberFormat="1" applyFont="1" applyFill="1" applyBorder="1" applyAlignment="1">
      <alignment horizontal="center"/>
    </xf>
    <xf numFmtId="41" fontId="105" fillId="0" borderId="0" xfId="0" applyNumberFormat="1" applyFont="1" applyAlignment="1">
      <alignment horizontal="right"/>
    </xf>
    <xf numFmtId="168" fontId="105" fillId="0" borderId="0" xfId="188" applyNumberFormat="1" applyFont="1" applyFill="1" applyBorder="1"/>
    <xf numFmtId="0" fontId="108" fillId="70" borderId="0" xfId="0" applyFont="1" applyFill="1" applyAlignment="1">
      <alignment horizontal="center"/>
    </xf>
    <xf numFmtId="0" fontId="108" fillId="70" borderId="0" xfId="0" applyFont="1" applyFill="1" applyAlignment="1">
      <alignment horizontal="left"/>
    </xf>
    <xf numFmtId="1" fontId="108" fillId="70" borderId="0" xfId="0" applyNumberFormat="1" applyFont="1" applyFill="1" applyAlignment="1">
      <alignment horizontal="center"/>
    </xf>
    <xf numFmtId="9" fontId="108" fillId="70" borderId="0" xfId="0" applyNumberFormat="1" applyFont="1" applyFill="1" applyAlignment="1">
      <alignment horizontal="center"/>
    </xf>
    <xf numFmtId="170" fontId="108" fillId="70" borderId="0" xfId="188" applyNumberFormat="1" applyFont="1" applyFill="1" applyBorder="1" applyAlignment="1">
      <alignment horizontal="center"/>
    </xf>
    <xf numFmtId="41" fontId="108" fillId="70" borderId="0" xfId="0" applyNumberFormat="1" applyFont="1" applyFill="1" applyAlignment="1">
      <alignment horizontal="right"/>
    </xf>
    <xf numFmtId="4" fontId="108" fillId="70" borderId="0" xfId="0" applyNumberFormat="1" applyFont="1" applyFill="1" applyAlignment="1">
      <alignment horizontal="right"/>
    </xf>
    <xf numFmtId="168" fontId="108" fillId="70" borderId="0" xfId="188" applyNumberFormat="1" applyFont="1" applyFill="1" applyBorder="1" applyAlignment="1">
      <alignment horizontal="right"/>
    </xf>
    <xf numFmtId="0" fontId="108" fillId="0" borderId="0" xfId="0" applyFont="1"/>
    <xf numFmtId="168" fontId="108" fillId="0" borderId="0" xfId="188" applyNumberFormat="1" applyFont="1" applyFill="1" applyBorder="1"/>
    <xf numFmtId="37" fontId="105" fillId="0" borderId="0" xfId="0" applyNumberFormat="1" applyFont="1"/>
    <xf numFmtId="0" fontId="105" fillId="71" borderId="0" xfId="0" applyFont="1" applyFill="1" applyAlignment="1">
      <alignment horizontal="center"/>
    </xf>
    <xf numFmtId="0" fontId="105" fillId="71" borderId="0" xfId="0" applyFont="1" applyFill="1" applyAlignment="1">
      <alignment horizontal="left"/>
    </xf>
    <xf numFmtId="1" fontId="105" fillId="71" borderId="0" xfId="0" applyNumberFormat="1" applyFont="1" applyFill="1" applyAlignment="1">
      <alignment horizontal="center"/>
    </xf>
    <xf numFmtId="9" fontId="105" fillId="71" borderId="0" xfId="0" applyNumberFormat="1" applyFont="1" applyFill="1" applyAlignment="1">
      <alignment horizontal="center"/>
    </xf>
    <xf numFmtId="170" fontId="105" fillId="71" borderId="0" xfId="188" applyNumberFormat="1" applyFont="1" applyFill="1" applyBorder="1" applyAlignment="1">
      <alignment horizontal="center"/>
    </xf>
    <xf numFmtId="168" fontId="105" fillId="71" borderId="0" xfId="188" applyNumberFormat="1" applyFont="1" applyFill="1" applyBorder="1" applyAlignment="1">
      <alignment horizontal="right"/>
    </xf>
    <xf numFmtId="0" fontId="106" fillId="0" borderId="0" xfId="0" applyFont="1"/>
    <xf numFmtId="9" fontId="106" fillId="0" borderId="0" xfId="0" applyNumberFormat="1" applyFont="1"/>
    <xf numFmtId="37" fontId="106" fillId="0" borderId="22" xfId="0" applyNumberFormat="1" applyFont="1" applyBorder="1"/>
    <xf numFmtId="4" fontId="106" fillId="0" borderId="0" xfId="0" applyNumberFormat="1" applyFont="1"/>
    <xf numFmtId="37" fontId="106" fillId="0" borderId="0" xfId="0" applyNumberFormat="1" applyFont="1"/>
    <xf numFmtId="168" fontId="105" fillId="0" borderId="0" xfId="188" applyNumberFormat="1" applyFont="1" applyFill="1" applyBorder="1" applyAlignment="1"/>
    <xf numFmtId="0" fontId="105" fillId="0" borderId="0" xfId="0" applyFont="1" applyAlignment="1">
      <alignment horizontal="left" wrapText="1"/>
    </xf>
    <xf numFmtId="168" fontId="106" fillId="0" borderId="0" xfId="188" applyNumberFormat="1" applyFont="1" applyFill="1" applyBorder="1" applyAlignment="1"/>
    <xf numFmtId="168" fontId="106" fillId="0" borderId="0" xfId="188" applyNumberFormat="1" applyFont="1" applyFill="1" applyBorder="1" applyAlignment="1">
      <alignment horizontal="right"/>
    </xf>
    <xf numFmtId="0" fontId="105" fillId="69" borderId="0" xfId="0" applyFont="1" applyFill="1" applyAlignment="1">
      <alignment horizontal="center"/>
    </xf>
    <xf numFmtId="9" fontId="105" fillId="33" borderId="0" xfId="0" applyNumberFormat="1" applyFont="1" applyFill="1"/>
    <xf numFmtId="168" fontId="105" fillId="33" borderId="0" xfId="188" applyNumberFormat="1" applyFont="1" applyFill="1" applyBorder="1" applyAlignment="1"/>
    <xf numFmtId="168" fontId="105" fillId="33" borderId="0" xfId="188" applyNumberFormat="1" applyFont="1" applyFill="1" applyBorder="1" applyAlignment="1">
      <alignment horizontal="right"/>
    </xf>
    <xf numFmtId="168" fontId="105" fillId="33" borderId="0" xfId="188" applyNumberFormat="1" applyFont="1" applyFill="1" applyBorder="1"/>
    <xf numFmtId="41" fontId="105" fillId="33" borderId="0" xfId="0" applyNumberFormat="1" applyFont="1" applyFill="1"/>
    <xf numFmtId="0" fontId="105" fillId="33" borderId="0" xfId="0" applyFont="1" applyFill="1" applyAlignment="1">
      <alignment horizontal="left"/>
    </xf>
    <xf numFmtId="1" fontId="105" fillId="33" borderId="0" xfId="0" applyNumberFormat="1" applyFont="1" applyFill="1" applyAlignment="1">
      <alignment horizontal="center"/>
    </xf>
    <xf numFmtId="9" fontId="105" fillId="33" borderId="0" xfId="0" applyNumberFormat="1" applyFont="1" applyFill="1" applyAlignment="1">
      <alignment horizontal="center"/>
    </xf>
    <xf numFmtId="37" fontId="105" fillId="33" borderId="0" xfId="0" applyNumberFormat="1" applyFont="1" applyFill="1"/>
    <xf numFmtId="41" fontId="105" fillId="33" borderId="0" xfId="0" applyNumberFormat="1" applyFont="1" applyFill="1" applyAlignment="1">
      <alignment horizontal="right"/>
    </xf>
    <xf numFmtId="0" fontId="105" fillId="66" borderId="0" xfId="0" applyFont="1" applyFill="1" applyAlignment="1">
      <alignment horizontal="left"/>
    </xf>
    <xf numFmtId="1" fontId="105" fillId="66" borderId="0" xfId="0" applyNumberFormat="1" applyFont="1" applyFill="1" applyAlignment="1">
      <alignment horizontal="center"/>
    </xf>
    <xf numFmtId="9" fontId="105" fillId="66" borderId="0" xfId="0" applyNumberFormat="1" applyFont="1" applyFill="1" applyAlignment="1">
      <alignment horizontal="center"/>
    </xf>
    <xf numFmtId="0" fontId="105" fillId="66" borderId="0" xfId="0" applyFont="1" applyFill="1" applyAlignment="1">
      <alignment horizontal="center"/>
    </xf>
    <xf numFmtId="41" fontId="105" fillId="66" borderId="0" xfId="0" applyNumberFormat="1" applyFont="1" applyFill="1" applyAlignment="1">
      <alignment horizontal="right"/>
    </xf>
    <xf numFmtId="4" fontId="105" fillId="66" borderId="0" xfId="0" applyNumberFormat="1" applyFont="1" applyFill="1" applyAlignment="1">
      <alignment horizontal="right"/>
    </xf>
    <xf numFmtId="168" fontId="21" fillId="0" borderId="0" xfId="0" applyNumberFormat="1" applyFont="1"/>
    <xf numFmtId="0" fontId="105" fillId="0" borderId="0" xfId="450" applyFont="1"/>
    <xf numFmtId="0" fontId="105" fillId="0" borderId="0" xfId="454" applyFont="1"/>
    <xf numFmtId="168" fontId="109" fillId="0" borderId="0" xfId="188" applyNumberFormat="1" applyFont="1" applyFill="1"/>
    <xf numFmtId="0" fontId="105" fillId="0" borderId="0" xfId="458" applyFont="1"/>
    <xf numFmtId="0" fontId="105" fillId="0" borderId="0" xfId="462" applyFont="1"/>
    <xf numFmtId="0" fontId="105" fillId="0" borderId="0" xfId="465" applyFont="1"/>
    <xf numFmtId="0" fontId="105" fillId="0" borderId="0" xfId="471" applyFont="1"/>
    <xf numFmtId="168" fontId="21" fillId="0" borderId="0" xfId="188" applyNumberFormat="1" applyFont="1" applyFill="1" applyBorder="1"/>
    <xf numFmtId="168" fontId="108" fillId="72" borderId="0" xfId="188" applyNumberFormat="1" applyFont="1" applyFill="1" applyBorder="1" applyAlignment="1"/>
    <xf numFmtId="0" fontId="108" fillId="72" borderId="0" xfId="0" applyFont="1" applyFill="1" applyAlignment="1">
      <alignment horizontal="left"/>
    </xf>
    <xf numFmtId="168" fontId="105" fillId="72" borderId="0" xfId="188" applyNumberFormat="1" applyFont="1" applyFill="1" applyBorder="1"/>
    <xf numFmtId="168" fontId="108" fillId="72" borderId="0" xfId="188" applyNumberFormat="1" applyFont="1" applyFill="1" applyBorder="1" applyAlignment="1">
      <alignment horizontal="right"/>
    </xf>
    <xf numFmtId="4" fontId="108" fillId="72" borderId="0" xfId="0" applyNumberFormat="1" applyFont="1" applyFill="1" applyAlignment="1">
      <alignment horizontal="right"/>
    </xf>
    <xf numFmtId="41" fontId="108" fillId="72" borderId="0" xfId="0" applyNumberFormat="1" applyFont="1" applyFill="1" applyAlignment="1">
      <alignment horizontal="right"/>
    </xf>
    <xf numFmtId="170" fontId="108" fillId="72" borderId="0" xfId="188" applyNumberFormat="1" applyFont="1" applyFill="1" applyBorder="1" applyAlignment="1">
      <alignment horizontal="center"/>
    </xf>
    <xf numFmtId="0" fontId="108" fillId="72" borderId="0" xfId="0" applyFont="1" applyFill="1" applyAlignment="1">
      <alignment horizontal="center"/>
    </xf>
    <xf numFmtId="9" fontId="108" fillId="72" borderId="0" xfId="0" applyNumberFormat="1" applyFont="1" applyFill="1" applyAlignment="1">
      <alignment horizontal="center"/>
    </xf>
    <xf numFmtId="1" fontId="108" fillId="72" borderId="0" xfId="0" applyNumberFormat="1" applyFont="1" applyFill="1" applyAlignment="1">
      <alignment horizontal="center"/>
    </xf>
    <xf numFmtId="0" fontId="108" fillId="72" borderId="0" xfId="0" applyFont="1" applyFill="1"/>
    <xf numFmtId="14" fontId="107" fillId="0" borderId="0" xfId="0" applyNumberFormat="1" applyFont="1" applyAlignment="1">
      <alignment horizontal="center"/>
    </xf>
    <xf numFmtId="6" fontId="105" fillId="33" borderId="0" xfId="0" applyNumberFormat="1" applyFont="1" applyFill="1"/>
    <xf numFmtId="2" fontId="106" fillId="0" borderId="0" xfId="188" applyNumberFormat="1" applyFont="1" applyFill="1" applyBorder="1" applyAlignment="1">
      <alignment horizontal="right"/>
    </xf>
    <xf numFmtId="168" fontId="21" fillId="0" borderId="4" xfId="188" applyNumberFormat="1" applyFont="1" applyFill="1" applyBorder="1"/>
    <xf numFmtId="168" fontId="21" fillId="0" borderId="4" xfId="188" applyNumberFormat="1" applyFont="1" applyBorder="1"/>
    <xf numFmtId="0" fontId="21" fillId="74" borderId="0" xfId="0" applyFont="1" applyFill="1"/>
    <xf numFmtId="0" fontId="22" fillId="74" borderId="0" xfId="0" applyFont="1" applyFill="1" applyAlignment="1">
      <alignment horizontal="center"/>
    </xf>
    <xf numFmtId="0" fontId="22" fillId="74" borderId="4" xfId="0" applyFont="1" applyFill="1" applyBorder="1" applyAlignment="1">
      <alignment horizontal="center"/>
    </xf>
    <xf numFmtId="14" fontId="22" fillId="74" borderId="4" xfId="0" quotePrefix="1" applyNumberFormat="1" applyFont="1" applyFill="1" applyBorder="1" applyAlignment="1">
      <alignment horizontal="center"/>
    </xf>
    <xf numFmtId="4" fontId="106" fillId="0" borderId="0" xfId="0" applyNumberFormat="1" applyFont="1" applyAlignment="1">
      <alignment horizontal="left"/>
    </xf>
    <xf numFmtId="4" fontId="105" fillId="0" borderId="0" xfId="0" applyNumberFormat="1" applyFont="1" applyAlignment="1">
      <alignment horizontal="left"/>
    </xf>
    <xf numFmtId="9" fontId="105" fillId="0" borderId="0" xfId="0" applyNumberFormat="1" applyFont="1"/>
    <xf numFmtId="170" fontId="105" fillId="0" borderId="0" xfId="0" applyNumberFormat="1" applyFont="1" applyAlignment="1">
      <alignment horizontal="center"/>
    </xf>
    <xf numFmtId="168" fontId="105" fillId="0" borderId="0" xfId="188" applyNumberFormat="1" applyFont="1" applyBorder="1" applyAlignment="1">
      <alignment horizontal="right"/>
    </xf>
    <xf numFmtId="168" fontId="105" fillId="0" borderId="0" xfId="188" applyNumberFormat="1" applyFont="1" applyBorder="1"/>
    <xf numFmtId="0" fontId="107" fillId="0" borderId="0" xfId="0" applyFont="1"/>
    <xf numFmtId="0" fontId="106" fillId="0" borderId="22" xfId="0" applyFont="1" applyBorder="1" applyAlignment="1">
      <alignment horizontal="center"/>
    </xf>
    <xf numFmtId="9" fontId="106" fillId="0" borderId="22" xfId="0" applyNumberFormat="1" applyFont="1" applyBorder="1"/>
    <xf numFmtId="4" fontId="105" fillId="0" borderId="0" xfId="0" applyNumberFormat="1" applyFont="1"/>
    <xf numFmtId="0" fontId="108" fillId="0" borderId="0" xfId="0" applyFont="1" applyAlignment="1">
      <alignment horizontal="left"/>
    </xf>
    <xf numFmtId="1" fontId="108" fillId="0" borderId="0" xfId="0" applyNumberFormat="1" applyFont="1" applyAlignment="1">
      <alignment horizontal="center"/>
    </xf>
    <xf numFmtId="0" fontId="108" fillId="0" borderId="0" xfId="0" applyFont="1" applyAlignment="1">
      <alignment horizontal="center"/>
    </xf>
    <xf numFmtId="37" fontId="108" fillId="0" borderId="0" xfId="0" applyNumberFormat="1" applyFont="1"/>
    <xf numFmtId="9" fontId="108" fillId="0" borderId="0" xfId="0" applyNumberFormat="1" applyFont="1"/>
    <xf numFmtId="4" fontId="108" fillId="0" borderId="0" xfId="0" applyNumberFormat="1" applyFont="1" applyAlignment="1">
      <alignment horizontal="right"/>
    </xf>
    <xf numFmtId="0" fontId="104" fillId="0" borderId="0" xfId="0" applyFont="1"/>
    <xf numFmtId="0" fontId="106" fillId="0" borderId="32" xfId="0" applyFont="1" applyBorder="1"/>
    <xf numFmtId="0" fontId="106" fillId="0" borderId="32" xfId="0" applyFont="1" applyBorder="1" applyAlignment="1">
      <alignment horizontal="center"/>
    </xf>
    <xf numFmtId="9" fontId="106" fillId="0" borderId="32" xfId="0" applyNumberFormat="1" applyFont="1" applyBorder="1"/>
    <xf numFmtId="168" fontId="106" fillId="0" borderId="32" xfId="188" applyNumberFormat="1" applyFont="1" applyFill="1" applyBorder="1" applyAlignment="1"/>
    <xf numFmtId="3" fontId="105" fillId="0" borderId="0" xfId="0" applyNumberFormat="1" applyFont="1" applyAlignment="1">
      <alignment horizontal="right"/>
    </xf>
    <xf numFmtId="168" fontId="22" fillId="0" borderId="22" xfId="188" applyNumberFormat="1" applyFont="1" applyFill="1" applyBorder="1"/>
    <xf numFmtId="168" fontId="22" fillId="0" borderId="32" xfId="188" applyNumberFormat="1" applyFont="1" applyBorder="1"/>
    <xf numFmtId="14" fontId="109" fillId="0" borderId="0" xfId="667" applyNumberFormat="1" applyFont="1"/>
    <xf numFmtId="0" fontId="106" fillId="0" borderId="22" xfId="0" applyFont="1" applyBorder="1"/>
    <xf numFmtId="0" fontId="106" fillId="0" borderId="22" xfId="0" applyFont="1" applyBorder="1" applyAlignment="1">
      <alignment horizontal="left"/>
    </xf>
    <xf numFmtId="0" fontId="105" fillId="0" borderId="22" xfId="0" applyFont="1" applyBorder="1" applyAlignment="1">
      <alignment horizontal="center"/>
    </xf>
    <xf numFmtId="0" fontId="106" fillId="33" borderId="32" xfId="0" applyFont="1" applyFill="1" applyBorder="1" applyAlignment="1">
      <alignment horizontal="left"/>
    </xf>
    <xf numFmtId="0" fontId="106" fillId="33" borderId="32" xfId="0" applyFont="1" applyFill="1" applyBorder="1" applyAlignment="1">
      <alignment horizontal="center"/>
    </xf>
    <xf numFmtId="9" fontId="106" fillId="33" borderId="32" xfId="0" applyNumberFormat="1" applyFont="1" applyFill="1" applyBorder="1"/>
    <xf numFmtId="0" fontId="105" fillId="33" borderId="32" xfId="0" applyFont="1" applyFill="1" applyBorder="1" applyAlignment="1">
      <alignment horizontal="center"/>
    </xf>
    <xf numFmtId="43" fontId="106" fillId="33" borderId="32" xfId="188" applyFont="1" applyFill="1" applyBorder="1" applyAlignment="1"/>
    <xf numFmtId="168" fontId="106" fillId="33" borderId="32" xfId="188" applyNumberFormat="1" applyFont="1" applyFill="1" applyBorder="1" applyAlignment="1"/>
    <xf numFmtId="164" fontId="106" fillId="0" borderId="0" xfId="188" applyNumberFormat="1" applyFont="1" applyBorder="1" applyAlignment="1">
      <alignment horizontal="left"/>
    </xf>
    <xf numFmtId="4" fontId="105" fillId="0" borderId="0" xfId="0" applyNumberFormat="1" applyFont="1" applyAlignment="1">
      <alignment horizontal="center"/>
    </xf>
    <xf numFmtId="0" fontId="110" fillId="0" borderId="0" xfId="0" applyFont="1"/>
    <xf numFmtId="37" fontId="106" fillId="0" borderId="22" xfId="0" applyNumberFormat="1" applyFont="1" applyBorder="1" applyAlignment="1">
      <alignment horizontal="right"/>
    </xf>
    <xf numFmtId="0" fontId="111" fillId="0" borderId="0" xfId="0" applyFont="1"/>
    <xf numFmtId="0" fontId="110" fillId="0" borderId="0" xfId="0" applyFont="1" applyAlignment="1">
      <alignment horizontal="center"/>
    </xf>
    <xf numFmtId="9" fontId="105" fillId="0" borderId="0" xfId="608" applyFont="1" applyFill="1" applyBorder="1" applyAlignment="1">
      <alignment horizontal="center"/>
    </xf>
    <xf numFmtId="37" fontId="110" fillId="0" borderId="0" xfId="0" applyNumberFormat="1" applyFont="1"/>
    <xf numFmtId="4" fontId="106" fillId="0" borderId="0" xfId="0" applyNumberFormat="1" applyFont="1" applyAlignment="1">
      <alignment horizontal="center"/>
    </xf>
    <xf numFmtId="0" fontId="111" fillId="0" borderId="0" xfId="0" applyFont="1" applyAlignment="1">
      <alignment horizontal="center"/>
    </xf>
    <xf numFmtId="9" fontId="105" fillId="0" borderId="0" xfId="608" applyFont="1" applyBorder="1" applyAlignment="1">
      <alignment horizontal="center"/>
    </xf>
    <xf numFmtId="9" fontId="106" fillId="0" borderId="0" xfId="608" applyFont="1" applyBorder="1" applyAlignment="1">
      <alignment horizontal="center"/>
    </xf>
    <xf numFmtId="9" fontId="105" fillId="0" borderId="0" xfId="608" applyFont="1" applyBorder="1"/>
    <xf numFmtId="9" fontId="107" fillId="0" borderId="0" xfId="608" applyFont="1" applyBorder="1" applyAlignment="1">
      <alignment horizontal="center"/>
    </xf>
    <xf numFmtId="4" fontId="104" fillId="0" borderId="0" xfId="0" applyNumberFormat="1" applyFont="1"/>
    <xf numFmtId="0" fontId="113" fillId="0" borderId="0" xfId="0" applyFont="1"/>
    <xf numFmtId="2" fontId="105" fillId="0" borderId="0" xfId="0" applyNumberFormat="1" applyFont="1" applyAlignment="1">
      <alignment horizontal="center"/>
    </xf>
    <xf numFmtId="3" fontId="105" fillId="0" borderId="0" xfId="0" applyNumberFormat="1" applyFont="1" applyAlignment="1">
      <alignment horizontal="center"/>
    </xf>
    <xf numFmtId="4" fontId="112" fillId="0" borderId="0" xfId="0" applyNumberFormat="1" applyFont="1" applyAlignment="1">
      <alignment horizontal="center"/>
    </xf>
    <xf numFmtId="4" fontId="112" fillId="0" borderId="0" xfId="0" applyNumberFormat="1" applyFont="1"/>
    <xf numFmtId="0" fontId="112" fillId="0" borderId="0" xfId="0" applyFont="1" applyAlignment="1">
      <alignment horizontal="center"/>
    </xf>
    <xf numFmtId="3" fontId="112" fillId="0" borderId="0" xfId="0" applyNumberFormat="1" applyFont="1" applyAlignment="1">
      <alignment horizontal="center"/>
    </xf>
    <xf numFmtId="4" fontId="112" fillId="0" borderId="0" xfId="0" applyNumberFormat="1" applyFont="1" applyAlignment="1">
      <alignment horizontal="right"/>
    </xf>
    <xf numFmtId="0" fontId="112" fillId="0" borderId="0" xfId="0" applyFont="1"/>
    <xf numFmtId="9" fontId="112" fillId="0" borderId="0" xfId="608" applyFont="1" applyFill="1" applyBorder="1" applyAlignment="1">
      <alignment horizontal="center"/>
    </xf>
    <xf numFmtId="9" fontId="106" fillId="0" borderId="0" xfId="608" applyFont="1" applyFill="1" applyBorder="1" applyAlignment="1">
      <alignment horizontal="center"/>
    </xf>
    <xf numFmtId="0" fontId="105" fillId="0" borderId="0" xfId="509" applyFont="1"/>
    <xf numFmtId="0" fontId="105" fillId="0" borderId="0" xfId="522" applyFont="1"/>
    <xf numFmtId="43" fontId="105" fillId="0" borderId="0" xfId="215" applyFont="1" applyFill="1"/>
    <xf numFmtId="0" fontId="109" fillId="0" borderId="0" xfId="474" applyFont="1" applyAlignment="1">
      <alignment horizontal="left"/>
    </xf>
    <xf numFmtId="0" fontId="105" fillId="0" borderId="22" xfId="0" applyFont="1" applyBorder="1" applyAlignment="1">
      <alignment horizontal="left"/>
    </xf>
    <xf numFmtId="0" fontId="105" fillId="33" borderId="32" xfId="0" applyFont="1" applyFill="1" applyBorder="1" applyAlignment="1">
      <alignment horizontal="left"/>
    </xf>
    <xf numFmtId="0" fontId="106" fillId="0" borderId="32" xfId="0" applyFont="1" applyBorder="1" applyAlignment="1">
      <alignment horizontal="left"/>
    </xf>
    <xf numFmtId="37" fontId="106" fillId="0" borderId="22" xfId="0" applyNumberFormat="1" applyFont="1" applyBorder="1" applyAlignment="1">
      <alignment horizontal="left"/>
    </xf>
    <xf numFmtId="0" fontId="105" fillId="0" borderId="0" xfId="512" applyFont="1" applyAlignment="1">
      <alignment horizontal="left"/>
    </xf>
    <xf numFmtId="4" fontId="112" fillId="0" borderId="0" xfId="0" applyNumberFormat="1" applyFont="1" applyAlignment="1">
      <alignment horizontal="left"/>
    </xf>
    <xf numFmtId="0" fontId="105" fillId="0" borderId="0" xfId="525" applyFont="1" applyAlignment="1">
      <alignment horizontal="left"/>
    </xf>
    <xf numFmtId="49" fontId="105" fillId="0" borderId="0" xfId="0" applyNumberFormat="1" applyFont="1" applyAlignment="1">
      <alignment horizontal="left"/>
    </xf>
    <xf numFmtId="0" fontId="104" fillId="0" borderId="0" xfId="0" applyFont="1" applyAlignment="1">
      <alignment horizontal="left"/>
    </xf>
    <xf numFmtId="0" fontId="18" fillId="0" borderId="0" xfId="668"/>
    <xf numFmtId="0" fontId="84" fillId="76" borderId="0" xfId="668" applyFont="1" applyFill="1"/>
    <xf numFmtId="0" fontId="87" fillId="77" borderId="0" xfId="668" applyFont="1" applyFill="1"/>
    <xf numFmtId="0" fontId="87" fillId="77" borderId="0" xfId="668" applyFont="1" applyFill="1" applyAlignment="1">
      <alignment wrapText="1"/>
    </xf>
    <xf numFmtId="0" fontId="22" fillId="0" borderId="0" xfId="0" applyFont="1"/>
    <xf numFmtId="0" fontId="23" fillId="0" borderId="0" xfId="0" applyFont="1"/>
    <xf numFmtId="0" fontId="21" fillId="74" borderId="39" xfId="0" applyFont="1" applyFill="1" applyBorder="1"/>
    <xf numFmtId="0" fontId="22" fillId="74" borderId="40" xfId="0" applyFont="1" applyFill="1" applyBorder="1" applyAlignment="1">
      <alignment horizontal="center"/>
    </xf>
    <xf numFmtId="0" fontId="22" fillId="74" borderId="39" xfId="0" applyFont="1" applyFill="1" applyBorder="1" applyAlignment="1">
      <alignment horizontal="center"/>
    </xf>
    <xf numFmtId="0" fontId="22" fillId="74" borderId="41" xfId="0" applyFont="1" applyFill="1" applyBorder="1" applyAlignment="1">
      <alignment horizontal="center"/>
    </xf>
    <xf numFmtId="14" fontId="22" fillId="74" borderId="42" xfId="0" quotePrefix="1" applyNumberFormat="1" applyFont="1" applyFill="1" applyBorder="1" applyAlignment="1">
      <alignment horizontal="center"/>
    </xf>
    <xf numFmtId="0" fontId="76" fillId="0" borderId="39" xfId="0" applyFont="1" applyBorder="1"/>
    <xf numFmtId="0" fontId="21" fillId="0" borderId="40" xfId="0" applyFont="1" applyBorder="1"/>
    <xf numFmtId="0" fontId="21" fillId="0" borderId="39" xfId="0" applyFont="1" applyBorder="1"/>
    <xf numFmtId="168" fontId="21" fillId="0" borderId="40" xfId="188" applyNumberFormat="1" applyFont="1" applyFill="1" applyBorder="1"/>
    <xf numFmtId="0" fontId="21" fillId="0" borderId="41" xfId="0" applyFont="1" applyBorder="1"/>
    <xf numFmtId="168" fontId="21" fillId="0" borderId="42" xfId="188" applyNumberFormat="1" applyFont="1" applyFill="1" applyBorder="1"/>
    <xf numFmtId="0" fontId="22" fillId="0" borderId="43" xfId="0" applyFont="1" applyBorder="1"/>
    <xf numFmtId="168" fontId="22" fillId="0" borderId="44" xfId="188" applyNumberFormat="1" applyFont="1" applyFill="1" applyBorder="1"/>
    <xf numFmtId="168" fontId="21" fillId="0" borderId="42" xfId="188" applyNumberFormat="1" applyFont="1" applyBorder="1"/>
    <xf numFmtId="0" fontId="22" fillId="0" borderId="45" xfId="0" applyFont="1" applyBorder="1"/>
    <xf numFmtId="168" fontId="22" fillId="0" borderId="46" xfId="188" applyNumberFormat="1" applyFont="1" applyBorder="1"/>
    <xf numFmtId="0" fontId="21" fillId="0" borderId="47" xfId="0" applyFont="1" applyBorder="1"/>
    <xf numFmtId="43" fontId="21" fillId="0" borderId="18" xfId="188" applyFont="1" applyBorder="1"/>
    <xf numFmtId="0" fontId="21" fillId="0" borderId="18" xfId="0" applyFont="1" applyBorder="1"/>
    <xf numFmtId="168" fontId="21" fillId="0" borderId="18" xfId="188" applyNumberFormat="1" applyFont="1" applyBorder="1"/>
    <xf numFmtId="168" fontId="21" fillId="0" borderId="48" xfId="188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122" fillId="79" borderId="49" xfId="0" applyFont="1" applyFill="1" applyBorder="1"/>
    <xf numFmtId="0" fontId="122" fillId="79" borderId="50" xfId="0" applyFont="1" applyFill="1" applyBorder="1" applyAlignment="1">
      <alignment horizontal="left"/>
    </xf>
    <xf numFmtId="3" fontId="74" fillId="70" borderId="0" xfId="671" applyNumberFormat="1" applyFont="1" applyFill="1" applyAlignment="1">
      <alignment horizontal="right"/>
    </xf>
    <xf numFmtId="4" fontId="21" fillId="0" borderId="0" xfId="672" applyNumberFormat="1" applyFont="1" applyAlignment="1">
      <alignment horizontal="left"/>
    </xf>
    <xf numFmtId="0" fontId="74" fillId="70" borderId="0" xfId="671" applyFont="1" applyFill="1" applyAlignment="1">
      <alignment horizontal="right"/>
    </xf>
    <xf numFmtId="170" fontId="74" fillId="70" borderId="0" xfId="671" applyNumberFormat="1" applyFont="1" applyFill="1" applyAlignment="1">
      <alignment horizontal="right"/>
    </xf>
    <xf numFmtId="0" fontId="21" fillId="0" borderId="0" xfId="672" applyFont="1"/>
    <xf numFmtId="168" fontId="21" fillId="70" borderId="0" xfId="673" applyNumberFormat="1" applyFont="1" applyFill="1" applyBorder="1" applyAlignment="1">
      <alignment horizontal="right"/>
    </xf>
    <xf numFmtId="0" fontId="84" fillId="76" borderId="0" xfId="515" applyFont="1" applyFill="1"/>
    <xf numFmtId="2" fontId="74" fillId="70" borderId="0" xfId="671" applyNumberFormat="1" applyFont="1" applyFill="1" applyAlignment="1">
      <alignment horizontal="right"/>
    </xf>
    <xf numFmtId="168" fontId="0" fillId="72" borderId="0" xfId="188" applyNumberFormat="1" applyFont="1" applyFill="1"/>
    <xf numFmtId="1" fontId="18" fillId="72" borderId="0" xfId="668" applyNumberFormat="1" applyFill="1"/>
    <xf numFmtId="170" fontId="18" fillId="72" borderId="0" xfId="668" applyNumberFormat="1" applyFill="1"/>
    <xf numFmtId="168" fontId="0" fillId="72" borderId="0" xfId="669" applyNumberFormat="1" applyFont="1" applyFill="1"/>
    <xf numFmtId="44" fontId="0" fillId="0" borderId="0" xfId="674" applyFont="1"/>
    <xf numFmtId="44" fontId="0" fillId="0" borderId="0" xfId="0" applyNumberFormat="1"/>
    <xf numFmtId="0" fontId="16" fillId="0" borderId="0" xfId="675"/>
    <xf numFmtId="1" fontId="16" fillId="0" borderId="0" xfId="675" applyNumberFormat="1"/>
    <xf numFmtId="0" fontId="114" fillId="0" borderId="0" xfId="675" applyFont="1"/>
    <xf numFmtId="0" fontId="114" fillId="0" borderId="0" xfId="675" applyFont="1" applyAlignment="1">
      <alignment horizontal="center"/>
    </xf>
    <xf numFmtId="43" fontId="114" fillId="0" borderId="0" xfId="676" applyFont="1"/>
    <xf numFmtId="1" fontId="114" fillId="0" borderId="0" xfId="676" applyNumberFormat="1" applyFont="1"/>
    <xf numFmtId="165" fontId="114" fillId="0" borderId="0" xfId="675" applyNumberFormat="1" applyFont="1"/>
    <xf numFmtId="0" fontId="115" fillId="0" borderId="0" xfId="675" applyFont="1" applyAlignment="1">
      <alignment horizontal="left"/>
    </xf>
    <xf numFmtId="14" fontId="114" fillId="0" borderId="0" xfId="675" applyNumberFormat="1" applyFont="1"/>
    <xf numFmtId="17" fontId="114" fillId="0" borderId="0" xfId="675" applyNumberFormat="1" applyFont="1"/>
    <xf numFmtId="0" fontId="84" fillId="76" borderId="0" xfId="675" applyFont="1" applyFill="1"/>
    <xf numFmtId="0" fontId="87" fillId="76" borderId="18" xfId="675" applyFont="1" applyFill="1" applyBorder="1" applyAlignment="1">
      <alignment horizontal="center" wrapText="1"/>
    </xf>
    <xf numFmtId="1" fontId="87" fillId="76" borderId="18" xfId="675" applyNumberFormat="1" applyFont="1" applyFill="1" applyBorder="1" applyAlignment="1">
      <alignment horizontal="center" wrapText="1"/>
    </xf>
    <xf numFmtId="1" fontId="84" fillId="76" borderId="0" xfId="675" applyNumberFormat="1" applyFont="1" applyFill="1"/>
    <xf numFmtId="0" fontId="84" fillId="78" borderId="0" xfId="675" applyFont="1" applyFill="1"/>
    <xf numFmtId="0" fontId="84" fillId="76" borderId="0" xfId="675" applyFont="1" applyFill="1" applyAlignment="1">
      <alignment horizontal="right"/>
    </xf>
    <xf numFmtId="0" fontId="114" fillId="73" borderId="33" xfId="675" applyFont="1" applyFill="1" applyBorder="1" applyAlignment="1">
      <alignment horizontal="left"/>
    </xf>
    <xf numFmtId="0" fontId="116" fillId="76" borderId="0" xfId="675" applyFont="1" applyFill="1"/>
    <xf numFmtId="14" fontId="114" fillId="73" borderId="33" xfId="675" applyNumberFormat="1" applyFont="1" applyFill="1" applyBorder="1"/>
    <xf numFmtId="0" fontId="117" fillId="76" borderId="0" xfId="675" applyFont="1" applyFill="1"/>
    <xf numFmtId="49" fontId="114" fillId="73" borderId="33" xfId="675" applyNumberFormat="1" applyFont="1" applyFill="1" applyBorder="1" applyAlignment="1">
      <alignment horizontal="left"/>
    </xf>
    <xf numFmtId="0" fontId="114" fillId="73" borderId="33" xfId="675" applyFont="1" applyFill="1" applyBorder="1"/>
    <xf numFmtId="0" fontId="84" fillId="76" borderId="0" xfId="675" applyFont="1" applyFill="1" applyAlignment="1">
      <alignment horizontal="left"/>
    </xf>
    <xf numFmtId="0" fontId="84" fillId="76" borderId="0" xfId="675" applyFont="1" applyFill="1" applyAlignment="1">
      <alignment horizontal="center"/>
    </xf>
    <xf numFmtId="0" fontId="119" fillId="76" borderId="0" xfId="675" applyFont="1" applyFill="1"/>
    <xf numFmtId="1" fontId="114" fillId="0" borderId="0" xfId="675" applyNumberFormat="1" applyFont="1"/>
    <xf numFmtId="0" fontId="100" fillId="67" borderId="0" xfId="675" applyFont="1" applyFill="1" applyAlignment="1">
      <alignment horizontal="left"/>
    </xf>
    <xf numFmtId="0" fontId="100" fillId="67" borderId="0" xfId="675" applyFont="1" applyFill="1" applyAlignment="1">
      <alignment horizontal="right"/>
    </xf>
    <xf numFmtId="0" fontId="16" fillId="72" borderId="0" xfId="675" applyFill="1"/>
    <xf numFmtId="0" fontId="114" fillId="72" borderId="0" xfId="675" applyFont="1" applyFill="1" applyAlignment="1">
      <alignment horizontal="center"/>
    </xf>
    <xf numFmtId="0" fontId="115" fillId="72" borderId="0" xfId="675" applyFont="1" applyFill="1" applyAlignment="1">
      <alignment horizontal="left"/>
    </xf>
    <xf numFmtId="0" fontId="114" fillId="72" borderId="0" xfId="675" applyFont="1" applyFill="1"/>
    <xf numFmtId="165" fontId="114" fillId="72" borderId="0" xfId="675" applyNumberFormat="1" applyFont="1" applyFill="1"/>
    <xf numFmtId="43" fontId="114" fillId="72" borderId="0" xfId="676" applyFont="1" applyFill="1"/>
    <xf numFmtId="1" fontId="114" fillId="72" borderId="0" xfId="676" applyNumberFormat="1" applyFont="1" applyFill="1"/>
    <xf numFmtId="14" fontId="114" fillId="72" borderId="0" xfId="675" applyNumberFormat="1" applyFont="1" applyFill="1"/>
    <xf numFmtId="0" fontId="19" fillId="72" borderId="0" xfId="385" applyFont="1" applyFill="1" applyAlignment="1">
      <alignment horizontal="right"/>
    </xf>
    <xf numFmtId="43" fontId="114" fillId="72" borderId="0" xfId="676" applyFont="1" applyFill="1" applyBorder="1"/>
    <xf numFmtId="1" fontId="114" fillId="72" borderId="0" xfId="676" applyNumberFormat="1" applyFont="1" applyFill="1" applyBorder="1"/>
    <xf numFmtId="0" fontId="17" fillId="0" borderId="0" xfId="668" applyFont="1" applyAlignment="1">
      <alignment horizontal="right"/>
    </xf>
    <xf numFmtId="168" fontId="105" fillId="0" borderId="0" xfId="0" applyNumberFormat="1" applyFont="1"/>
    <xf numFmtId="43" fontId="105" fillId="0" borderId="0" xfId="0" applyNumberFormat="1" applyFont="1"/>
    <xf numFmtId="0" fontId="100" fillId="80" borderId="0" xfId="681" applyFont="1" applyFill="1"/>
    <xf numFmtId="0" fontId="13" fillId="0" borderId="0" xfId="681"/>
    <xf numFmtId="0" fontId="13" fillId="81" borderId="0" xfId="681" applyFill="1"/>
    <xf numFmtId="0" fontId="84" fillId="81" borderId="0" xfId="681" applyFont="1" applyFill="1"/>
    <xf numFmtId="0" fontId="13" fillId="81" borderId="0" xfId="681" applyFill="1" applyAlignment="1">
      <alignment horizontal="right"/>
    </xf>
    <xf numFmtId="49" fontId="13" fillId="0" borderId="0" xfId="681" applyNumberFormat="1"/>
    <xf numFmtId="0" fontId="84" fillId="0" borderId="0" xfId="681" applyFont="1" applyAlignment="1">
      <alignment vertical="top"/>
    </xf>
    <xf numFmtId="171" fontId="123" fillId="82" borderId="51" xfId="682" quotePrefix="1" applyNumberFormat="1" applyFont="1" applyFill="1" applyBorder="1" applyAlignment="1">
      <alignment horizontal="left" vertical="top"/>
    </xf>
    <xf numFmtId="171" fontId="19" fillId="83" borderId="51" xfId="682" quotePrefix="1" applyNumberFormat="1" applyFill="1" applyBorder="1" applyAlignment="1">
      <alignment horizontal="left" vertical="top"/>
    </xf>
    <xf numFmtId="0" fontId="19" fillId="83" borderId="51" xfId="682" applyFill="1" applyBorder="1" applyAlignment="1">
      <alignment horizontal="center" vertical="top"/>
    </xf>
    <xf numFmtId="49" fontId="19" fillId="83" borderId="51" xfId="682" applyNumberFormat="1" applyFill="1" applyBorder="1" applyAlignment="1">
      <alignment horizontal="left" vertical="top" wrapText="1"/>
    </xf>
    <xf numFmtId="172" fontId="19" fillId="0" borderId="51" xfId="682" applyNumberFormat="1" applyBorder="1" applyAlignment="1">
      <alignment horizontal="center" vertical="top"/>
    </xf>
    <xf numFmtId="49" fontId="19" fillId="83" borderId="51" xfId="682" applyNumberFormat="1" applyFill="1" applyBorder="1" applyAlignment="1">
      <alignment horizontal="left" vertical="top"/>
    </xf>
    <xf numFmtId="172" fontId="19" fillId="83" borderId="51" xfId="682" applyNumberFormat="1" applyFill="1" applyBorder="1" applyAlignment="1">
      <alignment horizontal="center" vertical="top"/>
    </xf>
    <xf numFmtId="49" fontId="19" fillId="83" borderId="51" xfId="682" applyNumberFormat="1" applyFill="1" applyBorder="1" applyAlignment="1">
      <alignment horizontal="center" vertical="top"/>
    </xf>
    <xf numFmtId="0" fontId="19" fillId="81" borderId="51" xfId="682" applyFill="1" applyBorder="1" applyAlignment="1">
      <alignment horizontal="center" vertical="top"/>
    </xf>
    <xf numFmtId="168" fontId="19" fillId="81" borderId="52" xfId="683" applyNumberFormat="1" applyFont="1" applyFill="1" applyBorder="1" applyAlignment="1">
      <alignment vertical="top"/>
    </xf>
    <xf numFmtId="168" fontId="19" fillId="83" borderId="51" xfId="683" applyNumberFormat="1" applyFont="1" applyFill="1" applyBorder="1" applyAlignment="1">
      <alignment vertical="top"/>
    </xf>
    <xf numFmtId="168" fontId="19" fillId="83" borderId="53" xfId="683" applyNumberFormat="1" applyFont="1" applyFill="1" applyBorder="1" applyAlignment="1">
      <alignment vertical="top"/>
    </xf>
    <xf numFmtId="37" fontId="19" fillId="0" borderId="0" xfId="682" applyNumberFormat="1" applyAlignment="1">
      <alignment horizontal="center"/>
    </xf>
    <xf numFmtId="168" fontId="124" fillId="84" borderId="51" xfId="683" applyNumberFormat="1" applyFont="1" applyFill="1" applyBorder="1" applyAlignment="1">
      <alignment horizontal="right" vertical="top"/>
    </xf>
    <xf numFmtId="172" fontId="19" fillId="84" borderId="51" xfId="682" applyNumberFormat="1" applyFill="1" applyBorder="1" applyAlignment="1">
      <alignment vertical="top"/>
    </xf>
    <xf numFmtId="49" fontId="19" fillId="83" borderId="51" xfId="682" applyNumberFormat="1" applyFill="1" applyBorder="1" applyAlignment="1">
      <alignment vertical="top" wrapText="1"/>
    </xf>
    <xf numFmtId="168" fontId="19" fillId="0" borderId="0" xfId="683" applyNumberFormat="1" applyFont="1" applyAlignment="1">
      <alignment vertical="top"/>
    </xf>
    <xf numFmtId="0" fontId="19" fillId="83" borderId="51" xfId="682" applyFill="1" applyBorder="1" applyAlignment="1">
      <alignment horizontal="left" vertical="top"/>
    </xf>
    <xf numFmtId="168" fontId="19" fillId="0" borderId="0" xfId="683" quotePrefix="1" applyNumberFormat="1" applyFont="1" applyAlignment="1">
      <alignment vertical="top"/>
    </xf>
    <xf numFmtId="168" fontId="19" fillId="84" borderId="0" xfId="683" applyNumberFormat="1" applyFont="1" applyFill="1" applyAlignment="1">
      <alignment vertical="top"/>
    </xf>
    <xf numFmtId="0" fontId="19" fillId="0" borderId="51" xfId="683" applyNumberFormat="1" applyFont="1" applyBorder="1" applyAlignment="1">
      <alignment horizontal="center" vertical="center"/>
    </xf>
    <xf numFmtId="0" fontId="125" fillId="0" borderId="51" xfId="681" applyFont="1" applyBorder="1" applyAlignment="1">
      <alignment horizontal="center" vertical="center"/>
    </xf>
    <xf numFmtId="0" fontId="13" fillId="0" borderId="0" xfId="681" applyAlignment="1">
      <alignment vertical="center"/>
    </xf>
    <xf numFmtId="43" fontId="126" fillId="0" borderId="51" xfId="683" applyFont="1" applyBorder="1" applyAlignment="1">
      <alignment horizontal="center" vertical="center"/>
    </xf>
    <xf numFmtId="0" fontId="126" fillId="0" borderId="51" xfId="681" applyFont="1" applyBorder="1" applyAlignment="1">
      <alignment horizontal="center" vertical="center"/>
    </xf>
    <xf numFmtId="168" fontId="126" fillId="0" borderId="51" xfId="683" applyNumberFormat="1" applyFont="1" applyBorder="1" applyAlignment="1">
      <alignment horizontal="center" vertical="center"/>
    </xf>
    <xf numFmtId="0" fontId="13" fillId="83" borderId="0" xfId="681" applyFill="1"/>
    <xf numFmtId="0" fontId="127" fillId="83" borderId="0" xfId="681" applyFont="1" applyFill="1"/>
    <xf numFmtId="0" fontId="100" fillId="83" borderId="0" xfId="681" applyFont="1" applyFill="1" applyAlignment="1">
      <alignment horizontal="right"/>
    </xf>
    <xf numFmtId="0" fontId="100" fillId="81" borderId="0" xfId="681" applyFont="1" applyFill="1" applyAlignment="1">
      <alignment horizontal="right"/>
    </xf>
    <xf numFmtId="0" fontId="13" fillId="83" borderId="0" xfId="681" quotePrefix="1" applyFill="1"/>
    <xf numFmtId="0" fontId="13" fillId="83" borderId="0" xfId="681" applyFill="1" applyAlignment="1">
      <alignment horizontal="right"/>
    </xf>
    <xf numFmtId="0" fontId="100" fillId="80" borderId="0" xfId="681" applyFont="1" applyFill="1" applyAlignment="1">
      <alignment horizontal="centerContinuous"/>
    </xf>
    <xf numFmtId="0" fontId="115" fillId="81" borderId="0" xfId="681" applyFont="1" applyFill="1" applyAlignment="1">
      <alignment horizontal="right"/>
    </xf>
    <xf numFmtId="0" fontId="13" fillId="85" borderId="0" xfId="681" applyFill="1" applyAlignment="1">
      <alignment horizontal="right"/>
    </xf>
    <xf numFmtId="0" fontId="13" fillId="85" borderId="0" xfId="681" applyFill="1"/>
    <xf numFmtId="37" fontId="19" fillId="0" borderId="0" xfId="682" applyNumberFormat="1"/>
    <xf numFmtId="0" fontId="128" fillId="0" borderId="0" xfId="681" applyFont="1" applyAlignment="1">
      <alignment horizontal="left"/>
    </xf>
    <xf numFmtId="0" fontId="128" fillId="0" borderId="0" xfId="681" applyFont="1"/>
    <xf numFmtId="0" fontId="128" fillId="0" borderId="0" xfId="681" applyFont="1" applyAlignment="1">
      <alignment horizontal="right"/>
    </xf>
    <xf numFmtId="49" fontId="124" fillId="81" borderId="0" xfId="682" applyNumberFormat="1" applyFont="1" applyFill="1" applyAlignment="1">
      <alignment horizontal="left"/>
    </xf>
    <xf numFmtId="37" fontId="129" fillId="0" borderId="0" xfId="682" applyNumberFormat="1" applyFont="1"/>
    <xf numFmtId="37" fontId="130" fillId="0" borderId="0" xfId="682" applyNumberFormat="1" applyFont="1" applyAlignment="1">
      <alignment wrapText="1"/>
    </xf>
    <xf numFmtId="37" fontId="130" fillId="0" borderId="0" xfId="682" applyNumberFormat="1" applyFont="1"/>
    <xf numFmtId="0" fontId="131" fillId="0" borderId="0" xfId="681" applyFont="1" applyAlignment="1">
      <alignment horizontal="right"/>
    </xf>
    <xf numFmtId="49" fontId="128" fillId="0" borderId="0" xfId="681" applyNumberFormat="1" applyFont="1" applyAlignment="1">
      <alignment horizontal="left"/>
    </xf>
    <xf numFmtId="49" fontId="128" fillId="0" borderId="0" xfId="681" applyNumberFormat="1" applyFont="1"/>
    <xf numFmtId="49" fontId="128" fillId="0" borderId="0" xfId="681" applyNumberFormat="1" applyFont="1" applyAlignment="1">
      <alignment horizontal="right"/>
    </xf>
    <xf numFmtId="0" fontId="124" fillId="83" borderId="0" xfId="682" applyFont="1" applyFill="1" applyAlignment="1">
      <alignment horizontal="left"/>
    </xf>
    <xf numFmtId="49" fontId="124" fillId="0" borderId="0" xfId="682" applyNumberFormat="1" applyFont="1" applyAlignment="1">
      <alignment horizontal="left"/>
    </xf>
    <xf numFmtId="49" fontId="132" fillId="0" borderId="0" xfId="682" applyNumberFormat="1" applyFont="1" applyAlignment="1">
      <alignment horizontal="center"/>
    </xf>
    <xf numFmtId="37" fontId="19" fillId="0" borderId="0" xfId="682" applyNumberFormat="1" applyAlignment="1">
      <alignment horizontal="left"/>
    </xf>
    <xf numFmtId="0" fontId="133" fillId="0" borderId="0" xfId="681" applyFont="1"/>
    <xf numFmtId="37" fontId="128" fillId="86" borderId="4" xfId="682" applyNumberFormat="1" applyFont="1" applyFill="1" applyBorder="1" applyAlignment="1">
      <alignment horizontal="left"/>
    </xf>
    <xf numFmtId="37" fontId="128" fillId="86" borderId="4" xfId="682" applyNumberFormat="1" applyFont="1" applyFill="1" applyBorder="1" applyAlignment="1">
      <alignment horizontal="center"/>
    </xf>
    <xf numFmtId="37" fontId="134" fillId="86" borderId="4" xfId="682" applyNumberFormat="1" applyFont="1" applyFill="1" applyBorder="1" applyAlignment="1">
      <alignment horizontal="center"/>
    </xf>
    <xf numFmtId="37" fontId="128" fillId="0" borderId="0" xfId="682" applyNumberFormat="1" applyFont="1" applyAlignment="1">
      <alignment horizontal="center"/>
    </xf>
    <xf numFmtId="0" fontId="87" fillId="87" borderId="0" xfId="680" applyFont="1" applyFill="1" applyAlignment="1">
      <alignment horizontal="centerContinuous"/>
    </xf>
    <xf numFmtId="37" fontId="135" fillId="0" borderId="0" xfId="682" applyNumberFormat="1" applyFont="1"/>
    <xf numFmtId="37" fontId="135" fillId="0" borderId="0" xfId="682" applyNumberFormat="1" applyFont="1" applyAlignment="1">
      <alignment horizontal="center"/>
    </xf>
    <xf numFmtId="37" fontId="136" fillId="0" borderId="0" xfId="682" applyNumberFormat="1" applyFont="1" applyAlignment="1">
      <alignment horizontal="centerContinuous"/>
    </xf>
    <xf numFmtId="37" fontId="135" fillId="0" borderId="0" xfId="682" applyNumberFormat="1" applyFont="1" applyAlignment="1">
      <alignment horizontal="centerContinuous"/>
    </xf>
    <xf numFmtId="0" fontId="13" fillId="0" borderId="0" xfId="681" applyAlignment="1">
      <alignment horizontal="centerContinuous"/>
    </xf>
    <xf numFmtId="0" fontId="84" fillId="76" borderId="0" xfId="679" applyFill="1" applyAlignment="1">
      <alignment horizontal="centerContinuous"/>
    </xf>
    <xf numFmtId="0" fontId="84" fillId="76" borderId="0" xfId="679" applyFill="1" applyAlignment="1">
      <alignment horizontal="center"/>
    </xf>
    <xf numFmtId="0" fontId="87" fillId="76" borderId="0" xfId="679" applyFont="1" applyFill="1" applyAlignment="1">
      <alignment horizontal="centerContinuous"/>
    </xf>
    <xf numFmtId="37" fontId="137" fillId="0" borderId="18" xfId="682" applyNumberFormat="1" applyFont="1" applyBorder="1" applyAlignment="1">
      <alignment horizontal="center" wrapText="1"/>
    </xf>
    <xf numFmtId="37" fontId="124" fillId="0" borderId="18" xfId="682" applyNumberFormat="1" applyFont="1" applyBorder="1" applyAlignment="1">
      <alignment horizontal="center" wrapText="1"/>
    </xf>
    <xf numFmtId="37" fontId="124" fillId="0" borderId="18" xfId="682" applyNumberFormat="1" applyFont="1" applyBorder="1" applyAlignment="1">
      <alignment horizontal="left" wrapText="1"/>
    </xf>
    <xf numFmtId="173" fontId="124" fillId="0" borderId="54" xfId="682" applyNumberFormat="1" applyFont="1" applyBorder="1" applyAlignment="1">
      <alignment horizontal="center"/>
    </xf>
    <xf numFmtId="173" fontId="124" fillId="0" borderId="32" xfId="682" applyNumberFormat="1" applyFont="1" applyBorder="1" applyAlignment="1">
      <alignment horizontal="center"/>
    </xf>
    <xf numFmtId="173" fontId="124" fillId="0" borderId="55" xfId="682" applyNumberFormat="1" applyFont="1" applyBorder="1" applyAlignment="1">
      <alignment horizontal="center"/>
    </xf>
    <xf numFmtId="172" fontId="124" fillId="73" borderId="18" xfId="682" applyNumberFormat="1" applyFont="1" applyFill="1" applyBorder="1" applyAlignment="1">
      <alignment horizontal="center"/>
    </xf>
    <xf numFmtId="0" fontId="138" fillId="0" borderId="0" xfId="681" applyFont="1"/>
    <xf numFmtId="1" fontId="139" fillId="0" borderId="0" xfId="682" applyNumberFormat="1" applyFont="1" applyAlignment="1">
      <alignment horizontal="center"/>
    </xf>
    <xf numFmtId="37" fontId="141" fillId="0" borderId="0" xfId="682" applyNumberFormat="1" applyFont="1" applyAlignment="1">
      <alignment horizontal="center"/>
    </xf>
    <xf numFmtId="37" fontId="124" fillId="0" borderId="0" xfId="682" applyNumberFormat="1" applyFont="1" applyAlignment="1">
      <alignment horizontal="center"/>
    </xf>
    <xf numFmtId="0" fontId="126" fillId="0" borderId="0" xfId="681" applyFont="1"/>
    <xf numFmtId="0" fontId="13" fillId="67" borderId="0" xfId="681" applyFill="1"/>
    <xf numFmtId="0" fontId="19" fillId="66" borderId="51" xfId="682" applyFill="1" applyBorder="1" applyAlignment="1">
      <alignment horizontal="left" vertical="top"/>
    </xf>
    <xf numFmtId="174" fontId="141" fillId="0" borderId="0" xfId="682" applyNumberFormat="1" applyFont="1"/>
    <xf numFmtId="174" fontId="19" fillId="0" borderId="0" xfId="682" applyNumberFormat="1"/>
    <xf numFmtId="0" fontId="19" fillId="0" borderId="0" xfId="682" applyAlignment="1">
      <alignment horizontal="center"/>
    </xf>
    <xf numFmtId="175" fontId="19" fillId="0" borderId="0" xfId="682" applyNumberFormat="1"/>
    <xf numFmtId="175" fontId="124" fillId="0" borderId="0" xfId="682" applyNumberFormat="1" applyFont="1"/>
    <xf numFmtId="37" fontId="124" fillId="0" borderId="0" xfId="682" applyNumberFormat="1" applyFont="1" applyAlignment="1">
      <alignment horizontal="right"/>
    </xf>
    <xf numFmtId="168" fontId="124" fillId="73" borderId="56" xfId="683" applyNumberFormat="1" applyFont="1" applyFill="1" applyBorder="1" applyAlignment="1">
      <alignment horizontal="right" vertical="top"/>
    </xf>
    <xf numFmtId="175" fontId="142" fillId="0" borderId="0" xfId="682" applyNumberFormat="1" applyFont="1"/>
    <xf numFmtId="168" fontId="13" fillId="0" borderId="0" xfId="681" applyNumberFormat="1"/>
    <xf numFmtId="0" fontId="100" fillId="0" borderId="0" xfId="681" applyFont="1"/>
    <xf numFmtId="0" fontId="87" fillId="76" borderId="4" xfId="684" applyFont="1" applyFill="1" applyBorder="1"/>
    <xf numFmtId="0" fontId="13" fillId="0" borderId="0" xfId="684"/>
    <xf numFmtId="176" fontId="13" fillId="0" borderId="0" xfId="252" applyNumberFormat="1" applyFont="1"/>
    <xf numFmtId="176" fontId="13" fillId="0" borderId="0" xfId="684" applyNumberFormat="1"/>
    <xf numFmtId="0" fontId="13" fillId="0" borderId="4" xfId="684" applyBorder="1"/>
    <xf numFmtId="176" fontId="13" fillId="0" borderId="4" xfId="252" applyNumberFormat="1" applyFont="1" applyBorder="1"/>
    <xf numFmtId="176" fontId="13" fillId="0" borderId="4" xfId="684" applyNumberFormat="1" applyBorder="1"/>
    <xf numFmtId="176" fontId="100" fillId="0" borderId="0" xfId="684" applyNumberFormat="1" applyFont="1"/>
    <xf numFmtId="49" fontId="114" fillId="73" borderId="35" xfId="675" applyNumberFormat="1" applyFont="1" applyFill="1" applyBorder="1" applyAlignment="1">
      <alignment horizontal="left"/>
    </xf>
    <xf numFmtId="49" fontId="114" fillId="73" borderId="34" xfId="675" applyNumberFormat="1" applyFont="1" applyFill="1" applyBorder="1" applyAlignment="1">
      <alignment horizontal="left"/>
    </xf>
    <xf numFmtId="0" fontId="11" fillId="0" borderId="0" xfId="675" applyFont="1"/>
    <xf numFmtId="168" fontId="105" fillId="33" borderId="0" xfId="0" applyNumberFormat="1" applyFont="1" applyFill="1"/>
    <xf numFmtId="0" fontId="105" fillId="0" borderId="0" xfId="468" applyFont="1"/>
    <xf numFmtId="168" fontId="21" fillId="0" borderId="0" xfId="673" applyNumberFormat="1" applyFont="1" applyFill="1" applyBorder="1" applyAlignment="1">
      <alignment horizontal="right"/>
    </xf>
    <xf numFmtId="168" fontId="21" fillId="72" borderId="0" xfId="673" applyNumberFormat="1" applyFont="1" applyFill="1" applyBorder="1" applyAlignment="1">
      <alignment horizontal="right"/>
    </xf>
    <xf numFmtId="0" fontId="105" fillId="72" borderId="0" xfId="0" applyFont="1" applyFill="1"/>
    <xf numFmtId="1" fontId="18" fillId="0" borderId="0" xfId="668" applyNumberFormat="1"/>
    <xf numFmtId="170" fontId="18" fillId="0" borderId="0" xfId="668" applyNumberFormat="1"/>
    <xf numFmtId="0" fontId="10" fillId="0" borderId="0" xfId="684" applyFont="1"/>
    <xf numFmtId="176" fontId="13" fillId="0" borderId="4" xfId="252" applyNumberFormat="1" applyFont="1" applyFill="1" applyBorder="1"/>
    <xf numFmtId="176" fontId="13" fillId="0" borderId="0" xfId="252" applyNumberFormat="1" applyFont="1" applyFill="1"/>
    <xf numFmtId="0" fontId="114" fillId="72" borderId="0" xfId="0" applyFont="1" applyFill="1" applyAlignment="1">
      <alignment horizontal="center"/>
    </xf>
    <xf numFmtId="0" fontId="115" fillId="72" borderId="0" xfId="0" applyFont="1" applyFill="1" applyAlignment="1">
      <alignment horizontal="left"/>
    </xf>
    <xf numFmtId="0" fontId="114" fillId="72" borderId="0" xfId="0" applyFont="1" applyFill="1"/>
    <xf numFmtId="165" fontId="114" fillId="72" borderId="0" xfId="0" applyNumberFormat="1" applyFont="1" applyFill="1"/>
    <xf numFmtId="43" fontId="114" fillId="72" borderId="0" xfId="188" applyFont="1" applyFill="1"/>
    <xf numFmtId="1" fontId="114" fillId="72" borderId="0" xfId="188" applyNumberFormat="1" applyFont="1" applyFill="1"/>
    <xf numFmtId="0" fontId="5" fillId="75" borderId="0" xfId="675" applyFont="1" applyFill="1" applyAlignment="1">
      <alignment horizontal="left"/>
    </xf>
    <xf numFmtId="168" fontId="18" fillId="0" borderId="0" xfId="668" applyNumberFormat="1"/>
    <xf numFmtId="43" fontId="18" fillId="0" borderId="0" xfId="668" applyNumberFormat="1"/>
    <xf numFmtId="0" fontId="87" fillId="76" borderId="4" xfId="684" applyFont="1" applyFill="1" applyBorder="1" applyAlignment="1">
      <alignment wrapText="1"/>
    </xf>
    <xf numFmtId="43" fontId="21" fillId="0" borderId="18" xfId="188" applyFont="1" applyFill="1" applyBorder="1"/>
    <xf numFmtId="168" fontId="21" fillId="0" borderId="18" xfId="188" applyNumberFormat="1" applyFont="1" applyFill="1" applyBorder="1"/>
    <xf numFmtId="168" fontId="21" fillId="0" borderId="48" xfId="188" applyNumberFormat="1" applyFont="1" applyFill="1" applyBorder="1"/>
    <xf numFmtId="9" fontId="105" fillId="33" borderId="0" xfId="608" applyFont="1" applyFill="1" applyAlignment="1">
      <alignment horizontal="center"/>
    </xf>
    <xf numFmtId="0" fontId="18" fillId="72" borderId="0" xfId="668" applyFill="1"/>
    <xf numFmtId="0" fontId="5" fillId="72" borderId="0" xfId="668" applyFont="1" applyFill="1"/>
    <xf numFmtId="177" fontId="74" fillId="70" borderId="0" xfId="671" applyNumberFormat="1" applyFont="1" applyFill="1" applyAlignment="1">
      <alignment horizontal="right"/>
    </xf>
    <xf numFmtId="44" fontId="122" fillId="79" borderId="50" xfId="0" applyNumberFormat="1" applyFont="1" applyFill="1" applyBorder="1"/>
    <xf numFmtId="168" fontId="0" fillId="88" borderId="0" xfId="188" applyNumberFormat="1" applyFont="1" applyFill="1"/>
    <xf numFmtId="0" fontId="12" fillId="72" borderId="0" xfId="668" applyFont="1" applyFill="1" applyAlignment="1">
      <alignment horizontal="right"/>
    </xf>
    <xf numFmtId="0" fontId="12" fillId="72" borderId="0" xfId="668" applyFont="1" applyFill="1"/>
    <xf numFmtId="0" fontId="4" fillId="72" borderId="0" xfId="668" applyFont="1" applyFill="1"/>
    <xf numFmtId="0" fontId="6" fillId="72" borderId="0" xfId="668" applyFont="1" applyFill="1"/>
    <xf numFmtId="0" fontId="7" fillId="72" borderId="0" xfId="675" applyFont="1" applyFill="1"/>
    <xf numFmtId="0" fontId="7" fillId="72" borderId="0" xfId="668" applyFont="1" applyFill="1"/>
    <xf numFmtId="0" fontId="8" fillId="72" borderId="0" xfId="668" applyFont="1" applyFill="1"/>
    <xf numFmtId="0" fontId="9" fillId="72" borderId="0" xfId="668" applyFont="1" applyFill="1"/>
    <xf numFmtId="0" fontId="3" fillId="72" borderId="0" xfId="668" applyFont="1" applyFill="1"/>
    <xf numFmtId="43" fontId="114" fillId="0" borderId="0" xfId="676" applyFont="1" applyFill="1"/>
    <xf numFmtId="1" fontId="114" fillId="0" borderId="0" xfId="676" applyNumberFormat="1" applyFont="1" applyFill="1"/>
    <xf numFmtId="37" fontId="106" fillId="0" borderId="0" xfId="0" applyNumberFormat="1" applyFont="1" applyAlignment="1">
      <alignment horizontal="left"/>
    </xf>
    <xf numFmtId="37" fontId="106" fillId="0" borderId="0" xfId="0" applyNumberFormat="1" applyFont="1" applyAlignment="1">
      <alignment horizontal="right"/>
    </xf>
    <xf numFmtId="0" fontId="2" fillId="0" borderId="0" xfId="668" applyFont="1"/>
    <xf numFmtId="0" fontId="1" fillId="0" borderId="0" xfId="685"/>
    <xf numFmtId="0" fontId="1" fillId="0" borderId="0" xfId="685" applyAlignment="1">
      <alignment wrapText="1"/>
    </xf>
    <xf numFmtId="0" fontId="1" fillId="0" borderId="4" xfId="685" applyBorder="1"/>
    <xf numFmtId="0" fontId="100" fillId="0" borderId="4" xfId="685" applyFont="1" applyBorder="1"/>
    <xf numFmtId="0" fontId="100" fillId="0" borderId="4" xfId="685" applyFont="1" applyBorder="1" applyAlignment="1">
      <alignment horizontal="left"/>
    </xf>
    <xf numFmtId="37" fontId="100" fillId="0" borderId="4" xfId="685" applyNumberFormat="1" applyFont="1" applyBorder="1"/>
    <xf numFmtId="168" fontId="22" fillId="0" borderId="0" xfId="188" applyNumberFormat="1" applyFont="1" applyFill="1" applyBorder="1"/>
    <xf numFmtId="0" fontId="120" fillId="0" borderId="0" xfId="670" applyFont="1" applyAlignment="1">
      <alignment horizontal="center" vertical="center"/>
    </xf>
    <xf numFmtId="0" fontId="22" fillId="0" borderId="0" xfId="0" applyFont="1" applyAlignment="1">
      <alignment horizontal="center"/>
    </xf>
    <xf numFmtId="14" fontId="22" fillId="0" borderId="0" xfId="0" quotePrefix="1" applyNumberFormat="1" applyFont="1" applyAlignment="1">
      <alignment horizontal="center"/>
    </xf>
    <xf numFmtId="43" fontId="21" fillId="0" borderId="48" xfId="188" applyFont="1" applyBorder="1"/>
    <xf numFmtId="0" fontId="56" fillId="0" borderId="0" xfId="685" applyFont="1" applyAlignment="1">
      <alignment horizontal="center"/>
    </xf>
    <xf numFmtId="9" fontId="19" fillId="0" borderId="0" xfId="686" applyFont="1" applyFill="1" applyBorder="1" applyAlignment="1">
      <alignment horizontal="center"/>
    </xf>
    <xf numFmtId="0" fontId="19" fillId="0" borderId="0" xfId="685" applyFont="1" applyAlignment="1">
      <alignment horizontal="center"/>
    </xf>
    <xf numFmtId="37" fontId="19" fillId="0" borderId="0" xfId="685" applyNumberFormat="1" applyFont="1"/>
    <xf numFmtId="168" fontId="19" fillId="0" borderId="0" xfId="687" applyNumberFormat="1" applyFont="1" applyFill="1" applyBorder="1" applyAlignment="1">
      <alignment horizontal="right"/>
    </xf>
    <xf numFmtId="168" fontId="19" fillId="70" borderId="0" xfId="673" applyNumberFormat="1" applyFont="1" applyFill="1" applyBorder="1" applyAlignment="1">
      <alignment horizontal="right"/>
    </xf>
    <xf numFmtId="0" fontId="143" fillId="0" borderId="0" xfId="685" applyFont="1" applyAlignment="1">
      <alignment horizontal="center"/>
    </xf>
    <xf numFmtId="0" fontId="143" fillId="0" borderId="0" xfId="685" applyFont="1" applyAlignment="1">
      <alignment horizontal="center" wrapText="1"/>
    </xf>
    <xf numFmtId="168" fontId="1" fillId="0" borderId="0" xfId="685" applyNumberFormat="1"/>
    <xf numFmtId="14" fontId="1" fillId="0" borderId="0" xfId="685" applyNumberFormat="1"/>
    <xf numFmtId="43" fontId="1" fillId="0" borderId="0" xfId="685" applyNumberFormat="1"/>
    <xf numFmtId="14" fontId="126" fillId="0" borderId="0" xfId="685" applyNumberFormat="1" applyFont="1"/>
    <xf numFmtId="0" fontId="126" fillId="0" borderId="0" xfId="685" applyFont="1" applyAlignment="1">
      <alignment horizontal="left"/>
    </xf>
    <xf numFmtId="40" fontId="19" fillId="0" borderId="0" xfId="685" applyNumberFormat="1" applyFont="1"/>
    <xf numFmtId="43" fontId="21" fillId="0" borderId="0" xfId="188" applyFont="1"/>
    <xf numFmtId="178" fontId="21" fillId="0" borderId="0" xfId="608" applyNumberFormat="1" applyFont="1"/>
    <xf numFmtId="170" fontId="19" fillId="0" borderId="0" xfId="685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4" fontId="102" fillId="0" borderId="0" xfId="0" applyNumberFormat="1" applyFont="1"/>
    <xf numFmtId="0" fontId="144" fillId="79" borderId="49" xfId="0" applyFont="1" applyFill="1" applyBorder="1" applyAlignment="1">
      <alignment horizontal="center"/>
    </xf>
    <xf numFmtId="0" fontId="120" fillId="73" borderId="36" xfId="670" applyFont="1" applyFill="1" applyBorder="1" applyAlignment="1">
      <alignment horizontal="center" vertical="center"/>
    </xf>
    <xf numFmtId="0" fontId="120" fillId="73" borderId="37" xfId="670" applyFont="1" applyFill="1" applyBorder="1" applyAlignment="1">
      <alignment horizontal="center" vertical="center"/>
    </xf>
    <xf numFmtId="0" fontId="120" fillId="73" borderId="38" xfId="670" applyFont="1" applyFill="1" applyBorder="1" applyAlignment="1">
      <alignment horizontal="center" vertical="center"/>
    </xf>
    <xf numFmtId="0" fontId="120" fillId="73" borderId="39" xfId="670" applyFont="1" applyFill="1" applyBorder="1" applyAlignment="1">
      <alignment horizontal="center" vertical="center"/>
    </xf>
    <xf numFmtId="0" fontId="120" fillId="73" borderId="0" xfId="670" applyFont="1" applyFill="1" applyAlignment="1">
      <alignment horizontal="center" vertical="center"/>
    </xf>
    <xf numFmtId="0" fontId="120" fillId="73" borderId="40" xfId="670" applyFont="1" applyFill="1" applyBorder="1" applyAlignment="1">
      <alignment horizontal="center" vertical="center"/>
    </xf>
    <xf numFmtId="3" fontId="121" fillId="0" borderId="0" xfId="670" quotePrefix="1" applyNumberFormat="1" applyFont="1" applyAlignment="1">
      <alignment horizontal="center" vertical="center"/>
    </xf>
    <xf numFmtId="3" fontId="121" fillId="0" borderId="0" xfId="670" applyNumberFormat="1" applyFont="1" applyAlignment="1">
      <alignment horizontal="center" vertical="center"/>
    </xf>
    <xf numFmtId="0" fontId="118" fillId="76" borderId="0" xfId="675" applyFont="1" applyFill="1" applyAlignment="1">
      <alignment horizontal="center"/>
    </xf>
    <xf numFmtId="168" fontId="74" fillId="73" borderId="0" xfId="188" applyNumberFormat="1" applyFont="1" applyFill="1" applyBorder="1" applyAlignment="1">
      <alignment horizontal="center" wrapText="1"/>
    </xf>
    <xf numFmtId="43" fontId="74" fillId="73" borderId="0" xfId="188" applyFont="1" applyFill="1" applyBorder="1" applyAlignment="1">
      <alignment horizontal="center" wrapText="1"/>
    </xf>
  </cellXfs>
  <cellStyles count="688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4 2" xfId="7" xr:uid="{00000000-0005-0000-0000-000006000000}"/>
    <cellStyle name="20% - Accent1 5" xfId="8" xr:uid="{00000000-0005-0000-0000-000007000000}"/>
    <cellStyle name="20% - Accent2 2" xfId="9" xr:uid="{00000000-0005-0000-0000-000008000000}"/>
    <cellStyle name="20% - Accent2 3" xfId="10" xr:uid="{00000000-0005-0000-0000-000009000000}"/>
    <cellStyle name="20% - Accent2 3 2" xfId="11" xr:uid="{00000000-0005-0000-0000-00000A000000}"/>
    <cellStyle name="20% - Accent2 4" xfId="12" xr:uid="{00000000-0005-0000-0000-00000B000000}"/>
    <cellStyle name="20% - Accent2 4 2" xfId="13" xr:uid="{00000000-0005-0000-0000-00000C000000}"/>
    <cellStyle name="20% - Accent2 5" xfId="14" xr:uid="{00000000-0005-0000-0000-00000D000000}"/>
    <cellStyle name="20% - Accent3 2" xfId="15" xr:uid="{00000000-0005-0000-0000-00000E000000}"/>
    <cellStyle name="20% - Accent3 3" xfId="16" xr:uid="{00000000-0005-0000-0000-00000F000000}"/>
    <cellStyle name="20% - Accent3 3 2" xfId="17" xr:uid="{00000000-0005-0000-0000-000010000000}"/>
    <cellStyle name="20% - Accent3 4" xfId="18" xr:uid="{00000000-0005-0000-0000-000011000000}"/>
    <cellStyle name="20% - Accent3 4 2" xfId="19" xr:uid="{00000000-0005-0000-0000-000012000000}"/>
    <cellStyle name="20% - Accent3 5" xfId="20" xr:uid="{00000000-0005-0000-0000-000013000000}"/>
    <cellStyle name="20% - Accent4 2" xfId="21" xr:uid="{00000000-0005-0000-0000-000014000000}"/>
    <cellStyle name="20% - Accent4 2 2" xfId="22" xr:uid="{00000000-0005-0000-0000-000015000000}"/>
    <cellStyle name="20% - Accent4 2 2 2" xfId="23" xr:uid="{00000000-0005-0000-0000-000016000000}"/>
    <cellStyle name="20% - Accent4 3" xfId="24" xr:uid="{00000000-0005-0000-0000-000017000000}"/>
    <cellStyle name="20% - Accent4 3 2" xfId="25" xr:uid="{00000000-0005-0000-0000-000018000000}"/>
    <cellStyle name="20% - Accent4 4" xfId="26" xr:uid="{00000000-0005-0000-0000-000019000000}"/>
    <cellStyle name="20% - Accent4 4 2" xfId="27" xr:uid="{00000000-0005-0000-0000-00001A000000}"/>
    <cellStyle name="20% - Accent4 5" xfId="28" xr:uid="{00000000-0005-0000-0000-00001B000000}"/>
    <cellStyle name="20% - Accent5 2" xfId="29" xr:uid="{00000000-0005-0000-0000-00001C000000}"/>
    <cellStyle name="20% - Accent5 3" xfId="30" xr:uid="{00000000-0005-0000-0000-00001D000000}"/>
    <cellStyle name="20% - Accent5 4" xfId="31" xr:uid="{00000000-0005-0000-0000-00001E000000}"/>
    <cellStyle name="20% - Accent5 4 2" xfId="32" xr:uid="{00000000-0005-0000-0000-00001F000000}"/>
    <cellStyle name="20% - Accent5 5" xfId="33" xr:uid="{00000000-0005-0000-0000-000020000000}"/>
    <cellStyle name="20% - Accent6 2" xfId="34" xr:uid="{00000000-0005-0000-0000-000021000000}"/>
    <cellStyle name="20% - Accent6 3" xfId="35" xr:uid="{00000000-0005-0000-0000-000022000000}"/>
    <cellStyle name="20% - Accent6 3 2" xfId="36" xr:uid="{00000000-0005-0000-0000-000023000000}"/>
    <cellStyle name="20% - Accent6 4" xfId="37" xr:uid="{00000000-0005-0000-0000-000024000000}"/>
    <cellStyle name="20% - Accent6 4 2" xfId="38" xr:uid="{00000000-0005-0000-0000-000025000000}"/>
    <cellStyle name="20% - Accent6 5" xfId="39" xr:uid="{00000000-0005-0000-0000-000026000000}"/>
    <cellStyle name="40% - Accent1 2" xfId="40" xr:uid="{00000000-0005-0000-0000-000027000000}"/>
    <cellStyle name="40% - Accent1 2 2" xfId="41" xr:uid="{00000000-0005-0000-0000-000028000000}"/>
    <cellStyle name="40% - Accent1 2 2 2" xfId="42" xr:uid="{00000000-0005-0000-0000-000029000000}"/>
    <cellStyle name="40% - Accent1 3" xfId="43" xr:uid="{00000000-0005-0000-0000-00002A000000}"/>
    <cellStyle name="40% - Accent1 3 2" xfId="44" xr:uid="{00000000-0005-0000-0000-00002B000000}"/>
    <cellStyle name="40% - Accent1 4" xfId="45" xr:uid="{00000000-0005-0000-0000-00002C000000}"/>
    <cellStyle name="40% - Accent1 4 2" xfId="46" xr:uid="{00000000-0005-0000-0000-00002D000000}"/>
    <cellStyle name="40% - Accent1 5" xfId="47" xr:uid="{00000000-0005-0000-0000-00002E000000}"/>
    <cellStyle name="40% - Accent2 2" xfId="48" xr:uid="{00000000-0005-0000-0000-00002F000000}"/>
    <cellStyle name="40% - Accent2 3" xfId="49" xr:uid="{00000000-0005-0000-0000-000030000000}"/>
    <cellStyle name="40% - Accent2 4" xfId="50" xr:uid="{00000000-0005-0000-0000-000031000000}"/>
    <cellStyle name="40% - Accent2 4 2" xfId="51" xr:uid="{00000000-0005-0000-0000-000032000000}"/>
    <cellStyle name="40% - Accent2 5" xfId="52" xr:uid="{00000000-0005-0000-0000-000033000000}"/>
    <cellStyle name="40% - Accent3 2" xfId="53" xr:uid="{00000000-0005-0000-0000-000034000000}"/>
    <cellStyle name="40% - Accent3 3" xfId="54" xr:uid="{00000000-0005-0000-0000-000035000000}"/>
    <cellStyle name="40% - Accent3 3 2" xfId="55" xr:uid="{00000000-0005-0000-0000-000036000000}"/>
    <cellStyle name="40% - Accent3 4" xfId="56" xr:uid="{00000000-0005-0000-0000-000037000000}"/>
    <cellStyle name="40% - Accent3 4 2" xfId="57" xr:uid="{00000000-0005-0000-0000-000038000000}"/>
    <cellStyle name="40% - Accent3 5" xfId="58" xr:uid="{00000000-0005-0000-0000-000039000000}"/>
    <cellStyle name="40% - Accent4 2" xfId="59" xr:uid="{00000000-0005-0000-0000-00003A000000}"/>
    <cellStyle name="40% - Accent4 2 2" xfId="60" xr:uid="{00000000-0005-0000-0000-00003B000000}"/>
    <cellStyle name="40% - Accent4 2 2 2" xfId="61" xr:uid="{00000000-0005-0000-0000-00003C000000}"/>
    <cellStyle name="40% - Accent4 3" xfId="62" xr:uid="{00000000-0005-0000-0000-00003D000000}"/>
    <cellStyle name="40% - Accent4 3 2" xfId="63" xr:uid="{00000000-0005-0000-0000-00003E000000}"/>
    <cellStyle name="40% - Accent4 4" xfId="64" xr:uid="{00000000-0005-0000-0000-00003F000000}"/>
    <cellStyle name="40% - Accent4 4 2" xfId="65" xr:uid="{00000000-0005-0000-0000-000040000000}"/>
    <cellStyle name="40% - Accent4 5" xfId="66" xr:uid="{00000000-0005-0000-0000-000041000000}"/>
    <cellStyle name="40% - Accent5 2" xfId="67" xr:uid="{00000000-0005-0000-0000-000042000000}"/>
    <cellStyle name="40% - Accent5 2 2" xfId="68" xr:uid="{00000000-0005-0000-0000-000043000000}"/>
    <cellStyle name="40% - Accent5 2 2 2" xfId="69" xr:uid="{00000000-0005-0000-0000-000044000000}"/>
    <cellStyle name="40% - Accent5 3" xfId="70" xr:uid="{00000000-0005-0000-0000-000045000000}"/>
    <cellStyle name="40% - Accent5 3 2" xfId="71" xr:uid="{00000000-0005-0000-0000-000046000000}"/>
    <cellStyle name="40% - Accent5 4" xfId="72" xr:uid="{00000000-0005-0000-0000-000047000000}"/>
    <cellStyle name="40% - Accent5 4 2" xfId="73" xr:uid="{00000000-0005-0000-0000-000048000000}"/>
    <cellStyle name="40% - Accent5 5" xfId="74" xr:uid="{00000000-0005-0000-0000-000049000000}"/>
    <cellStyle name="40% - Accent6 2" xfId="75" xr:uid="{00000000-0005-0000-0000-00004A000000}"/>
    <cellStyle name="40% - Accent6 2 2" xfId="76" xr:uid="{00000000-0005-0000-0000-00004B000000}"/>
    <cellStyle name="40% - Accent6 2 2 2" xfId="77" xr:uid="{00000000-0005-0000-0000-00004C000000}"/>
    <cellStyle name="40% - Accent6 3" xfId="78" xr:uid="{00000000-0005-0000-0000-00004D000000}"/>
    <cellStyle name="40% - Accent6 3 2" xfId="79" xr:uid="{00000000-0005-0000-0000-00004E000000}"/>
    <cellStyle name="40% - Accent6 4" xfId="80" xr:uid="{00000000-0005-0000-0000-00004F000000}"/>
    <cellStyle name="40% - Accent6 4 2" xfId="81" xr:uid="{00000000-0005-0000-0000-000050000000}"/>
    <cellStyle name="40% - Accent6 5" xfId="82" xr:uid="{00000000-0005-0000-0000-000051000000}"/>
    <cellStyle name="60% - Accent1 2" xfId="83" xr:uid="{00000000-0005-0000-0000-000052000000}"/>
    <cellStyle name="60% - Accent1 2 2" xfId="84" xr:uid="{00000000-0005-0000-0000-000053000000}"/>
    <cellStyle name="60% - Accent1 2 2 2" xfId="85" xr:uid="{00000000-0005-0000-0000-000054000000}"/>
    <cellStyle name="60% - Accent1 3" xfId="86" xr:uid="{00000000-0005-0000-0000-000055000000}"/>
    <cellStyle name="60% - Accent1 3 2" xfId="87" xr:uid="{00000000-0005-0000-0000-000056000000}"/>
    <cellStyle name="60% - Accent1 4" xfId="88" xr:uid="{00000000-0005-0000-0000-000057000000}"/>
    <cellStyle name="60% - Accent1 4 2" xfId="89" xr:uid="{00000000-0005-0000-0000-000058000000}"/>
    <cellStyle name="60% - Accent2 2" xfId="90" xr:uid="{00000000-0005-0000-0000-000059000000}"/>
    <cellStyle name="60% - Accent2 2 2" xfId="91" xr:uid="{00000000-0005-0000-0000-00005A000000}"/>
    <cellStyle name="60% - Accent2 2 2 2" xfId="92" xr:uid="{00000000-0005-0000-0000-00005B000000}"/>
    <cellStyle name="60% - Accent2 3" xfId="93" xr:uid="{00000000-0005-0000-0000-00005C000000}"/>
    <cellStyle name="60% - Accent2 3 2" xfId="94" xr:uid="{00000000-0005-0000-0000-00005D000000}"/>
    <cellStyle name="60% - Accent2 4" xfId="95" xr:uid="{00000000-0005-0000-0000-00005E000000}"/>
    <cellStyle name="60% - Accent2 4 2" xfId="96" xr:uid="{00000000-0005-0000-0000-00005F000000}"/>
    <cellStyle name="60% - Accent3 2" xfId="97" xr:uid="{00000000-0005-0000-0000-000060000000}"/>
    <cellStyle name="60% - Accent3 2 2" xfId="98" xr:uid="{00000000-0005-0000-0000-000061000000}"/>
    <cellStyle name="60% - Accent3 2 2 2" xfId="99" xr:uid="{00000000-0005-0000-0000-000062000000}"/>
    <cellStyle name="60% - Accent3 3" xfId="100" xr:uid="{00000000-0005-0000-0000-000063000000}"/>
    <cellStyle name="60% - Accent3 3 2" xfId="101" xr:uid="{00000000-0005-0000-0000-000064000000}"/>
    <cellStyle name="60% - Accent3 4" xfId="102" xr:uid="{00000000-0005-0000-0000-000065000000}"/>
    <cellStyle name="60% - Accent3 4 2" xfId="103" xr:uid="{00000000-0005-0000-0000-000066000000}"/>
    <cellStyle name="60% - Accent4 2" xfId="104" xr:uid="{00000000-0005-0000-0000-000067000000}"/>
    <cellStyle name="60% - Accent4 2 2" xfId="105" xr:uid="{00000000-0005-0000-0000-000068000000}"/>
    <cellStyle name="60% - Accent4 2 2 2" xfId="106" xr:uid="{00000000-0005-0000-0000-000069000000}"/>
    <cellStyle name="60% - Accent4 3" xfId="107" xr:uid="{00000000-0005-0000-0000-00006A000000}"/>
    <cellStyle name="60% - Accent4 3 2" xfId="108" xr:uid="{00000000-0005-0000-0000-00006B000000}"/>
    <cellStyle name="60% - Accent4 4" xfId="109" xr:uid="{00000000-0005-0000-0000-00006C000000}"/>
    <cellStyle name="60% - Accent4 4 2" xfId="110" xr:uid="{00000000-0005-0000-0000-00006D000000}"/>
    <cellStyle name="60% - Accent5 2" xfId="111" xr:uid="{00000000-0005-0000-0000-00006E000000}"/>
    <cellStyle name="60% - Accent5 2 2" xfId="112" xr:uid="{00000000-0005-0000-0000-00006F000000}"/>
    <cellStyle name="60% - Accent5 2 2 2" xfId="113" xr:uid="{00000000-0005-0000-0000-000070000000}"/>
    <cellStyle name="60% - Accent5 3" xfId="114" xr:uid="{00000000-0005-0000-0000-000071000000}"/>
    <cellStyle name="60% - Accent5 3 2" xfId="115" xr:uid="{00000000-0005-0000-0000-000072000000}"/>
    <cellStyle name="60% - Accent5 4" xfId="116" xr:uid="{00000000-0005-0000-0000-000073000000}"/>
    <cellStyle name="60% - Accent5 4 2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3 2" xfId="120" xr:uid="{00000000-0005-0000-0000-000077000000}"/>
    <cellStyle name="60% - Accent6 4" xfId="121" xr:uid="{00000000-0005-0000-0000-000078000000}"/>
    <cellStyle name="60% - Accent6 4 2" xfId="122" xr:uid="{00000000-0005-0000-0000-000079000000}"/>
    <cellStyle name="Accent1 2" xfId="123" xr:uid="{00000000-0005-0000-0000-00007A000000}"/>
    <cellStyle name="Accent1 2 2" xfId="124" xr:uid="{00000000-0005-0000-0000-00007B000000}"/>
    <cellStyle name="Accent1 2 2 2" xfId="125" xr:uid="{00000000-0005-0000-0000-00007C000000}"/>
    <cellStyle name="Accent1 3" xfId="126" xr:uid="{00000000-0005-0000-0000-00007D000000}"/>
    <cellStyle name="Accent1 3 2" xfId="127" xr:uid="{00000000-0005-0000-0000-00007E000000}"/>
    <cellStyle name="Accent1 4" xfId="128" xr:uid="{00000000-0005-0000-0000-00007F000000}"/>
    <cellStyle name="Accent1 4 2" xfId="129" xr:uid="{00000000-0005-0000-0000-000080000000}"/>
    <cellStyle name="Accent2" xfId="679" builtinId="33"/>
    <cellStyle name="Accent2 2" xfId="130" xr:uid="{00000000-0005-0000-0000-000081000000}"/>
    <cellStyle name="Accent2 2 2" xfId="131" xr:uid="{00000000-0005-0000-0000-000082000000}"/>
    <cellStyle name="Accent2 2 2 2" xfId="132" xr:uid="{00000000-0005-0000-0000-000083000000}"/>
    <cellStyle name="Accent2 3" xfId="133" xr:uid="{00000000-0005-0000-0000-000084000000}"/>
    <cellStyle name="Accent2 3 2" xfId="134" xr:uid="{00000000-0005-0000-0000-000085000000}"/>
    <cellStyle name="Accent2 4" xfId="135" xr:uid="{00000000-0005-0000-0000-000086000000}"/>
    <cellStyle name="Accent2 4 2" xfId="136" xr:uid="{00000000-0005-0000-0000-000087000000}"/>
    <cellStyle name="Accent3 2" xfId="137" xr:uid="{00000000-0005-0000-0000-000088000000}"/>
    <cellStyle name="Accent3 2 2" xfId="138" xr:uid="{00000000-0005-0000-0000-000089000000}"/>
    <cellStyle name="Accent3 2 2 2" xfId="139" xr:uid="{00000000-0005-0000-0000-00008A000000}"/>
    <cellStyle name="Accent3 3" xfId="140" xr:uid="{00000000-0005-0000-0000-00008B000000}"/>
    <cellStyle name="Accent3 3 2" xfId="141" xr:uid="{00000000-0005-0000-0000-00008C000000}"/>
    <cellStyle name="Accent3 4" xfId="142" xr:uid="{00000000-0005-0000-0000-00008D000000}"/>
    <cellStyle name="Accent3 4 2" xfId="143" xr:uid="{00000000-0005-0000-0000-00008E000000}"/>
    <cellStyle name="Accent4 2" xfId="144" xr:uid="{00000000-0005-0000-0000-00008F000000}"/>
    <cellStyle name="Accent4 2 2" xfId="145" xr:uid="{00000000-0005-0000-0000-000090000000}"/>
    <cellStyle name="Accent4 3" xfId="146" xr:uid="{00000000-0005-0000-0000-000091000000}"/>
    <cellStyle name="Accent4 3 2" xfId="147" xr:uid="{00000000-0005-0000-0000-000092000000}"/>
    <cellStyle name="Accent4 4" xfId="148" xr:uid="{00000000-0005-0000-0000-000093000000}"/>
    <cellStyle name="Accent4 4 2" xfId="149" xr:uid="{00000000-0005-0000-0000-000094000000}"/>
    <cellStyle name="Accent5 2" xfId="150" xr:uid="{00000000-0005-0000-0000-000095000000}"/>
    <cellStyle name="Accent5 2 2" xfId="151" xr:uid="{00000000-0005-0000-0000-000096000000}"/>
    <cellStyle name="Accent5 3" xfId="152" xr:uid="{00000000-0005-0000-0000-000097000000}"/>
    <cellStyle name="Accent5 4" xfId="153" xr:uid="{00000000-0005-0000-0000-000098000000}"/>
    <cellStyle name="Accent6" xfId="680" builtinId="49"/>
    <cellStyle name="Accent6 2" xfId="154" xr:uid="{00000000-0005-0000-0000-000099000000}"/>
    <cellStyle name="Accent6 2 2" xfId="155" xr:uid="{00000000-0005-0000-0000-00009A000000}"/>
    <cellStyle name="Accent6 2 2 2" xfId="156" xr:uid="{00000000-0005-0000-0000-00009B000000}"/>
    <cellStyle name="Accent6 3" xfId="157" xr:uid="{00000000-0005-0000-0000-00009C000000}"/>
    <cellStyle name="Accent6 3 2" xfId="158" xr:uid="{00000000-0005-0000-0000-00009D000000}"/>
    <cellStyle name="Accent6 4" xfId="159" xr:uid="{00000000-0005-0000-0000-00009E000000}"/>
    <cellStyle name="Accent6 4 2" xfId="160" xr:uid="{00000000-0005-0000-0000-00009F000000}"/>
    <cellStyle name="Accounting" xfId="161" xr:uid="{00000000-0005-0000-0000-0000A0000000}"/>
    <cellStyle name="Accounting 2" xfId="162" xr:uid="{00000000-0005-0000-0000-0000A1000000}"/>
    <cellStyle name="Accounting 3" xfId="163" xr:uid="{00000000-0005-0000-0000-0000A2000000}"/>
    <cellStyle name="Accounting_2011-11" xfId="164" xr:uid="{00000000-0005-0000-0000-0000A3000000}"/>
    <cellStyle name="Bad 2" xfId="165" xr:uid="{00000000-0005-0000-0000-0000A4000000}"/>
    <cellStyle name="Bad 2 2" xfId="166" xr:uid="{00000000-0005-0000-0000-0000A5000000}"/>
    <cellStyle name="Bad 2 2 2" xfId="167" xr:uid="{00000000-0005-0000-0000-0000A6000000}"/>
    <cellStyle name="Bad 3" xfId="168" xr:uid="{00000000-0005-0000-0000-0000A7000000}"/>
    <cellStyle name="Bad 3 2" xfId="169" xr:uid="{00000000-0005-0000-0000-0000A8000000}"/>
    <cellStyle name="Bad 4" xfId="170" xr:uid="{00000000-0005-0000-0000-0000A9000000}"/>
    <cellStyle name="Bad 4 2" xfId="171" xr:uid="{00000000-0005-0000-0000-0000AA000000}"/>
    <cellStyle name="Budget" xfId="172" xr:uid="{00000000-0005-0000-0000-0000AB000000}"/>
    <cellStyle name="Budget 2" xfId="173" xr:uid="{00000000-0005-0000-0000-0000AC000000}"/>
    <cellStyle name="Budget 3" xfId="174" xr:uid="{00000000-0005-0000-0000-0000AD000000}"/>
    <cellStyle name="Budget_2011-11" xfId="175" xr:uid="{00000000-0005-0000-0000-0000AE000000}"/>
    <cellStyle name="Calculation 2" xfId="176" xr:uid="{00000000-0005-0000-0000-0000AF000000}"/>
    <cellStyle name="Calculation 2 2" xfId="177" xr:uid="{00000000-0005-0000-0000-0000B0000000}"/>
    <cellStyle name="Calculation 2 2 2" xfId="178" xr:uid="{00000000-0005-0000-0000-0000B1000000}"/>
    <cellStyle name="Calculation 3" xfId="179" xr:uid="{00000000-0005-0000-0000-0000B2000000}"/>
    <cellStyle name="Calculation 3 2" xfId="180" xr:uid="{00000000-0005-0000-0000-0000B3000000}"/>
    <cellStyle name="Calculation 4" xfId="181" xr:uid="{00000000-0005-0000-0000-0000B4000000}"/>
    <cellStyle name="Calculation 4 2" xfId="182" xr:uid="{00000000-0005-0000-0000-0000B5000000}"/>
    <cellStyle name="Check Cell 2" xfId="183" xr:uid="{00000000-0005-0000-0000-0000B6000000}"/>
    <cellStyle name="Check Cell 2 2" xfId="184" xr:uid="{00000000-0005-0000-0000-0000B7000000}"/>
    <cellStyle name="Check Cell 3" xfId="185" xr:uid="{00000000-0005-0000-0000-0000B8000000}"/>
    <cellStyle name="Check Cell 4" xfId="186" xr:uid="{00000000-0005-0000-0000-0000B9000000}"/>
    <cellStyle name="combo" xfId="187" xr:uid="{00000000-0005-0000-0000-0000BA000000}"/>
    <cellStyle name="Comma" xfId="188" builtinId="3"/>
    <cellStyle name="Comma 10" xfId="189" xr:uid="{00000000-0005-0000-0000-0000BC000000}"/>
    <cellStyle name="Comma 10 2" xfId="190" xr:uid="{00000000-0005-0000-0000-0000BD000000}"/>
    <cellStyle name="Comma 11" xfId="191" xr:uid="{00000000-0005-0000-0000-0000BE000000}"/>
    <cellStyle name="Comma 11 2" xfId="192" xr:uid="{00000000-0005-0000-0000-0000BF000000}"/>
    <cellStyle name="Comma 12" xfId="193" xr:uid="{00000000-0005-0000-0000-0000C0000000}"/>
    <cellStyle name="Comma 12 2" xfId="194" xr:uid="{00000000-0005-0000-0000-0000C1000000}"/>
    <cellStyle name="Comma 12 3" xfId="195" xr:uid="{00000000-0005-0000-0000-0000C2000000}"/>
    <cellStyle name="Comma 13" xfId="196" xr:uid="{00000000-0005-0000-0000-0000C3000000}"/>
    <cellStyle name="Comma 14" xfId="197" xr:uid="{00000000-0005-0000-0000-0000C4000000}"/>
    <cellStyle name="Comma 15" xfId="198" xr:uid="{00000000-0005-0000-0000-0000C5000000}"/>
    <cellStyle name="Comma 16" xfId="199" xr:uid="{00000000-0005-0000-0000-0000C6000000}"/>
    <cellStyle name="Comma 16 2" xfId="200" xr:uid="{00000000-0005-0000-0000-0000C7000000}"/>
    <cellStyle name="Comma 17" xfId="201" xr:uid="{00000000-0005-0000-0000-0000C8000000}"/>
    <cellStyle name="Comma 18" xfId="202" xr:uid="{00000000-0005-0000-0000-0000C9000000}"/>
    <cellStyle name="Comma 18 2" xfId="203" xr:uid="{00000000-0005-0000-0000-0000CA000000}"/>
    <cellStyle name="Comma 19" xfId="204" xr:uid="{00000000-0005-0000-0000-0000CB000000}"/>
    <cellStyle name="Comma 2" xfId="205" xr:uid="{00000000-0005-0000-0000-0000CC000000}"/>
    <cellStyle name="Comma 2 2" xfId="206" xr:uid="{00000000-0005-0000-0000-0000CD000000}"/>
    <cellStyle name="Comma 2 2 2" xfId="207" xr:uid="{00000000-0005-0000-0000-0000CE000000}"/>
    <cellStyle name="Comma 2 2 2 2" xfId="208" xr:uid="{00000000-0005-0000-0000-0000CF000000}"/>
    <cellStyle name="Comma 2 2 2 2 2" xfId="673" xr:uid="{653FA6C4-01AB-4062-B0BD-892C78B6CF92}"/>
    <cellStyle name="Comma 2 3" xfId="209" xr:uid="{00000000-0005-0000-0000-0000D0000000}"/>
    <cellStyle name="Comma 2 3 2" xfId="210" xr:uid="{00000000-0005-0000-0000-0000D1000000}"/>
    <cellStyle name="Comma 2 4" xfId="211" xr:uid="{00000000-0005-0000-0000-0000D2000000}"/>
    <cellStyle name="Comma 2 4 2" xfId="212" xr:uid="{00000000-0005-0000-0000-0000D3000000}"/>
    <cellStyle name="Comma 2 4 3" xfId="213" xr:uid="{00000000-0005-0000-0000-0000D4000000}"/>
    <cellStyle name="Comma 2 5" xfId="214" xr:uid="{00000000-0005-0000-0000-0000D5000000}"/>
    <cellStyle name="Comma 2 6" xfId="215" xr:uid="{00000000-0005-0000-0000-0000D6000000}"/>
    <cellStyle name="Comma 2 6 2" xfId="216" xr:uid="{00000000-0005-0000-0000-0000D7000000}"/>
    <cellStyle name="Comma 2 7" xfId="217" xr:uid="{00000000-0005-0000-0000-0000D8000000}"/>
    <cellStyle name="Comma 2 8" xfId="218" xr:uid="{00000000-0005-0000-0000-0000D9000000}"/>
    <cellStyle name="Comma 20" xfId="219" xr:uid="{00000000-0005-0000-0000-0000DA000000}"/>
    <cellStyle name="Comma 21" xfId="669" xr:uid="{B61BF4A3-8406-471F-9328-465E20B864DB}"/>
    <cellStyle name="Comma 22" xfId="676" xr:uid="{61B465D0-828B-414C-AF33-0878A7048E47}"/>
    <cellStyle name="Comma 23" xfId="683" xr:uid="{D70D771D-2692-4BD0-ACE4-E5A6D4D48E97}"/>
    <cellStyle name="Comma 24" xfId="687" xr:uid="{EF4FB9BE-30E2-40C3-81B1-D9B0A01D6C9B}"/>
    <cellStyle name="Comma 3" xfId="220" xr:uid="{00000000-0005-0000-0000-0000DB000000}"/>
    <cellStyle name="Comma 3 2" xfId="221" xr:uid="{00000000-0005-0000-0000-0000DC000000}"/>
    <cellStyle name="Comma 3 2 2" xfId="222" xr:uid="{00000000-0005-0000-0000-0000DD000000}"/>
    <cellStyle name="Comma 3 3" xfId="223" xr:uid="{00000000-0005-0000-0000-0000DE000000}"/>
    <cellStyle name="Comma 3 4" xfId="224" xr:uid="{00000000-0005-0000-0000-0000DF000000}"/>
    <cellStyle name="Comma 4" xfId="225" xr:uid="{00000000-0005-0000-0000-0000E0000000}"/>
    <cellStyle name="Comma 4 2" xfId="226" xr:uid="{00000000-0005-0000-0000-0000E1000000}"/>
    <cellStyle name="Comma 4 2 2" xfId="227" xr:uid="{00000000-0005-0000-0000-0000E2000000}"/>
    <cellStyle name="Comma 4 2 2 2" xfId="228" xr:uid="{00000000-0005-0000-0000-0000E3000000}"/>
    <cellStyle name="Comma 4 3" xfId="229" xr:uid="{00000000-0005-0000-0000-0000E4000000}"/>
    <cellStyle name="Comma 4 4" xfId="230" xr:uid="{00000000-0005-0000-0000-0000E5000000}"/>
    <cellStyle name="Comma 4 5" xfId="231" xr:uid="{00000000-0005-0000-0000-0000E6000000}"/>
    <cellStyle name="Comma 4 6" xfId="232" xr:uid="{00000000-0005-0000-0000-0000E7000000}"/>
    <cellStyle name="Comma 5" xfId="233" xr:uid="{00000000-0005-0000-0000-0000E8000000}"/>
    <cellStyle name="Comma 5 2" xfId="234" xr:uid="{00000000-0005-0000-0000-0000E9000000}"/>
    <cellStyle name="Comma 6" xfId="235" xr:uid="{00000000-0005-0000-0000-0000EA000000}"/>
    <cellStyle name="Comma 6 2" xfId="236" xr:uid="{00000000-0005-0000-0000-0000EB000000}"/>
    <cellStyle name="Comma 6 2 2" xfId="237" xr:uid="{00000000-0005-0000-0000-0000EC000000}"/>
    <cellStyle name="Comma 7" xfId="238" xr:uid="{00000000-0005-0000-0000-0000ED000000}"/>
    <cellStyle name="Comma 7 2" xfId="239" xr:uid="{00000000-0005-0000-0000-0000EE000000}"/>
    <cellStyle name="Comma 8" xfId="240" xr:uid="{00000000-0005-0000-0000-0000EF000000}"/>
    <cellStyle name="Comma 8 2" xfId="241" xr:uid="{00000000-0005-0000-0000-0000F0000000}"/>
    <cellStyle name="Comma 8 2 2" xfId="242" xr:uid="{00000000-0005-0000-0000-0000F1000000}"/>
    <cellStyle name="Comma 9" xfId="243" xr:uid="{00000000-0005-0000-0000-0000F2000000}"/>
    <cellStyle name="Comma 9 2" xfId="244" xr:uid="{00000000-0005-0000-0000-0000F3000000}"/>
    <cellStyle name="Comma(2)" xfId="245" xr:uid="{00000000-0005-0000-0000-0000F4000000}"/>
    <cellStyle name="Comma0 - Style2" xfId="246" xr:uid="{00000000-0005-0000-0000-0000F5000000}"/>
    <cellStyle name="Comma1 - Style1" xfId="247" xr:uid="{00000000-0005-0000-0000-0000F6000000}"/>
    <cellStyle name="Comments" xfId="248" xr:uid="{00000000-0005-0000-0000-0000F7000000}"/>
    <cellStyle name="Currency" xfId="674" builtinId="4"/>
    <cellStyle name="Currency 10" xfId="249" xr:uid="{00000000-0005-0000-0000-0000F8000000}"/>
    <cellStyle name="Currency 11" xfId="250" xr:uid="{00000000-0005-0000-0000-0000F9000000}"/>
    <cellStyle name="Currency 2" xfId="251" xr:uid="{00000000-0005-0000-0000-0000FA000000}"/>
    <cellStyle name="Currency 2 2" xfId="252" xr:uid="{00000000-0005-0000-0000-0000FB000000}"/>
    <cellStyle name="Currency 2 2 2" xfId="253" xr:uid="{00000000-0005-0000-0000-0000FC000000}"/>
    <cellStyle name="Currency 2 2 3" xfId="254" xr:uid="{00000000-0005-0000-0000-0000FD000000}"/>
    <cellStyle name="Currency 2 2 3 2" xfId="255" xr:uid="{00000000-0005-0000-0000-0000FE000000}"/>
    <cellStyle name="Currency 2 3" xfId="256" xr:uid="{00000000-0005-0000-0000-0000FF000000}"/>
    <cellStyle name="Currency 2 3 2" xfId="257" xr:uid="{00000000-0005-0000-0000-000000010000}"/>
    <cellStyle name="Currency 2 4" xfId="258" xr:uid="{00000000-0005-0000-0000-000001010000}"/>
    <cellStyle name="Currency 2 4 2" xfId="259" xr:uid="{00000000-0005-0000-0000-000002010000}"/>
    <cellStyle name="Currency 2 5" xfId="260" xr:uid="{00000000-0005-0000-0000-000003010000}"/>
    <cellStyle name="Currency 2 6" xfId="261" xr:uid="{00000000-0005-0000-0000-000004010000}"/>
    <cellStyle name="Currency 2 7" xfId="262" xr:uid="{00000000-0005-0000-0000-000005010000}"/>
    <cellStyle name="Currency 3" xfId="263" xr:uid="{00000000-0005-0000-0000-000006010000}"/>
    <cellStyle name="Currency 3 2" xfId="264" xr:uid="{00000000-0005-0000-0000-000007010000}"/>
    <cellStyle name="Currency 3 3" xfId="265" xr:uid="{00000000-0005-0000-0000-000008010000}"/>
    <cellStyle name="Currency 4" xfId="266" xr:uid="{00000000-0005-0000-0000-000009010000}"/>
    <cellStyle name="Currency 5" xfId="267" xr:uid="{00000000-0005-0000-0000-00000A010000}"/>
    <cellStyle name="Currency 5 2" xfId="268" xr:uid="{00000000-0005-0000-0000-00000B010000}"/>
    <cellStyle name="Currency 6" xfId="269" xr:uid="{00000000-0005-0000-0000-00000C010000}"/>
    <cellStyle name="Currency 7" xfId="270" xr:uid="{00000000-0005-0000-0000-00000D010000}"/>
    <cellStyle name="Currency 8" xfId="271" xr:uid="{00000000-0005-0000-0000-00000E010000}"/>
    <cellStyle name="Currency 8 2" xfId="272" xr:uid="{00000000-0005-0000-0000-00000F010000}"/>
    <cellStyle name="Currency 8 3" xfId="273" xr:uid="{00000000-0005-0000-0000-000010010000}"/>
    <cellStyle name="Currency 9" xfId="274" xr:uid="{00000000-0005-0000-0000-000011010000}"/>
    <cellStyle name="Data Enter" xfId="275" xr:uid="{00000000-0005-0000-0000-000012010000}"/>
    <cellStyle name="date" xfId="276" xr:uid="{00000000-0005-0000-0000-000013010000}"/>
    <cellStyle name="Explanatory Text 2" xfId="277" xr:uid="{00000000-0005-0000-0000-000014010000}"/>
    <cellStyle name="Explanatory Text 3" xfId="278" xr:uid="{00000000-0005-0000-0000-000015010000}"/>
    <cellStyle name="Explanatory Text 4" xfId="279" xr:uid="{00000000-0005-0000-0000-000016010000}"/>
    <cellStyle name="F9ReportControlStyle_ctpInquire" xfId="280" xr:uid="{00000000-0005-0000-0000-000017010000}"/>
    <cellStyle name="FactSheet" xfId="281" xr:uid="{00000000-0005-0000-0000-000018010000}"/>
    <cellStyle name="fish" xfId="282" xr:uid="{00000000-0005-0000-0000-000019010000}"/>
    <cellStyle name="Good 2" xfId="283" xr:uid="{00000000-0005-0000-0000-00001A010000}"/>
    <cellStyle name="Good 2 2" xfId="284" xr:uid="{00000000-0005-0000-0000-00001B010000}"/>
    <cellStyle name="Good 2 2 2" xfId="285" xr:uid="{00000000-0005-0000-0000-00001C010000}"/>
    <cellStyle name="Good 3" xfId="286" xr:uid="{00000000-0005-0000-0000-00001D010000}"/>
    <cellStyle name="Good 3 2" xfId="287" xr:uid="{00000000-0005-0000-0000-00001E010000}"/>
    <cellStyle name="Good 4" xfId="288" xr:uid="{00000000-0005-0000-0000-00001F010000}"/>
    <cellStyle name="Good 4 2" xfId="289" xr:uid="{00000000-0005-0000-0000-000020010000}"/>
    <cellStyle name="Good 5" xfId="290" xr:uid="{00000000-0005-0000-0000-000021010000}"/>
    <cellStyle name="Heading 1 2" xfId="291" xr:uid="{00000000-0005-0000-0000-000022010000}"/>
    <cellStyle name="Heading 1 2 2" xfId="292" xr:uid="{00000000-0005-0000-0000-000023010000}"/>
    <cellStyle name="Heading 1 2 2 2" xfId="293" xr:uid="{00000000-0005-0000-0000-000024010000}"/>
    <cellStyle name="Heading 1 3" xfId="294" xr:uid="{00000000-0005-0000-0000-000025010000}"/>
    <cellStyle name="Heading 1 3 2" xfId="295" xr:uid="{00000000-0005-0000-0000-000026010000}"/>
    <cellStyle name="Heading 1 4" xfId="296" xr:uid="{00000000-0005-0000-0000-000027010000}"/>
    <cellStyle name="Heading 1 4 2" xfId="297" xr:uid="{00000000-0005-0000-0000-000028010000}"/>
    <cellStyle name="Heading 2 2" xfId="298" xr:uid="{00000000-0005-0000-0000-000029010000}"/>
    <cellStyle name="Heading 2 2 2" xfId="299" xr:uid="{00000000-0005-0000-0000-00002A010000}"/>
    <cellStyle name="Heading 2 2 2 2" xfId="300" xr:uid="{00000000-0005-0000-0000-00002B010000}"/>
    <cellStyle name="Heading 2 3" xfId="301" xr:uid="{00000000-0005-0000-0000-00002C010000}"/>
    <cellStyle name="Heading 2 3 2" xfId="302" xr:uid="{00000000-0005-0000-0000-00002D010000}"/>
    <cellStyle name="Heading 2 4" xfId="303" xr:uid="{00000000-0005-0000-0000-00002E010000}"/>
    <cellStyle name="Heading 2 4 2" xfId="304" xr:uid="{00000000-0005-0000-0000-00002F010000}"/>
    <cellStyle name="Heading 3 2" xfId="305" xr:uid="{00000000-0005-0000-0000-000030010000}"/>
    <cellStyle name="Heading 3 2 2" xfId="306" xr:uid="{00000000-0005-0000-0000-000031010000}"/>
    <cellStyle name="Heading 3 2 2 2" xfId="307" xr:uid="{00000000-0005-0000-0000-000032010000}"/>
    <cellStyle name="Heading 3 3" xfId="308" xr:uid="{00000000-0005-0000-0000-000033010000}"/>
    <cellStyle name="Heading 3 3 2" xfId="309" xr:uid="{00000000-0005-0000-0000-000034010000}"/>
    <cellStyle name="Heading 3 4" xfId="310" xr:uid="{00000000-0005-0000-0000-000035010000}"/>
    <cellStyle name="Heading 3 4 2" xfId="311" xr:uid="{00000000-0005-0000-0000-000036010000}"/>
    <cellStyle name="Heading 4 2" xfId="312" xr:uid="{00000000-0005-0000-0000-000037010000}"/>
    <cellStyle name="Heading 4 2 2" xfId="313" xr:uid="{00000000-0005-0000-0000-000038010000}"/>
    <cellStyle name="Heading 4 3" xfId="314" xr:uid="{00000000-0005-0000-0000-000039010000}"/>
    <cellStyle name="Heading 4 3 2" xfId="315" xr:uid="{00000000-0005-0000-0000-00003A010000}"/>
    <cellStyle name="Heading 4 4" xfId="316" xr:uid="{00000000-0005-0000-0000-00003B010000}"/>
    <cellStyle name="Heading 4 4 2" xfId="317" xr:uid="{00000000-0005-0000-0000-00003C010000}"/>
    <cellStyle name="Hyperlink 2" xfId="318" xr:uid="{00000000-0005-0000-0000-00003D010000}"/>
    <cellStyle name="Hyperlink 2 2" xfId="319" xr:uid="{00000000-0005-0000-0000-00003E010000}"/>
    <cellStyle name="Hyperlink 2 2 2" xfId="320" xr:uid="{00000000-0005-0000-0000-00003F010000}"/>
    <cellStyle name="Hyperlink 3" xfId="321" xr:uid="{00000000-0005-0000-0000-000040010000}"/>
    <cellStyle name="Hyperlink 3 2" xfId="322" xr:uid="{00000000-0005-0000-0000-000041010000}"/>
    <cellStyle name="Hyperlink 3 2 2" xfId="323" xr:uid="{00000000-0005-0000-0000-000042010000}"/>
    <cellStyle name="Hyperlink 4" xfId="324" xr:uid="{00000000-0005-0000-0000-000043010000}"/>
    <cellStyle name="Hyperlink 4 2" xfId="325" xr:uid="{00000000-0005-0000-0000-000044010000}"/>
    <cellStyle name="Input 2" xfId="326" xr:uid="{00000000-0005-0000-0000-000045010000}"/>
    <cellStyle name="Input 2 2" xfId="327" xr:uid="{00000000-0005-0000-0000-000046010000}"/>
    <cellStyle name="Input 3" xfId="328" xr:uid="{00000000-0005-0000-0000-000047010000}"/>
    <cellStyle name="Input 3 2" xfId="329" xr:uid="{00000000-0005-0000-0000-000048010000}"/>
    <cellStyle name="Input 4" xfId="330" xr:uid="{00000000-0005-0000-0000-000049010000}"/>
    <cellStyle name="Input 4 2" xfId="331" xr:uid="{00000000-0005-0000-0000-00004A010000}"/>
    <cellStyle name="input(0)" xfId="332" xr:uid="{00000000-0005-0000-0000-00004B010000}"/>
    <cellStyle name="Input(2)" xfId="333" xr:uid="{00000000-0005-0000-0000-00004C010000}"/>
    <cellStyle name="Linked Cell 2" xfId="334" xr:uid="{00000000-0005-0000-0000-00004D010000}"/>
    <cellStyle name="Linked Cell 2 2" xfId="335" xr:uid="{00000000-0005-0000-0000-00004E010000}"/>
    <cellStyle name="Linked Cell 2 2 2" xfId="336" xr:uid="{00000000-0005-0000-0000-00004F010000}"/>
    <cellStyle name="Linked Cell 3" xfId="337" xr:uid="{00000000-0005-0000-0000-000050010000}"/>
    <cellStyle name="Linked Cell 3 2" xfId="338" xr:uid="{00000000-0005-0000-0000-000051010000}"/>
    <cellStyle name="Linked Cell 4" xfId="339" xr:uid="{00000000-0005-0000-0000-000052010000}"/>
    <cellStyle name="Linked Cell 4 2" xfId="340" xr:uid="{00000000-0005-0000-0000-000053010000}"/>
    <cellStyle name="Neutral 2" xfId="341" xr:uid="{00000000-0005-0000-0000-000054010000}"/>
    <cellStyle name="Neutral 2 2" xfId="342" xr:uid="{00000000-0005-0000-0000-000055010000}"/>
    <cellStyle name="Neutral 2 2 2" xfId="343" xr:uid="{00000000-0005-0000-0000-000056010000}"/>
    <cellStyle name="Neutral 3" xfId="344" xr:uid="{00000000-0005-0000-0000-000057010000}"/>
    <cellStyle name="Neutral 3 2" xfId="345" xr:uid="{00000000-0005-0000-0000-000058010000}"/>
    <cellStyle name="Neutral 4" xfId="346" xr:uid="{00000000-0005-0000-0000-000059010000}"/>
    <cellStyle name="Neutral 4 2" xfId="347" xr:uid="{00000000-0005-0000-0000-00005A010000}"/>
    <cellStyle name="New_normal" xfId="348" xr:uid="{00000000-0005-0000-0000-00005B010000}"/>
    <cellStyle name="Normal" xfId="0" builtinId="0"/>
    <cellStyle name="Normal - Style1" xfId="349" xr:uid="{00000000-0005-0000-0000-00005D010000}"/>
    <cellStyle name="Normal - Style2" xfId="350" xr:uid="{00000000-0005-0000-0000-00005E010000}"/>
    <cellStyle name="Normal - Style3" xfId="351" xr:uid="{00000000-0005-0000-0000-00005F010000}"/>
    <cellStyle name="Normal - Style4" xfId="352" xr:uid="{00000000-0005-0000-0000-000060010000}"/>
    <cellStyle name="Normal - Style5" xfId="353" xr:uid="{00000000-0005-0000-0000-000061010000}"/>
    <cellStyle name="Normal 10" xfId="354" xr:uid="{00000000-0005-0000-0000-000062010000}"/>
    <cellStyle name="Normal 10 2" xfId="355" xr:uid="{00000000-0005-0000-0000-000063010000}"/>
    <cellStyle name="Normal 10 2 2" xfId="356" xr:uid="{00000000-0005-0000-0000-000064010000}"/>
    <cellStyle name="Normal 10 2 3" xfId="357" xr:uid="{00000000-0005-0000-0000-000065010000}"/>
    <cellStyle name="Normal 10_2112 DF Schedule" xfId="358" xr:uid="{00000000-0005-0000-0000-000066010000}"/>
    <cellStyle name="Normal 100" xfId="681" xr:uid="{383AD435-FE19-4205-AAF6-DC275CA7A20F}"/>
    <cellStyle name="Normal 101" xfId="685" xr:uid="{EE230714-348F-4F65-84B3-552F0F1D7EA9}"/>
    <cellStyle name="Normal 11" xfId="359" xr:uid="{00000000-0005-0000-0000-000067010000}"/>
    <cellStyle name="Normal 11 2" xfId="360" xr:uid="{00000000-0005-0000-0000-000068010000}"/>
    <cellStyle name="Normal 12" xfId="361" xr:uid="{00000000-0005-0000-0000-000069010000}"/>
    <cellStyle name="Normal 12 2" xfId="362" xr:uid="{00000000-0005-0000-0000-00006A010000}"/>
    <cellStyle name="Normal 12 3" xfId="363" xr:uid="{00000000-0005-0000-0000-00006B010000}"/>
    <cellStyle name="Normal 13" xfId="364" xr:uid="{00000000-0005-0000-0000-00006C010000}"/>
    <cellStyle name="Normal 13 2" xfId="365" xr:uid="{00000000-0005-0000-0000-00006D010000}"/>
    <cellStyle name="Normal 13 2 2" xfId="366" xr:uid="{00000000-0005-0000-0000-00006E010000}"/>
    <cellStyle name="Normal 14" xfId="367" xr:uid="{00000000-0005-0000-0000-00006F010000}"/>
    <cellStyle name="Normal 14 2" xfId="368" xr:uid="{00000000-0005-0000-0000-000070010000}"/>
    <cellStyle name="Normal 14 2 2" xfId="369" xr:uid="{00000000-0005-0000-0000-000071010000}"/>
    <cellStyle name="Normal 15" xfId="370" xr:uid="{00000000-0005-0000-0000-000072010000}"/>
    <cellStyle name="Normal 15 2" xfId="371" xr:uid="{00000000-0005-0000-0000-000073010000}"/>
    <cellStyle name="Normal 15 2 2" xfId="372" xr:uid="{00000000-0005-0000-0000-000074010000}"/>
    <cellStyle name="Normal 155" xfId="677" xr:uid="{BF705975-3EAE-4959-80DE-A0A01292ADFE}"/>
    <cellStyle name="Normal 156" xfId="684" xr:uid="{26F681CC-C9E1-48CC-9C5A-FA670E164C0E}"/>
    <cellStyle name="Normal 16" xfId="373" xr:uid="{00000000-0005-0000-0000-000075010000}"/>
    <cellStyle name="Normal 16 2" xfId="374" xr:uid="{00000000-0005-0000-0000-000076010000}"/>
    <cellStyle name="Normal 16 2 2" xfId="375" xr:uid="{00000000-0005-0000-0000-000077010000}"/>
    <cellStyle name="Normal 17" xfId="376" xr:uid="{00000000-0005-0000-0000-000078010000}"/>
    <cellStyle name="Normal 17 2" xfId="377" xr:uid="{00000000-0005-0000-0000-000079010000}"/>
    <cellStyle name="Normal 17 2 2" xfId="378" xr:uid="{00000000-0005-0000-0000-00007A010000}"/>
    <cellStyle name="Normal 18" xfId="379" xr:uid="{00000000-0005-0000-0000-00007B010000}"/>
    <cellStyle name="Normal 18 2" xfId="380" xr:uid="{00000000-0005-0000-0000-00007C010000}"/>
    <cellStyle name="Normal 18 2 2" xfId="381" xr:uid="{00000000-0005-0000-0000-00007D010000}"/>
    <cellStyle name="Normal 19" xfId="382" xr:uid="{00000000-0005-0000-0000-00007E010000}"/>
    <cellStyle name="Normal 19 2" xfId="383" xr:uid="{00000000-0005-0000-0000-00007F010000}"/>
    <cellStyle name="Normal 19 2 2" xfId="384" xr:uid="{00000000-0005-0000-0000-000080010000}"/>
    <cellStyle name="Normal 2" xfId="385" xr:uid="{00000000-0005-0000-0000-000081010000}"/>
    <cellStyle name="Normal 2 10" xfId="666" xr:uid="{00000000-0005-0000-0000-000082010000}"/>
    <cellStyle name="Normal 2 2" xfId="386" xr:uid="{00000000-0005-0000-0000-000083010000}"/>
    <cellStyle name="Normal 2 2 2" xfId="387" xr:uid="{00000000-0005-0000-0000-000084010000}"/>
    <cellStyle name="Normal 2 2 2 2" xfId="388" xr:uid="{00000000-0005-0000-0000-000085010000}"/>
    <cellStyle name="Normal 2 2 3" xfId="389" xr:uid="{00000000-0005-0000-0000-000086010000}"/>
    <cellStyle name="Normal 2 2_Actual_Fuel" xfId="390" xr:uid="{00000000-0005-0000-0000-000087010000}"/>
    <cellStyle name="Normal 2 3" xfId="391" xr:uid="{00000000-0005-0000-0000-000088010000}"/>
    <cellStyle name="Normal 2 3 2" xfId="392" xr:uid="{00000000-0005-0000-0000-000089010000}"/>
    <cellStyle name="Normal 2 3 3" xfId="393" xr:uid="{00000000-0005-0000-0000-00008A010000}"/>
    <cellStyle name="Normal 2 3 3 2" xfId="394" xr:uid="{00000000-0005-0000-0000-00008B010000}"/>
    <cellStyle name="Normal 2 3 3 3" xfId="395" xr:uid="{00000000-0005-0000-0000-00008C010000}"/>
    <cellStyle name="Normal 2 3 4" xfId="396" xr:uid="{00000000-0005-0000-0000-00008D010000}"/>
    <cellStyle name="Normal 2 3 4 2" xfId="397" xr:uid="{00000000-0005-0000-0000-00008E010000}"/>
    <cellStyle name="Normal 2 4" xfId="398" xr:uid="{00000000-0005-0000-0000-00008F010000}"/>
    <cellStyle name="Normal 2 5" xfId="399" xr:uid="{00000000-0005-0000-0000-000090010000}"/>
    <cellStyle name="Normal 2 5 2" xfId="400" xr:uid="{00000000-0005-0000-0000-000091010000}"/>
    <cellStyle name="Normal 2 5 3" xfId="401" xr:uid="{00000000-0005-0000-0000-000092010000}"/>
    <cellStyle name="Normal 2 6" xfId="402" xr:uid="{00000000-0005-0000-0000-000093010000}"/>
    <cellStyle name="Normal 2 6 2" xfId="403" xr:uid="{00000000-0005-0000-0000-000094010000}"/>
    <cellStyle name="Normal 2 7" xfId="404" xr:uid="{00000000-0005-0000-0000-000095010000}"/>
    <cellStyle name="Normal 2 8" xfId="405" xr:uid="{00000000-0005-0000-0000-000096010000}"/>
    <cellStyle name="Normal 2 9" xfId="664" xr:uid="{00000000-0005-0000-0000-000097010000}"/>
    <cellStyle name="Normal 2_2012-10" xfId="406" xr:uid="{00000000-0005-0000-0000-000098010000}"/>
    <cellStyle name="Normal 20" xfId="407" xr:uid="{00000000-0005-0000-0000-000099010000}"/>
    <cellStyle name="Normal 20 2" xfId="408" xr:uid="{00000000-0005-0000-0000-00009A010000}"/>
    <cellStyle name="Normal 20 3" xfId="409" xr:uid="{00000000-0005-0000-0000-00009B010000}"/>
    <cellStyle name="Normal 21" xfId="410" xr:uid="{00000000-0005-0000-0000-00009C010000}"/>
    <cellStyle name="Normal 21 2" xfId="411" xr:uid="{00000000-0005-0000-0000-00009D010000}"/>
    <cellStyle name="Normal 21 3" xfId="412" xr:uid="{00000000-0005-0000-0000-00009E010000}"/>
    <cellStyle name="Normal 22" xfId="413" xr:uid="{00000000-0005-0000-0000-00009F010000}"/>
    <cellStyle name="Normal 22 2" xfId="414" xr:uid="{00000000-0005-0000-0000-0000A0010000}"/>
    <cellStyle name="Normal 22 3" xfId="415" xr:uid="{00000000-0005-0000-0000-0000A1010000}"/>
    <cellStyle name="Normal 23" xfId="416" xr:uid="{00000000-0005-0000-0000-0000A2010000}"/>
    <cellStyle name="Normal 23 2" xfId="417" xr:uid="{00000000-0005-0000-0000-0000A3010000}"/>
    <cellStyle name="Normal 23 3" xfId="418" xr:uid="{00000000-0005-0000-0000-0000A4010000}"/>
    <cellStyle name="Normal 24" xfId="419" xr:uid="{00000000-0005-0000-0000-0000A5010000}"/>
    <cellStyle name="Normal 24 2" xfId="420" xr:uid="{00000000-0005-0000-0000-0000A6010000}"/>
    <cellStyle name="Normal 24 3" xfId="421" xr:uid="{00000000-0005-0000-0000-0000A7010000}"/>
    <cellStyle name="Normal 25" xfId="422" xr:uid="{00000000-0005-0000-0000-0000A8010000}"/>
    <cellStyle name="Normal 25 2" xfId="423" xr:uid="{00000000-0005-0000-0000-0000A9010000}"/>
    <cellStyle name="Normal 25 3" xfId="424" xr:uid="{00000000-0005-0000-0000-0000AA010000}"/>
    <cellStyle name="Normal 26" xfId="425" xr:uid="{00000000-0005-0000-0000-0000AB010000}"/>
    <cellStyle name="Normal 26 2" xfId="426" xr:uid="{00000000-0005-0000-0000-0000AC010000}"/>
    <cellStyle name="Normal 26 3" xfId="427" xr:uid="{00000000-0005-0000-0000-0000AD010000}"/>
    <cellStyle name="Normal 26 4" xfId="428" xr:uid="{00000000-0005-0000-0000-0000AE010000}"/>
    <cellStyle name="Normal 27" xfId="429" xr:uid="{00000000-0005-0000-0000-0000AF010000}"/>
    <cellStyle name="Normal 27 2" xfId="430" xr:uid="{00000000-0005-0000-0000-0000B0010000}"/>
    <cellStyle name="Normal 27 3" xfId="431" xr:uid="{00000000-0005-0000-0000-0000B1010000}"/>
    <cellStyle name="Normal 28" xfId="432" xr:uid="{00000000-0005-0000-0000-0000B2010000}"/>
    <cellStyle name="Normal 28 2" xfId="433" xr:uid="{00000000-0005-0000-0000-0000B3010000}"/>
    <cellStyle name="Normal 28 2 2" xfId="434" xr:uid="{00000000-0005-0000-0000-0000B4010000}"/>
    <cellStyle name="Normal 28 3" xfId="435" xr:uid="{00000000-0005-0000-0000-0000B5010000}"/>
    <cellStyle name="Normal 28 4" xfId="436" xr:uid="{00000000-0005-0000-0000-0000B6010000}"/>
    <cellStyle name="Normal 29" xfId="437" xr:uid="{00000000-0005-0000-0000-0000B7010000}"/>
    <cellStyle name="Normal 29 2" xfId="438" xr:uid="{00000000-0005-0000-0000-0000B8010000}"/>
    <cellStyle name="Normal 29 3" xfId="439" xr:uid="{00000000-0005-0000-0000-0000B9010000}"/>
    <cellStyle name="Normal 29 4" xfId="440" xr:uid="{00000000-0005-0000-0000-0000BA010000}"/>
    <cellStyle name="Normal 3" xfId="441" xr:uid="{00000000-0005-0000-0000-0000BB010000}"/>
    <cellStyle name="Normal 3 2" xfId="442" xr:uid="{00000000-0005-0000-0000-0000BC010000}"/>
    <cellStyle name="Normal 3 2 2" xfId="443" xr:uid="{00000000-0005-0000-0000-0000BD010000}"/>
    <cellStyle name="Normal 3 2 3" xfId="444" xr:uid="{00000000-0005-0000-0000-0000BE010000}"/>
    <cellStyle name="Normal 3 3" xfId="445" xr:uid="{00000000-0005-0000-0000-0000BF010000}"/>
    <cellStyle name="Normal 3 3 2" xfId="446" xr:uid="{00000000-0005-0000-0000-0000C0010000}"/>
    <cellStyle name="Normal 3 4" xfId="447" xr:uid="{00000000-0005-0000-0000-0000C1010000}"/>
    <cellStyle name="Normal 3 4 2" xfId="448" xr:uid="{00000000-0005-0000-0000-0000C2010000}"/>
    <cellStyle name="Normal 3_2 Island Regulated Price Out 3 31 2012 Heather 5-15-2012" xfId="449" xr:uid="{00000000-0005-0000-0000-0000C3010000}"/>
    <cellStyle name="Normal 30" xfId="450" xr:uid="{00000000-0005-0000-0000-0000C4010000}"/>
    <cellStyle name="Normal 30 2" xfId="451" xr:uid="{00000000-0005-0000-0000-0000C5010000}"/>
    <cellStyle name="Normal 30 3" xfId="452" xr:uid="{00000000-0005-0000-0000-0000C6010000}"/>
    <cellStyle name="Normal 30 4" xfId="453" xr:uid="{00000000-0005-0000-0000-0000C7010000}"/>
    <cellStyle name="Normal 31" xfId="454" xr:uid="{00000000-0005-0000-0000-0000C8010000}"/>
    <cellStyle name="Normal 31 2" xfId="455" xr:uid="{00000000-0005-0000-0000-0000C9010000}"/>
    <cellStyle name="Normal 31 3" xfId="456" xr:uid="{00000000-0005-0000-0000-0000CA010000}"/>
    <cellStyle name="Normal 31 4" xfId="457" xr:uid="{00000000-0005-0000-0000-0000CB010000}"/>
    <cellStyle name="Normal 32" xfId="458" xr:uid="{00000000-0005-0000-0000-0000CC010000}"/>
    <cellStyle name="Normal 32 2" xfId="459" xr:uid="{00000000-0005-0000-0000-0000CD010000}"/>
    <cellStyle name="Normal 32 3" xfId="460" xr:uid="{00000000-0005-0000-0000-0000CE010000}"/>
    <cellStyle name="Normal 32 4" xfId="461" xr:uid="{00000000-0005-0000-0000-0000CF010000}"/>
    <cellStyle name="Normal 33" xfId="462" xr:uid="{00000000-0005-0000-0000-0000D0010000}"/>
    <cellStyle name="Normal 33 2" xfId="463" xr:uid="{00000000-0005-0000-0000-0000D1010000}"/>
    <cellStyle name="Normal 33 3" xfId="464" xr:uid="{00000000-0005-0000-0000-0000D2010000}"/>
    <cellStyle name="Normal 34" xfId="465" xr:uid="{00000000-0005-0000-0000-0000D3010000}"/>
    <cellStyle name="Normal 34 2" xfId="466" xr:uid="{00000000-0005-0000-0000-0000D4010000}"/>
    <cellStyle name="Normal 34 3" xfId="467" xr:uid="{00000000-0005-0000-0000-0000D5010000}"/>
    <cellStyle name="Normal 35" xfId="468" xr:uid="{00000000-0005-0000-0000-0000D6010000}"/>
    <cellStyle name="Normal 35 2" xfId="469" xr:uid="{00000000-0005-0000-0000-0000D7010000}"/>
    <cellStyle name="Normal 35 3" xfId="470" xr:uid="{00000000-0005-0000-0000-0000D8010000}"/>
    <cellStyle name="Normal 36" xfId="471" xr:uid="{00000000-0005-0000-0000-0000D9010000}"/>
    <cellStyle name="Normal 36 2" xfId="472" xr:uid="{00000000-0005-0000-0000-0000DA010000}"/>
    <cellStyle name="Normal 36 3" xfId="473" xr:uid="{00000000-0005-0000-0000-0000DB010000}"/>
    <cellStyle name="Normal 37" xfId="474" xr:uid="{00000000-0005-0000-0000-0000DC010000}"/>
    <cellStyle name="Normal 37 2" xfId="475" xr:uid="{00000000-0005-0000-0000-0000DD010000}"/>
    <cellStyle name="Normal 37 3" xfId="476" xr:uid="{00000000-0005-0000-0000-0000DE010000}"/>
    <cellStyle name="Normal 38" xfId="477" xr:uid="{00000000-0005-0000-0000-0000DF010000}"/>
    <cellStyle name="Normal 38 2" xfId="478" xr:uid="{00000000-0005-0000-0000-0000E0010000}"/>
    <cellStyle name="Normal 38 3" xfId="479" xr:uid="{00000000-0005-0000-0000-0000E1010000}"/>
    <cellStyle name="Normal 39" xfId="480" xr:uid="{00000000-0005-0000-0000-0000E2010000}"/>
    <cellStyle name="Normal 39 2" xfId="481" xr:uid="{00000000-0005-0000-0000-0000E3010000}"/>
    <cellStyle name="Normal 39 3" xfId="482" xr:uid="{00000000-0005-0000-0000-0000E4010000}"/>
    <cellStyle name="Normal 4" xfId="483" xr:uid="{00000000-0005-0000-0000-0000E5010000}"/>
    <cellStyle name="Normal 4 2" xfId="484" xr:uid="{00000000-0005-0000-0000-0000E6010000}"/>
    <cellStyle name="Normal 40" xfId="485" xr:uid="{00000000-0005-0000-0000-0000E7010000}"/>
    <cellStyle name="Normal 40 2" xfId="486" xr:uid="{00000000-0005-0000-0000-0000E8010000}"/>
    <cellStyle name="Normal 40 3" xfId="487" xr:uid="{00000000-0005-0000-0000-0000E9010000}"/>
    <cellStyle name="Normal 41" xfId="488" xr:uid="{00000000-0005-0000-0000-0000EA010000}"/>
    <cellStyle name="Normal 41 2" xfId="489" xr:uid="{00000000-0005-0000-0000-0000EB010000}"/>
    <cellStyle name="Normal 41 3" xfId="490" xr:uid="{00000000-0005-0000-0000-0000EC010000}"/>
    <cellStyle name="Normal 42" xfId="491" xr:uid="{00000000-0005-0000-0000-0000ED010000}"/>
    <cellStyle name="Normal 42 2" xfId="492" xr:uid="{00000000-0005-0000-0000-0000EE010000}"/>
    <cellStyle name="Normal 42 3" xfId="493" xr:uid="{00000000-0005-0000-0000-0000EF010000}"/>
    <cellStyle name="Normal 43" xfId="494" xr:uid="{00000000-0005-0000-0000-0000F0010000}"/>
    <cellStyle name="Normal 43 2" xfId="495" xr:uid="{00000000-0005-0000-0000-0000F1010000}"/>
    <cellStyle name="Normal 43 3" xfId="496" xr:uid="{00000000-0005-0000-0000-0000F2010000}"/>
    <cellStyle name="Normal 44" xfId="497" xr:uid="{00000000-0005-0000-0000-0000F3010000}"/>
    <cellStyle name="Normal 44 2" xfId="498" xr:uid="{00000000-0005-0000-0000-0000F4010000}"/>
    <cellStyle name="Normal 44 3" xfId="499" xr:uid="{00000000-0005-0000-0000-0000F5010000}"/>
    <cellStyle name="Normal 45" xfId="500" xr:uid="{00000000-0005-0000-0000-0000F6010000}"/>
    <cellStyle name="Normal 45 2" xfId="501" xr:uid="{00000000-0005-0000-0000-0000F7010000}"/>
    <cellStyle name="Normal 45 3" xfId="502" xr:uid="{00000000-0005-0000-0000-0000F8010000}"/>
    <cellStyle name="Normal 46" xfId="503" xr:uid="{00000000-0005-0000-0000-0000F9010000}"/>
    <cellStyle name="Normal 46 2" xfId="504" xr:uid="{00000000-0005-0000-0000-0000FA010000}"/>
    <cellStyle name="Normal 46 3" xfId="505" xr:uid="{00000000-0005-0000-0000-0000FB010000}"/>
    <cellStyle name="Normal 47" xfId="506" xr:uid="{00000000-0005-0000-0000-0000FC010000}"/>
    <cellStyle name="Normal 47 2" xfId="507" xr:uid="{00000000-0005-0000-0000-0000FD010000}"/>
    <cellStyle name="Normal 47 3" xfId="508" xr:uid="{00000000-0005-0000-0000-0000FE010000}"/>
    <cellStyle name="Normal 48" xfId="509" xr:uid="{00000000-0005-0000-0000-0000FF010000}"/>
    <cellStyle name="Normal 48 2" xfId="510" xr:uid="{00000000-0005-0000-0000-000000020000}"/>
    <cellStyle name="Normal 48 3" xfId="511" xr:uid="{00000000-0005-0000-0000-000001020000}"/>
    <cellStyle name="Normal 49" xfId="512" xr:uid="{00000000-0005-0000-0000-000002020000}"/>
    <cellStyle name="Normal 49 2" xfId="513" xr:uid="{00000000-0005-0000-0000-000003020000}"/>
    <cellStyle name="Normal 49 3" xfId="514" xr:uid="{00000000-0005-0000-0000-000004020000}"/>
    <cellStyle name="Normal 5" xfId="515" xr:uid="{00000000-0005-0000-0000-000005020000}"/>
    <cellStyle name="Normal 5 2" xfId="516" xr:uid="{00000000-0005-0000-0000-000006020000}"/>
    <cellStyle name="Normal 5 2 2" xfId="517" xr:uid="{00000000-0005-0000-0000-000007020000}"/>
    <cellStyle name="Normal 5_2112 DF Schedule" xfId="518" xr:uid="{00000000-0005-0000-0000-000008020000}"/>
    <cellStyle name="Normal 50" xfId="519" xr:uid="{00000000-0005-0000-0000-000009020000}"/>
    <cellStyle name="Normal 50 2" xfId="520" xr:uid="{00000000-0005-0000-0000-00000A020000}"/>
    <cellStyle name="Normal 50 3" xfId="521" xr:uid="{00000000-0005-0000-0000-00000B020000}"/>
    <cellStyle name="Normal 51" xfId="522" xr:uid="{00000000-0005-0000-0000-00000C020000}"/>
    <cellStyle name="Normal 51 2" xfId="523" xr:uid="{00000000-0005-0000-0000-00000D020000}"/>
    <cellStyle name="Normal 51 3" xfId="524" xr:uid="{00000000-0005-0000-0000-00000E020000}"/>
    <cellStyle name="Normal 52" xfId="525" xr:uid="{00000000-0005-0000-0000-00000F020000}"/>
    <cellStyle name="Normal 52 2" xfId="526" xr:uid="{00000000-0005-0000-0000-000010020000}"/>
    <cellStyle name="Normal 52 3" xfId="527" xr:uid="{00000000-0005-0000-0000-000011020000}"/>
    <cellStyle name="Normal 53" xfId="528" xr:uid="{00000000-0005-0000-0000-000012020000}"/>
    <cellStyle name="Normal 53 2" xfId="529" xr:uid="{00000000-0005-0000-0000-000013020000}"/>
    <cellStyle name="Normal 53 3" xfId="530" xr:uid="{00000000-0005-0000-0000-000014020000}"/>
    <cellStyle name="Normal 54" xfId="531" xr:uid="{00000000-0005-0000-0000-000015020000}"/>
    <cellStyle name="Normal 54 2" xfId="532" xr:uid="{00000000-0005-0000-0000-000016020000}"/>
    <cellStyle name="Normal 55" xfId="533" xr:uid="{00000000-0005-0000-0000-000017020000}"/>
    <cellStyle name="Normal 55 2" xfId="534" xr:uid="{00000000-0005-0000-0000-000018020000}"/>
    <cellStyle name="Normal 56" xfId="535" xr:uid="{00000000-0005-0000-0000-000019020000}"/>
    <cellStyle name="Normal 56 2" xfId="536" xr:uid="{00000000-0005-0000-0000-00001A020000}"/>
    <cellStyle name="Normal 57" xfId="537" xr:uid="{00000000-0005-0000-0000-00001B020000}"/>
    <cellStyle name="Normal 57 2" xfId="538" xr:uid="{00000000-0005-0000-0000-00001C020000}"/>
    <cellStyle name="Normal 58" xfId="539" xr:uid="{00000000-0005-0000-0000-00001D020000}"/>
    <cellStyle name="Normal 58 2" xfId="540" xr:uid="{00000000-0005-0000-0000-00001E020000}"/>
    <cellStyle name="Normal 59" xfId="541" xr:uid="{00000000-0005-0000-0000-00001F020000}"/>
    <cellStyle name="Normal 59 2" xfId="542" xr:uid="{00000000-0005-0000-0000-000020020000}"/>
    <cellStyle name="Normal 6" xfId="543" xr:uid="{00000000-0005-0000-0000-000021020000}"/>
    <cellStyle name="Normal 6 2" xfId="544" xr:uid="{00000000-0005-0000-0000-000022020000}"/>
    <cellStyle name="Normal 60" xfId="545" xr:uid="{00000000-0005-0000-0000-000023020000}"/>
    <cellStyle name="Normal 60 2" xfId="546" xr:uid="{00000000-0005-0000-0000-000024020000}"/>
    <cellStyle name="Normal 61" xfId="547" xr:uid="{00000000-0005-0000-0000-000025020000}"/>
    <cellStyle name="Normal 61 2" xfId="548" xr:uid="{00000000-0005-0000-0000-000026020000}"/>
    <cellStyle name="Normal 62" xfId="549" xr:uid="{00000000-0005-0000-0000-000027020000}"/>
    <cellStyle name="Normal 62 2" xfId="550" xr:uid="{00000000-0005-0000-0000-000028020000}"/>
    <cellStyle name="Normal 63" xfId="551" xr:uid="{00000000-0005-0000-0000-000029020000}"/>
    <cellStyle name="Normal 63 2" xfId="552" xr:uid="{00000000-0005-0000-0000-00002A020000}"/>
    <cellStyle name="Normal 64" xfId="553" xr:uid="{00000000-0005-0000-0000-00002B020000}"/>
    <cellStyle name="Normal 64 2" xfId="554" xr:uid="{00000000-0005-0000-0000-00002C020000}"/>
    <cellStyle name="Normal 65" xfId="555" xr:uid="{00000000-0005-0000-0000-00002D020000}"/>
    <cellStyle name="Normal 65 2" xfId="556" xr:uid="{00000000-0005-0000-0000-00002E020000}"/>
    <cellStyle name="Normal 66" xfId="557" xr:uid="{00000000-0005-0000-0000-00002F020000}"/>
    <cellStyle name="Normal 66 2" xfId="558" xr:uid="{00000000-0005-0000-0000-000030020000}"/>
    <cellStyle name="Normal 67" xfId="559" xr:uid="{00000000-0005-0000-0000-000031020000}"/>
    <cellStyle name="Normal 67 2" xfId="560" xr:uid="{00000000-0005-0000-0000-000032020000}"/>
    <cellStyle name="Normal 68" xfId="561" xr:uid="{00000000-0005-0000-0000-000033020000}"/>
    <cellStyle name="Normal 68 2" xfId="562" xr:uid="{00000000-0005-0000-0000-000034020000}"/>
    <cellStyle name="Normal 69" xfId="563" xr:uid="{00000000-0005-0000-0000-000035020000}"/>
    <cellStyle name="Normal 69 2" xfId="564" xr:uid="{00000000-0005-0000-0000-000036020000}"/>
    <cellStyle name="Normal 7" xfId="565" xr:uid="{00000000-0005-0000-0000-000037020000}"/>
    <cellStyle name="Normal 7 2" xfId="566" xr:uid="{00000000-0005-0000-0000-000038020000}"/>
    <cellStyle name="Normal 70" xfId="567" xr:uid="{00000000-0005-0000-0000-000039020000}"/>
    <cellStyle name="Normal 70 2" xfId="568" xr:uid="{00000000-0005-0000-0000-00003A020000}"/>
    <cellStyle name="Normal 71" xfId="569" xr:uid="{00000000-0005-0000-0000-00003B020000}"/>
    <cellStyle name="Normal 72" xfId="570" xr:uid="{00000000-0005-0000-0000-00003C020000}"/>
    <cellStyle name="Normal 73" xfId="571" xr:uid="{00000000-0005-0000-0000-00003D020000}"/>
    <cellStyle name="Normal 74" xfId="572" xr:uid="{00000000-0005-0000-0000-00003E020000}"/>
    <cellStyle name="Normal 75" xfId="573" xr:uid="{00000000-0005-0000-0000-00003F020000}"/>
    <cellStyle name="Normal 76" xfId="574" xr:uid="{00000000-0005-0000-0000-000040020000}"/>
    <cellStyle name="Normal 77" xfId="575" xr:uid="{00000000-0005-0000-0000-000041020000}"/>
    <cellStyle name="Normal 78" xfId="576" xr:uid="{00000000-0005-0000-0000-000042020000}"/>
    <cellStyle name="Normal 79" xfId="577" xr:uid="{00000000-0005-0000-0000-000043020000}"/>
    <cellStyle name="Normal 8" xfId="578" xr:uid="{00000000-0005-0000-0000-000044020000}"/>
    <cellStyle name="Normal 8 2" xfId="579" xr:uid="{00000000-0005-0000-0000-000045020000}"/>
    <cellStyle name="Normal 80" xfId="580" xr:uid="{00000000-0005-0000-0000-000046020000}"/>
    <cellStyle name="Normal 81" xfId="581" xr:uid="{00000000-0005-0000-0000-000047020000}"/>
    <cellStyle name="Normal 82" xfId="582" xr:uid="{00000000-0005-0000-0000-000048020000}"/>
    <cellStyle name="Normal 83" xfId="583" xr:uid="{00000000-0005-0000-0000-000049020000}"/>
    <cellStyle name="Normal 84" xfId="584" xr:uid="{00000000-0005-0000-0000-00004A020000}"/>
    <cellStyle name="Normal 85" xfId="585" xr:uid="{00000000-0005-0000-0000-00004B020000}"/>
    <cellStyle name="Normal 86" xfId="586" xr:uid="{00000000-0005-0000-0000-00004C020000}"/>
    <cellStyle name="Normal 87" xfId="587" xr:uid="{00000000-0005-0000-0000-00004D020000}"/>
    <cellStyle name="Normal 88" xfId="588" xr:uid="{00000000-0005-0000-0000-00004E020000}"/>
    <cellStyle name="Normal 89" xfId="589" xr:uid="{00000000-0005-0000-0000-00004F020000}"/>
    <cellStyle name="Normal 9" xfId="590" xr:uid="{00000000-0005-0000-0000-000050020000}"/>
    <cellStyle name="Normal 9 2" xfId="591" xr:uid="{00000000-0005-0000-0000-000051020000}"/>
    <cellStyle name="Normal 90" xfId="659" xr:uid="{00000000-0005-0000-0000-000052020000}"/>
    <cellStyle name="Normal 91" xfId="660" xr:uid="{00000000-0005-0000-0000-000053020000}"/>
    <cellStyle name="Normal 92" xfId="661" xr:uid="{00000000-0005-0000-0000-000054020000}"/>
    <cellStyle name="Normal 93" xfId="662" xr:uid="{00000000-0005-0000-0000-000055020000}"/>
    <cellStyle name="Normal 94" xfId="663" xr:uid="{00000000-0005-0000-0000-000056020000}"/>
    <cellStyle name="Normal 95" xfId="665" xr:uid="{00000000-0005-0000-0000-000057020000}"/>
    <cellStyle name="Normal 96" xfId="667" xr:uid="{00000000-0005-0000-0000-000058020000}"/>
    <cellStyle name="Normal 97" xfId="668" xr:uid="{AF24F4E3-914D-4A58-9C08-DB7B3DD1FA5C}"/>
    <cellStyle name="Normal 98" xfId="675" xr:uid="{56AE67FE-BBE3-454F-AD58-E50E1AFD9EA5}"/>
    <cellStyle name="Normal 99" xfId="678" xr:uid="{E714CA36-2D50-4545-8A52-FD2EB51BB94E}"/>
    <cellStyle name="Normal_Clark County Depr 12-31-10 R" xfId="671" xr:uid="{6C4489EC-5430-4C64-A137-DEAF8D149587}"/>
    <cellStyle name="Normal_Depr 2144 3-31-12" xfId="672" xr:uid="{7422A5E8-AE32-4304-9FA5-2F82C13F216B}"/>
    <cellStyle name="Normal_Depreciation 6-30-10" xfId="670" xr:uid="{19B68B2E-6181-4D31-9ECF-9A2AAD330E8F}"/>
    <cellStyle name="Normal_Report" xfId="682" xr:uid="{C6FE0227-C4DA-4B33-9836-CDFB99BD17C9}"/>
    <cellStyle name="Note 2" xfId="592" xr:uid="{00000000-0005-0000-0000-000059020000}"/>
    <cellStyle name="Note 2 2" xfId="593" xr:uid="{00000000-0005-0000-0000-00005A020000}"/>
    <cellStyle name="Note 2 2 2" xfId="594" xr:uid="{00000000-0005-0000-0000-00005B020000}"/>
    <cellStyle name="Note 3" xfId="595" xr:uid="{00000000-0005-0000-0000-00005C020000}"/>
    <cellStyle name="Note 3 2" xfId="596" xr:uid="{00000000-0005-0000-0000-00005D020000}"/>
    <cellStyle name="Note 3 3" xfId="597" xr:uid="{00000000-0005-0000-0000-00005E020000}"/>
    <cellStyle name="Note 4" xfId="598" xr:uid="{00000000-0005-0000-0000-00005F020000}"/>
    <cellStyle name="Note 4 2" xfId="599" xr:uid="{00000000-0005-0000-0000-000060020000}"/>
    <cellStyle name="Note 5" xfId="600" xr:uid="{00000000-0005-0000-0000-000061020000}"/>
    <cellStyle name="Notes" xfId="601" xr:uid="{00000000-0005-0000-0000-000062020000}"/>
    <cellStyle name="Output 2" xfId="602" xr:uid="{00000000-0005-0000-0000-000063020000}"/>
    <cellStyle name="Output 2 2" xfId="603" xr:uid="{00000000-0005-0000-0000-000064020000}"/>
    <cellStyle name="Output 3" xfId="604" xr:uid="{00000000-0005-0000-0000-000065020000}"/>
    <cellStyle name="Output 3 2" xfId="605" xr:uid="{00000000-0005-0000-0000-000066020000}"/>
    <cellStyle name="Output 4" xfId="606" xr:uid="{00000000-0005-0000-0000-000067020000}"/>
    <cellStyle name="Output 4 2" xfId="607" xr:uid="{00000000-0005-0000-0000-000068020000}"/>
    <cellStyle name="Percent" xfId="608" builtinId="5"/>
    <cellStyle name="Percent 10" xfId="609" xr:uid="{00000000-0005-0000-0000-00006A020000}"/>
    <cellStyle name="Percent 11" xfId="686" xr:uid="{DE7736BF-2E59-4645-B88C-2BADF61FF801}"/>
    <cellStyle name="Percent 2" xfId="610" xr:uid="{00000000-0005-0000-0000-00006B020000}"/>
    <cellStyle name="Percent 2 2" xfId="611" xr:uid="{00000000-0005-0000-0000-00006C020000}"/>
    <cellStyle name="Percent 2 3" xfId="612" xr:uid="{00000000-0005-0000-0000-00006D020000}"/>
    <cellStyle name="Percent 3" xfId="613" xr:uid="{00000000-0005-0000-0000-00006E020000}"/>
    <cellStyle name="Percent 4" xfId="614" xr:uid="{00000000-0005-0000-0000-00006F020000}"/>
    <cellStyle name="Percent 4 2" xfId="615" xr:uid="{00000000-0005-0000-0000-000070020000}"/>
    <cellStyle name="Percent 4 3" xfId="616" xr:uid="{00000000-0005-0000-0000-000071020000}"/>
    <cellStyle name="Percent 5" xfId="617" xr:uid="{00000000-0005-0000-0000-000072020000}"/>
    <cellStyle name="Percent 6" xfId="618" xr:uid="{00000000-0005-0000-0000-000073020000}"/>
    <cellStyle name="Percent 7" xfId="619" xr:uid="{00000000-0005-0000-0000-000074020000}"/>
    <cellStyle name="Percent 8" xfId="620" xr:uid="{00000000-0005-0000-0000-000075020000}"/>
    <cellStyle name="Percent 9" xfId="621" xr:uid="{00000000-0005-0000-0000-000076020000}"/>
    <cellStyle name="Percent(1)" xfId="622" xr:uid="{00000000-0005-0000-0000-000077020000}"/>
    <cellStyle name="Percent(2)" xfId="623" xr:uid="{00000000-0005-0000-0000-000078020000}"/>
    <cellStyle name="PRM" xfId="624" xr:uid="{00000000-0005-0000-0000-000079020000}"/>
    <cellStyle name="PRM 2" xfId="625" xr:uid="{00000000-0005-0000-0000-00007A020000}"/>
    <cellStyle name="PRM 3" xfId="626" xr:uid="{00000000-0005-0000-0000-00007B020000}"/>
    <cellStyle name="PRM_2011-11" xfId="627" xr:uid="{00000000-0005-0000-0000-00007C020000}"/>
    <cellStyle name="PSChar" xfId="628" xr:uid="{00000000-0005-0000-0000-00007D020000}"/>
    <cellStyle name="PSHeading" xfId="629" xr:uid="{00000000-0005-0000-0000-00007E020000}"/>
    <cellStyle name="STYL0 - Style1" xfId="630" xr:uid="{00000000-0005-0000-0000-00007F020000}"/>
    <cellStyle name="STYL1 - Style2" xfId="631" xr:uid="{00000000-0005-0000-0000-000080020000}"/>
    <cellStyle name="STYL2 - Style3" xfId="632" xr:uid="{00000000-0005-0000-0000-000081020000}"/>
    <cellStyle name="STYL3 - Style4" xfId="633" xr:uid="{00000000-0005-0000-0000-000082020000}"/>
    <cellStyle name="STYL4 - Style5" xfId="634" xr:uid="{00000000-0005-0000-0000-000083020000}"/>
    <cellStyle name="STYL5 - Style6" xfId="635" xr:uid="{00000000-0005-0000-0000-000084020000}"/>
    <cellStyle name="STYL6 - Style7" xfId="636" xr:uid="{00000000-0005-0000-0000-000085020000}"/>
    <cellStyle name="STYL7 - Style8" xfId="637" xr:uid="{00000000-0005-0000-0000-000086020000}"/>
    <cellStyle name="Style 1" xfId="638" xr:uid="{00000000-0005-0000-0000-000087020000}"/>
    <cellStyle name="Style 1 2" xfId="639" xr:uid="{00000000-0005-0000-0000-000088020000}"/>
    <cellStyle name="STYLE1" xfId="640" xr:uid="{00000000-0005-0000-0000-000089020000}"/>
    <cellStyle name="STYLE1 2" xfId="641" xr:uid="{00000000-0005-0000-0000-00008A020000}"/>
    <cellStyle name="sub heading" xfId="642" xr:uid="{00000000-0005-0000-0000-00008B020000}"/>
    <cellStyle name="Title 2" xfId="643" xr:uid="{00000000-0005-0000-0000-00008C020000}"/>
    <cellStyle name="Title 2 2" xfId="644" xr:uid="{00000000-0005-0000-0000-00008D020000}"/>
    <cellStyle name="Title 3" xfId="645" xr:uid="{00000000-0005-0000-0000-00008E020000}"/>
    <cellStyle name="Title 3 2" xfId="646" xr:uid="{00000000-0005-0000-0000-00008F020000}"/>
    <cellStyle name="Title 4" xfId="647" xr:uid="{00000000-0005-0000-0000-000090020000}"/>
    <cellStyle name="Title 4 2" xfId="648" xr:uid="{00000000-0005-0000-0000-000091020000}"/>
    <cellStyle name="Total 2" xfId="649" xr:uid="{00000000-0005-0000-0000-000092020000}"/>
    <cellStyle name="Total 2 2" xfId="650" xr:uid="{00000000-0005-0000-0000-000093020000}"/>
    <cellStyle name="Total 2 2 2" xfId="651" xr:uid="{00000000-0005-0000-0000-000094020000}"/>
    <cellStyle name="Total 3" xfId="652" xr:uid="{00000000-0005-0000-0000-000095020000}"/>
    <cellStyle name="Total 3 2" xfId="653" xr:uid="{00000000-0005-0000-0000-000096020000}"/>
    <cellStyle name="Total 4" xfId="654" xr:uid="{00000000-0005-0000-0000-000097020000}"/>
    <cellStyle name="Total 4 2" xfId="655" xr:uid="{00000000-0005-0000-0000-000098020000}"/>
    <cellStyle name="Warning Text 2" xfId="656" xr:uid="{00000000-0005-0000-0000-000099020000}"/>
    <cellStyle name="Warning Text 3" xfId="657" xr:uid="{00000000-0005-0000-0000-00009A020000}"/>
    <cellStyle name="Warning Text 4" xfId="658" xr:uid="{00000000-0005-0000-0000-00009B020000}"/>
  </cellStyles>
  <dxfs count="56"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70" formatCode="0.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/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colors>
    <mruColors>
      <color rgb="FF61D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12%20Olympic%20Disposal\Depreciation\2017\Olympic%20Depr%2012.31.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VKA\AppData\Local\Interject\FileCache\Capital%20-%20Budget%20Input%20v1.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VKA\AppData\Local\Interject\FileCache\FAR_v3d_v1.0.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12%20Olympic%20Disposal\Depreciation\2015\Depr%202148%206-30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112 Trks"/>
      <sheetName val="2112 Cont"/>
      <sheetName val="2112 Other"/>
    </sheetNames>
    <sheetDataSet>
      <sheetData sheetId="0">
        <row r="5">
          <cell r="F5">
            <v>42736</v>
          </cell>
          <cell r="H5">
            <v>43100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 t="str">
            <v>OK!: ReportRange Formula OK [jAction{}]</v>
          </cell>
        </row>
        <row r="23">
          <cell r="C23">
            <v>17444</v>
          </cell>
          <cell r="D23">
            <v>5026</v>
          </cell>
          <cell r="E23" t="str">
            <v>New CTE - Hook Lift 50K FRE 114SD w/ Galbreath</v>
          </cell>
          <cell r="F23" t="str">
            <v>N</v>
          </cell>
          <cell r="G23" t="str">
            <v>Package-Hook Lift</v>
          </cell>
          <cell r="H23" t="str">
            <v>Hook Lift</v>
          </cell>
          <cell r="I23">
            <v>250572</v>
          </cell>
          <cell r="J23"/>
        </row>
        <row r="24">
          <cell r="C24">
            <v>17445</v>
          </cell>
          <cell r="D24">
            <v>5026</v>
          </cell>
          <cell r="E24" t="str">
            <v>New FRE/McNeilus Rearload 3 Axle (25 yd Only)</v>
          </cell>
          <cell r="F24" t="str">
            <v>N</v>
          </cell>
          <cell r="G24" t="str">
            <v>Rear Loader</v>
          </cell>
          <cell r="H24" t="str">
            <v>Rear Loader</v>
          </cell>
          <cell r="I24">
            <v>298095</v>
          </cell>
          <cell r="J24"/>
        </row>
        <row r="30">
          <cell r="C30" t="str">
            <v>PO Subtype</v>
          </cell>
          <cell r="D30" t="str">
            <v>Truck Center System Type</v>
          </cell>
        </row>
        <row r="31">
          <cell r="C31" t="str">
            <v>Automated</v>
          </cell>
          <cell r="D31" t="str">
            <v>Automated Sideloader</v>
          </cell>
        </row>
        <row r="32">
          <cell r="C32" t="str">
            <v>Container Delivery Truck</v>
          </cell>
          <cell r="D32" t="str">
            <v>Container Delivery</v>
          </cell>
        </row>
        <row r="33">
          <cell r="C33" t="str">
            <v>Front Load</v>
          </cell>
          <cell r="D33" t="str">
            <v>Front Loader</v>
          </cell>
        </row>
        <row r="34">
          <cell r="C34" t="str">
            <v>Grapple Brush Truck</v>
          </cell>
          <cell r="D34" t="str">
            <v>Grapple Truck</v>
          </cell>
        </row>
        <row r="35">
          <cell r="C35" t="str">
            <v>Hook Lift</v>
          </cell>
          <cell r="D35" t="str">
            <v>Hook Lift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Sideloader</v>
          </cell>
          <cell r="D37" t="str">
            <v>Sideloader</v>
          </cell>
        </row>
        <row r="38">
          <cell r="C38" t="str">
            <v>Other Truck</v>
          </cell>
          <cell r="D38" t="str">
            <v>Other</v>
          </cell>
        </row>
        <row r="39">
          <cell r="C39" t="str">
            <v>Passenger Car</v>
          </cell>
          <cell r="D39" t="str">
            <v>Other</v>
          </cell>
        </row>
        <row r="40">
          <cell r="C40" t="str">
            <v>Pickup</v>
          </cell>
          <cell r="D40" t="str">
            <v>Pickup</v>
          </cell>
        </row>
        <row r="41">
          <cell r="C41" t="str">
            <v>Pumper Truck</v>
          </cell>
          <cell r="D41" t="str">
            <v>Pumper Truck</v>
          </cell>
        </row>
        <row r="42">
          <cell r="C42" t="str">
            <v>Rear Load</v>
          </cell>
          <cell r="D42" t="str">
            <v>Rear Loader</v>
          </cell>
        </row>
        <row r="43">
          <cell r="C43" t="str">
            <v>Recycle Truck</v>
          </cell>
          <cell r="D43" t="str">
            <v>Recycle</v>
          </cell>
        </row>
        <row r="44">
          <cell r="C44" t="str">
            <v>Retriever</v>
          </cell>
          <cell r="D44" t="str">
            <v>Retriever</v>
          </cell>
        </row>
        <row r="45">
          <cell r="C45" t="str">
            <v>Roll Off</v>
          </cell>
          <cell r="D45" t="str">
            <v>Roll Off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Service Truck</v>
          </cell>
          <cell r="D47" t="str">
            <v>Service Truck</v>
          </cell>
        </row>
        <row r="48">
          <cell r="C48" t="str">
            <v>Tipper Trailer</v>
          </cell>
          <cell r="D48" t="str">
            <v>Trailer</v>
          </cell>
        </row>
        <row r="49">
          <cell r="C49" t="str">
            <v>Walking Floor Trailer</v>
          </cell>
          <cell r="D49" t="str">
            <v>Trailer</v>
          </cell>
        </row>
        <row r="50">
          <cell r="C50" t="str">
            <v>Roll Off Pup Trailer</v>
          </cell>
          <cell r="D50" t="str">
            <v>Trailer</v>
          </cell>
        </row>
        <row r="51">
          <cell r="C51" t="str">
            <v>Other Trailer</v>
          </cell>
          <cell r="D51" t="str">
            <v>Trailer</v>
          </cell>
        </row>
        <row r="52">
          <cell r="C52" t="str">
            <v>Container Delivery Trailer</v>
          </cell>
          <cell r="D52" t="str">
            <v>Trailer</v>
          </cell>
        </row>
        <row r="53">
          <cell r="C53" t="str">
            <v>Railroad Cars</v>
          </cell>
          <cell r="D53" t="str">
            <v>Trailer</v>
          </cell>
        </row>
        <row r="54">
          <cell r="C54" t="str">
            <v>Barge</v>
          </cell>
          <cell r="D54" t="str">
            <v>Trailer</v>
          </cell>
        </row>
        <row r="55">
          <cell r="C55" t="str">
            <v>Transfer Tractor</v>
          </cell>
          <cell r="D55" t="str">
            <v>Transfer Tractor</v>
          </cell>
        </row>
        <row r="56">
          <cell r="C56" t="str">
            <v>ATV/Gator</v>
          </cell>
          <cell r="D56" t="str">
            <v>UTV</v>
          </cell>
        </row>
        <row r="57">
          <cell r="C57" t="str">
            <v>Yard Mule</v>
          </cell>
          <cell r="D57" t="str">
            <v>Yard Mule</v>
          </cell>
        </row>
        <row r="58">
          <cell r="C58" t="str">
            <v>Automated</v>
          </cell>
          <cell r="D58" t="str">
            <v>Automated Sideloader</v>
          </cell>
        </row>
        <row r="59">
          <cell r="C59" t="str">
            <v>Container Delivery Truck</v>
          </cell>
          <cell r="D59" t="str">
            <v>Container Delivery</v>
          </cell>
        </row>
        <row r="60">
          <cell r="C60" t="str">
            <v>Front Load</v>
          </cell>
          <cell r="D60" t="str">
            <v>Front Loader</v>
          </cell>
        </row>
        <row r="61">
          <cell r="C61" t="str">
            <v>Grapple Brush Truck</v>
          </cell>
          <cell r="D61" t="str">
            <v>Grapple Truck</v>
          </cell>
        </row>
        <row r="62">
          <cell r="C62" t="str">
            <v>Hook Lift</v>
          </cell>
          <cell r="D62" t="str">
            <v>Hook Lift</v>
          </cell>
        </row>
        <row r="63">
          <cell r="C63" t="str">
            <v>Sideloader</v>
          </cell>
          <cell r="D63" t="str">
            <v>Manual Sideloader</v>
          </cell>
        </row>
        <row r="64">
          <cell r="C64" t="str">
            <v>Other Truck</v>
          </cell>
          <cell r="D64" t="str">
            <v>Other</v>
          </cell>
        </row>
        <row r="65">
          <cell r="C65" t="str">
            <v>Pickup</v>
          </cell>
          <cell r="D65" t="str">
            <v>Pickup</v>
          </cell>
        </row>
        <row r="66">
          <cell r="C66" t="str">
            <v>Pumper Truck</v>
          </cell>
          <cell r="D66" t="str">
            <v>Pumper Truck</v>
          </cell>
        </row>
        <row r="67">
          <cell r="C67" t="str">
            <v>Rear Load</v>
          </cell>
          <cell r="D67" t="str">
            <v>Rear Loader</v>
          </cell>
        </row>
        <row r="68">
          <cell r="C68" t="str">
            <v>Recycle Truck</v>
          </cell>
          <cell r="D68" t="str">
            <v>Recycle</v>
          </cell>
        </row>
        <row r="69">
          <cell r="C69" t="str">
            <v>Retriever</v>
          </cell>
          <cell r="D69" t="str">
            <v>Retriever</v>
          </cell>
        </row>
        <row r="70">
          <cell r="C70" t="str">
            <v>Roll Off</v>
          </cell>
          <cell r="D70" t="str">
            <v>Roll Off</v>
          </cell>
        </row>
        <row r="71">
          <cell r="C71" t="str">
            <v>Service Truck</v>
          </cell>
          <cell r="D71" t="str">
            <v>Serv Trk-Complete</v>
          </cell>
        </row>
        <row r="72">
          <cell r="C72" t="str">
            <v>Tipper Trailer</v>
          </cell>
          <cell r="D72" t="str">
            <v>Trailer</v>
          </cell>
        </row>
        <row r="73">
          <cell r="C73" t="str">
            <v>Walking Floor Trailer</v>
          </cell>
          <cell r="D73" t="str">
            <v>Trailer</v>
          </cell>
        </row>
        <row r="74">
          <cell r="C74" t="str">
            <v>Roll Off Pup Trailer</v>
          </cell>
          <cell r="D74" t="str">
            <v>Trailer</v>
          </cell>
        </row>
        <row r="75">
          <cell r="C75" t="str">
            <v>Barge</v>
          </cell>
          <cell r="D75" t="str">
            <v>Trailer</v>
          </cell>
        </row>
        <row r="76">
          <cell r="C76" t="str">
            <v>Railroad Cars</v>
          </cell>
          <cell r="D76" t="str">
            <v>Trailer</v>
          </cell>
        </row>
        <row r="77">
          <cell r="C77" t="str">
            <v>Container Delivery Trailer</v>
          </cell>
          <cell r="D77" t="str">
            <v>Trailer</v>
          </cell>
        </row>
        <row r="78">
          <cell r="C78" t="str">
            <v>Other Trailer</v>
          </cell>
          <cell r="D78" t="str">
            <v>Trailer</v>
          </cell>
        </row>
        <row r="79">
          <cell r="C79" t="str">
            <v>Transfer Tractor</v>
          </cell>
          <cell r="D79" t="str">
            <v>Transfer Tractor</v>
          </cell>
        </row>
        <row r="80">
          <cell r="C80" t="str">
            <v>Yard Mule</v>
          </cell>
          <cell r="D80" t="str">
            <v>Yard Mule</v>
          </cell>
        </row>
        <row r="81">
          <cell r="C81" t="str">
            <v>ATV/Gator</v>
          </cell>
          <cell r="D81" t="str">
            <v>UTV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ject_LastPulledValues"/>
      <sheetName val="Assets"/>
      <sheetName val="ProjDepr"/>
      <sheetName val="District Summary"/>
      <sheetName val="Invoice"/>
    </sheetNames>
    <sheetDataSet>
      <sheetData sheetId="0"/>
      <sheetData sheetId="1"/>
      <sheetData sheetId="2">
        <row r="3">
          <cell r="D3" t="str">
            <v>OK!: ReportRange Formula OK [jAction{}]</v>
          </cell>
        </row>
        <row r="19">
          <cell r="D19" t="str">
            <v>2021-08</v>
          </cell>
        </row>
        <row r="20">
          <cell r="D20"/>
        </row>
        <row r="21">
          <cell r="D21"/>
        </row>
        <row r="22">
          <cell r="D22"/>
        </row>
      </sheetData>
      <sheetData sheetId="3"/>
      <sheetData sheetId="4">
        <row r="2">
          <cell r="C2" t="str">
            <v>OK!: ReportRange Formula OK [jAction{}]</v>
          </cell>
        </row>
        <row r="7">
          <cell r="E7"/>
        </row>
        <row r="8">
          <cell r="E8" t="str">
            <v/>
          </cell>
        </row>
        <row r="9">
          <cell r="E9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148 Trks"/>
      <sheetName val="2148 Cont"/>
      <sheetName val="2148 Other"/>
    </sheetNames>
    <sheetDataSet>
      <sheetData sheetId="0" refreshError="1"/>
      <sheetData sheetId="1" refreshError="1">
        <row r="2">
          <cell r="P2">
            <v>6</v>
          </cell>
        </row>
        <row r="3">
          <cell r="P3">
            <v>6</v>
          </cell>
        </row>
        <row r="4">
          <cell r="P4">
            <v>2013</v>
          </cell>
        </row>
        <row r="5">
          <cell r="P5">
            <v>2014</v>
          </cell>
        </row>
      </sheetData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tem Savka" refreshedDate="45183.354907754627" createdVersion="8" refreshedVersion="8" minRefreshableVersion="3" recordCount="673" xr:uid="{8F01E4F3-23A6-4E1B-A34A-7DDFB14A7FEE}">
  <cacheSource type="worksheet">
    <worksheetSource name="Table1[[District]:[Pre 1/1/2021 Add?]]"/>
  </cacheSource>
  <cacheFields count="47">
    <cacheField name="District" numFmtId="0">
      <sharedItems containsSemiMixedTypes="0" containsString="0" containsNumber="1" containsInteger="1" minValue="2112" maxValue="2112"/>
    </cacheField>
    <cacheField name="Asset #" numFmtId="0">
      <sharedItems containsSemiMixedTypes="0" containsString="0" containsNumber="1" containsInteger="1" minValue="6869" maxValue="313091"/>
    </cacheField>
    <cacheField name="Parent/ Child" numFmtId="0">
      <sharedItems containsBlank="1" containsMixedTypes="1" containsNumber="1" containsInteger="1" minValue="34951" maxValue="308415" count="50">
        <s v="P"/>
        <n v="305639"/>
        <n v="308415"/>
        <n v="304152"/>
        <n v="302422"/>
        <n v="298244"/>
        <n v="294554"/>
        <n v="298175"/>
        <n v="294555"/>
        <n v="290995"/>
        <n v="287547"/>
        <n v="283931"/>
        <n v="283929"/>
        <n v="282057"/>
        <n v="277982"/>
        <n v="99658"/>
        <n v="263828"/>
        <n v="254483"/>
        <n v="246027"/>
        <n v="246084"/>
        <n v="44500"/>
        <n v="219749"/>
        <n v="219748"/>
        <n v="218615"/>
        <n v="204184"/>
        <n v="204187"/>
        <n v="80055"/>
        <n v="197793"/>
        <n v="68916"/>
        <n v="184362"/>
        <n v="43742"/>
        <n v="127366"/>
        <n v="121863"/>
        <n v="87712"/>
        <n v="54942"/>
        <n v="114605"/>
        <n v="114875"/>
        <n v="103337"/>
        <n v="87711"/>
        <n v="85919"/>
        <n v="67818"/>
        <n v="65454"/>
        <n v="47554"/>
        <n v="47553"/>
        <n v="34951"/>
        <n v="131543"/>
        <n v="42965"/>
        <n v="115374"/>
        <n v="84694"/>
        <m/>
      </sharedItems>
    </cacheField>
    <cacheField name="Descr" numFmtId="0">
      <sharedItems count="518">
        <s v="18 Gal Recycle Bins"/>
        <s v="1 Yard FEL Containers"/>
        <s v="HP USB-C G5 Essential Dock - SN: 5CG301ZYB1"/>
        <s v="HP ProBook 450 G9 Notebook - SN: 5CD3221Q62"/>
        <s v="30 Yard R/O Containers"/>
        <s v="20 Yard R/O Containers"/>
        <s v="64 Gal MSW Carts"/>
        <s v="2004 Genie Man Lift Z45/25"/>
        <s v="22 Rollover- New Container Delivery Truck - 4 Colored Door Panels"/>
        <s v="CD Truck CD2 Registration"/>
        <s v="Instillation of Auto Grease System Truck #28"/>
        <s v="Alingment on Truck #28"/>
        <s v="Sales/Use tax on 2008 Peterbilt ASL Truck"/>
        <s v="2008 Peterbilt/McNeilus ASL Truck"/>
        <s v="12 Yd Rectangle Drop Boxes w/ Lids"/>
        <s v="20 yd Drop Box (U)"/>
        <s v="6 YD Commercial Customers ($100 each)"/>
        <s v="1.5 Yard Commercial Containers"/>
        <s v="1.5 Yard REL Containers"/>
        <s v="6yd Containers S'D n/Lids (N)"/>
        <s v="1.5 YD REL Containers"/>
        <s v="1 YD REL Containers"/>
        <s v="2023 Peterbilt 537 Grapple Truck"/>
        <s v="Lytx Drive Cam"/>
        <s v="6 YD FEL Containers"/>
        <s v="4 YD FEL Containers"/>
        <s v="1.5 YD FEL Containers"/>
        <s v="1 YD FEL Containers"/>
        <s v="HP USB-C G5 Essential Dock - SN: 5CG242ZSDQ"/>
        <s v="HP ProBook 450 G9 Notebook -Wolf Pro Security - 15.6&quot; - SN: 5CD3112QFB"/>
        <s v="Mcneilus 20yd"/>
        <s v="New Mc Neilus Truck # 50-39 Use Tax"/>
        <s v="2009 New International Truck"/>
        <s v="2010 International 7400 REL"/>
        <s v="2023 Peterbilt MSL Truck-Body"/>
        <s v="Weld Plate"/>
        <s v="Decals-2023 MSL Truck"/>
        <s v="2023 Peterbilt MSL Truck-Chassis"/>
        <s v="Decals"/>
        <s v="2023 Peterbilt ASL Truck - PKG"/>
        <s v="57L Recycling Bins"/>
        <s v="40yd Roll Off Boxes"/>
        <s v="2023 Peterbilt ROL Truck"/>
        <s v="Install new Engine In Unit 9577"/>
        <s v="Replace Engine in Unit 9577"/>
        <s v="Rebuild Cylinder Head for UNIT 9577 - Capital Repair"/>
        <s v="1999 Type M Van Box"/>
        <s v="HP Smart Buy ProBook 450 G8 for AC SN: 5CD22097QZ"/>
        <s v="Docking Station for Laptop - No SN on Amazon Purchses"/>
        <s v="New 2009 ASL Truck (Package Purchase)"/>
        <s v="8 YARD SLANT FRONT LOAD"/>
        <s v="6 YARD SLANT FRONT LOAD"/>
        <s v="4 YARD SLANT FRONT LOAD"/>
        <s v="3 YARD SLANT FRONT LOAD"/>
        <s v="2 YARD STANDARD BODY REAR LOADS"/>
        <s v="2 YARD STANDARD BODY REAR LOAD"/>
        <s v="1 YARD STANDARD BODY REAR LOAD"/>
        <s v="1 YARD FEL"/>
        <s v="65 Gal MSW Carts"/>
        <s v="New computer for site SN: 5CD221613B"/>
        <s v="New Docking Station for Laptop - No SN on Amazon Purchases"/>
        <s v="New Computer for site SN: 5CD2164KYL"/>
        <s v="Docking Station for new Laptop - No SN on Amazon Purchase"/>
        <s v="New Computer for Site SN: QQ21452166"/>
        <s v="HP ProBook 640 SN: 5CD2159TCZ"/>
        <s v="New Docking Station for Ops Manager Laptop - NO SN for Amazon Purchases"/>
        <s v="10 YD FEL/REL/SL Metal"/>
        <s v="8 Yd Commercial Containers"/>
        <s v="2YD REL Containers"/>
        <s v="6 YD Containers"/>
        <s v="4 Yard FEL Containers"/>
        <s v="30 YD Roll Off Containers"/>
        <s v="3 YD Containers"/>
        <s v="4 YD FEL/REL/SL Metal"/>
        <s v="4YD Containers"/>
        <s v="2 Yard REL Containers"/>
        <s v="2 yd Containers w/Lids"/>
        <s v="2yd Containers"/>
        <s v="Sales Tax"/>
        <s v="95G MSW Carts"/>
        <s v="65G MSW Carts"/>
        <s v="AP Sales Tax"/>
        <s v="16G Recycle Bins"/>
        <s v="HP ProBook 640 G2 - 14&quot; Laptop"/>
        <s v="(1) Sony Internet TV S/N# S0180642028"/>
        <s v="(4) Drivecam Units"/>
        <s v="Shark Comm. Trailer, Skid Mounted 3500 PSI Pressure Washer"/>
        <s v="Drive Cameras Subscription Fees"/>
        <s v="48 ft Dry Van Container - Sales Tax"/>
        <s v="2006 Helm Container Chassis"/>
        <s v="Geo Tablets"/>
        <s v="Capital Repair - Transmission Truck #884"/>
        <s v="16 GAL Recycle Bins"/>
        <s v="4Yd FL Containers"/>
        <s v="2Yd FL Containers"/>
        <s v="2022 ROL Pup Trailer (Pioneer HR2000PP)"/>
        <s v="2020 Peterbilt Transfer Tractor"/>
        <s v="docking station for DM - NO S/N listed for Amazon Purchases"/>
        <s v="HP Probook S/N #5CD1321R5W"/>
        <s v="65 Gallon Carts (Gray)"/>
        <s v="30 Yd ROL Boxes"/>
        <s v="20 Yd ROL Boxes"/>
        <s v="15 Gal Recycle Bins"/>
        <s v="2000 Panderra Container Chassis"/>
        <s v="2008 Homemade Container Chassis"/>
        <s v="Fruehauf Container Chassis (1996)"/>
        <s v="Fruehauf Container Chassis (1995)"/>
        <s v="Laptop Memory - SN S58SNM0R526654"/>
        <s v="HP ProBook - SN 5CD11674KP"/>
        <s v="8 YD Container"/>
        <s v="6 YD Container"/>
        <s v="50 YD RO Box"/>
        <s v="40 YD RO Box"/>
        <s v="4 YD Container"/>
        <s v="30 YD RO Box"/>
        <s v="25 YD RO Box"/>
        <s v="20 YD RO Box"/>
        <s v="1 YD Container"/>
        <s v="NOREGON Panasonic Toughbook FZ-55"/>
        <s v="Sequim Office - Legal"/>
        <s v="2YD REL METAL CONTAINERS"/>
        <s v="1YD REL METAL CONTAINERS"/>
        <s v="8YD FEL METAL CONTAINERS"/>
        <s v="6YD FEL METAL CONTAINERS"/>
        <s v="4YD FEL METAL CONTAINERS"/>
        <s v="3YD FEL METAL CONTAINERS"/>
        <s v="2YD FEL METAL CONTAINERS"/>
        <s v="1YD FEL METAL CONTAINERS"/>
        <s v="95 Gal MSW Carts (Gray)"/>
        <s v="95 Gal Recycle Carts (Gray)"/>
        <s v="Sequim Office Purchase"/>
        <s v="(4) Gray Truck Lifts"/>
        <s v="2017 4 Axle Long Haul Tractor"/>
        <s v="2004 Peterbilt In-Frame Repair"/>
        <s v="2014 53' Walking Floor Trailer"/>
        <s v="Wet Kit for Chassis 831975 invoice #915-0666"/>
        <s v="2004 Tractor"/>
        <s v="Roll off trailer"/>
        <s v="Used 1993 Wabi Van Trailers #9324"/>
        <s v="Sequim Land"/>
        <s v="95 Gal Plastic Carts - Grey"/>
        <s v="20 YD RO Boxes"/>
        <s v="10yd Drop Boxes"/>
        <s v="(48) Lytx Drivecam Harness"/>
        <s v="(48) Lytx Drivecams"/>
        <s v="3YD Containers"/>
        <s v="30YD Containers"/>
        <s v="6 Yard Commercial Containers"/>
        <s v="4 Yard Commercial Containers"/>
        <s v="30 YD RO Containers"/>
        <s v="2020 Ford Pickup Truck"/>
        <s v="95 Gal Plastic Carts - Refuse"/>
        <s v="35 Gal Plastic Carts - Refuse"/>
        <s v="2020 Peterbilt ASL Truck"/>
        <s v="65 Gal Plastic Carts - Refuse"/>
        <s v="95 Gal Plastic Carts -Grey"/>
        <s v="8 Yard FEL Containers"/>
        <s v="6 Yard FEL Containers"/>
        <s v="3 Yard FEL Containers"/>
        <s v="2Yard FEL Containers"/>
        <s v="1.5 Yard FEL Containers"/>
        <s v="1 Yard REL Containers"/>
        <s v="Desktop PC - Blue Mtn TS SN-MXL0132VMF"/>
        <s v="2020 Peterbilt FEL Truck"/>
        <s v="2020 Peterbilt Recycle Truck"/>
        <s v="2020 Peterbilt REL Truck"/>
        <s v="Engine Rebuild on asset #44500"/>
        <s v="2005 Ford F150 Lariat pickup (brown)"/>
        <s v="4 YD FEL Plastic Container"/>
        <s v="3 YD FEL  Plastic Container"/>
        <s v="2 YD FEL Plastic Container"/>
        <s v="1 YD FEL Plastic Container"/>
        <s v="96 Gallon MSW Carts"/>
        <s v="50 YD Metal RO"/>
        <s v="2020 ASL Peterbilt Truck"/>
        <s v="2020 Peterbilt FEL Truck- Body"/>
        <s v="arch/structual engineering services"/>
        <s v="Permit fees- Electrcal Phase"/>
        <s v="Engineering Services Refund"/>
        <s v="Water Meter Installation for New Shop"/>
        <s v="2020 FEL Peterbilt  Truck"/>
        <s v="New Shop IS Hardware"/>
        <s v="Facility Improvements"/>
        <s v="New Shop"/>
        <s v="Maintenance Shop (Sequim)"/>
        <s v="New 2019 R/O Truck"/>
        <s v="30Yd ROL Box"/>
        <s v="20Yd ROL Box"/>
        <s v="16gal bins BLUE, GREEN, BEIGE"/>
        <s v="HP Probook 650 G4 Asst Controller"/>
        <s v="65 Gallon MSW Carts"/>
        <s v="35 Gallon MSW Carts"/>
        <s v="6yd FEL Metal Container"/>
        <s v="4yd FEL Metal Container"/>
        <s v="3yd FEL Metal Container"/>
        <s v="2yd FEL Metal Container"/>
        <s v="1yd FEL Metal Container"/>
        <s v="2yd REL Metal Container"/>
        <s v="1yd REL Metal Container"/>
        <s v="MSW CARTS 96 GAL"/>
        <s v="Wash Rack - Awning"/>
        <s v="Wash Rack - Oil and Water Separator/Catch Basin"/>
        <s v="New Truck License Registration For 889"/>
        <s v="New Truck License Registration For 890"/>
        <s v="New Pressure Washer For Wash Rack At Carlsborg Site"/>
        <s v="Capital Repair (Parts) 1986 Fiat Allis bucket loader"/>
        <s v="Rear differential repair - 1986 Fiat Allis Bucket Loader"/>
        <s v="2019 ASL Truck"/>
        <s v="Truck Mount Air Compressor For New Service Truck 738"/>
        <s v="64 GAL GARBAGE CARTS"/>
        <s v="Air Hose Reel For New Shop Truck"/>
        <s v="Lift Gate For New Service Truck 738 (To Be Installed)"/>
        <s v="NEW TOYOTA FORKLIFT FOR CARLSBORG SHOP"/>
        <s v="Storm Water Infiltration Pond (Final Bill)"/>
        <s v="Paving and Storm Water Pond at Carlsborg"/>
        <s v="FEL Containers - 4 yd"/>
        <s v="REL Containers - 2 yd"/>
        <s v="REL Containers - 1.5 yd"/>
        <s v="FEL Containers - 1.5 yd"/>
        <s v="FEL Containers - 2 yd"/>
        <s v="FEL Containers - 6 yd"/>
        <s v="96 GALLON GARBAGE CARTS"/>
        <s v="65 GALLON GARBAGE CARTS"/>
        <s v="35 GALLON GARBAGE CARTS"/>
        <s v="Roll Off Boxes - 30 Yd"/>
        <s v="Roll Off Boxes - 20 Yd"/>
        <s v="50 YD Container"/>
        <s v="2 YD Container"/>
        <s v="1.5 YD Container"/>
        <s v="2018 Ford F350 Shop Truck"/>
        <s v="Adapter"/>
        <s v="2018 Better Weigh Mfg Pup Trailer"/>
        <s v="HP ProDesk 600 G3 - SFF - Core i3"/>
        <s v="Structural Analysis at Carlsborg Site"/>
        <s v="Star TSP 743IIU-24 Gry - receipt printer - two-color (monochrome) -direct"/>
        <s v="Carlsborg Shop Addition"/>
        <s v="Paving and Stormwater Pond"/>
        <s v="New Roof for Building"/>
        <s v="Paving"/>
        <s v="Use Tax for Truck # 31"/>
        <s v="Docking Station for HP ProBook 640 G2"/>
        <s v="New Cubicles (6) at Carlsborg"/>
        <s v="HP ProBook 640 G2 (MM)"/>
        <s v="14T Floor Jacks (2)"/>
        <s v="Used Skid Steer 2014 Cat"/>
        <s v="Initial licensing for trk 887"/>
        <s v="2018 ASL Truck"/>
        <s v="Initial Licensing for new RO truck"/>
        <s v="Software for Diagnostic Laptop"/>
        <s v="96 Gallon Recycle Carts (UTC)"/>
        <s v="2018 RO Truck"/>
        <s v="30 YD Rolloff boxes"/>
        <s v="20yd RO Boxes"/>
        <s v="96 Gallon Gray Recy Totes w/blue lid"/>
        <s v="Diagnostic Laptop"/>
        <s v="96 Gallon Recy Totes"/>
        <s v="HP Probook 640 G2"/>
        <s v="35 Gallon Gray MSW Totes w/green lid"/>
        <s v="96 Gal gray MSW Tote w/green lid"/>
        <s v="64 Gal gray MSW Tote w/green lid"/>
        <s v="2yd REL Containers w/plastic lid"/>
        <s v="2YD FEL Containers"/>
        <s v="3yd FEL Flat Top Containers w/plastic lid"/>
        <s v="2yd FEL Flat Top Container w/plastic lid"/>
        <s v="1.5yd FEL Flat Top Containers w/plastic lid"/>
        <s v="1yd FEL Flat Top Containers w/plastic lid"/>
        <s v="Used 2008 Ford F-150 4x4 Supervisor P/U Truck"/>
        <s v="64 Gallon MSW Carts"/>
        <s v="Engine Overhaul (Trk #916)"/>
        <s v="25 Gallon Carts"/>
        <s v="65 Gallon Carts"/>
        <s v="95 Gallon Carts"/>
        <s v="PC tower for ACD Monitor at Port Townsend"/>
        <s v="2YD RL Containers"/>
        <s v="1.5YD RL Containers"/>
        <s v="1YD RL Containers"/>
        <s v="3YD Containers with lids"/>
        <s v="6YD Containers"/>
        <s v="1.5 REL Containers"/>
        <s v="1yd REL containers"/>
        <s v="2 YD OCC containers"/>
        <s v="2 YD RL Containers"/>
        <s v="1.5 YD RL Containers"/>
        <s v="2YD Recycle Containers"/>
        <s v="Engine Rebuild Truck #243"/>
        <s v="Labrie Top Select Body Mounted on FAS 4864"/>
        <s v="2016 ASL Truck"/>
        <s v="30 yd roll off box w/lid"/>
        <s v="2 Winterms"/>
        <s v="Use Tax on Recycle Truck"/>
        <s v="2010 Recycle Truck"/>
        <s v="95 Gal Recycle Carts - Grey"/>
        <s v="30 Yard Dropboxes"/>
        <s v="Cap Repair - Transmission"/>
        <s v="Cap Repair - Engine"/>
        <s v="Recycle Bins (U)"/>
        <s v="Software for Diagnostic Computer"/>
        <s v="Use tax on 5,000 Recycle Bins"/>
        <s v="18 GA Recycle Box"/>
        <s v="14 Gal. MSD Recycle Bin-DK Blue"/>
        <s v="14 Gallon Recycle Bins"/>
        <s v="14 Gallon MSD Recycle Bins"/>
        <s v="Diagnostic Computer"/>
        <s v="Scale Parts - Blue Mountain Transfer Station"/>
        <s v="65 Gal Plastic Carts"/>
        <s v="3 Bin Recycle System Bins"/>
        <s v="Wyse Winterms D10D"/>
        <s v="96 Gal Carts"/>
        <s v="Computer for Transfer Station"/>
        <s v="Truck Radios"/>
        <s v="96 Gallon Recycle Carts"/>
        <s v="2004 Container Delivery Truck"/>
        <s v="96 Gallon Carts"/>
        <s v="6 YD FEL OCC Containers - Sales Tax"/>
        <s v="4 YD FEL OCC Containers - Sales Tax"/>
        <s v="Truck 917 Transmission Repair"/>
        <s v="2 YD FEL OCC Containers"/>
        <s v="4Y d FEL OCC Containers"/>
        <s v="2004 INTL 4300 FLAT 20  TRUCK"/>
        <s v="Resi Recylce Bins-Remaining Balance"/>
        <s v="Lift Gate for Service Truck"/>
        <s v="35 Gallon Refuse Carts"/>
        <s v="30 Yd R/O Drop Boxes"/>
        <s v="4Yd FEL Containers"/>
        <s v="3 Yd FEL Containers"/>
        <s v="65 Gallon Refuse Carts"/>
        <s v="Resi Recycle Bins (3-Bin System)"/>
        <s v="(2) 10Ton Air Jacks"/>
        <s v="95 Gallon Recycle Carts"/>
        <s v="6 YD FEL Recycling Containers"/>
        <s v="4 YD FEL Recycle Containers"/>
        <s v="95 Gallon Garbage Carts - ROC Grey"/>
        <s v="95 Gallon Yardwaste Carts"/>
        <s v="95 Gallon Carts - ROC Grey"/>
        <s v="RTA Equipment"/>
        <s v="Residential Recycling Bins"/>
        <s v="Sony Internet TV (SN = S018094755O)"/>
        <s v="15 HP shop compressor"/>
        <s v="65 Gallon Carts - ROC Grey"/>
        <s v="Used 2005 International 7400 REL"/>
        <s v="2YD FEL Cardboard Containers (Metal)"/>
        <s v="Grapple bucket and sweeper for MRF skid steer"/>
        <s v="Used 2006 Komatsu FG25T-14 Forklift"/>
        <s v="4 YD Self-Dump Hoppers for Blue Mt. T/S"/>
        <s v="2 Yard FEL Containers"/>
        <s v="New 2011 Peterbilt 320 ASL"/>
        <s v="Excel 6029 Rubber Belt Conveyor for Port Angeles MRF"/>
        <s v="Baler Pit"/>
        <s v="80 Liter Recycle Carts - Grey"/>
        <s v="20 Yard Recycle Dropoff Center Containers"/>
        <s v="Baler Electrical Set-up"/>
        <s v="95 Gallon Recycling Carts(Blue Lids)"/>
        <s v="95 Gallon Recycling Carts (Blue Lids)"/>
        <s v="95 Gallon YW Carts"/>
        <s v="Drive Cam Installation Cost"/>
        <s v="(16) Drive Cams"/>
        <s v="Drive Cam Installation and Onsite Technician"/>
        <s v="PARTS &amp; LABOR FOR REBUILD"/>
        <s v="Baler"/>
        <s v="Truck #227 - Engine"/>
        <s v="Spill Kit"/>
        <s v="4 - Junk Boxes &amp; Oil Assemblies"/>
        <s v="96 Galllon Grey Carts"/>
        <s v="30 YD Roll Off Boxes"/>
        <s v="6YD FEL Containers"/>
        <s v="Sales Tax on FEL Truck VIN#200124"/>
        <s v="4 YD FEL Carboard Bin"/>
        <s v="Contracts - City of Sequim"/>
        <s v="Carts:"/>
        <s v="6yd Recycling Cages from WM:"/>
        <s v="4yd Recycling Cages from WM:"/>
        <s v="2yd Recycling Cages from WM:"/>
        <s v="1.5yd FEL Containers from WM:"/>
        <s v="Taxes for 2003 sideloader FAS #  47554"/>
        <s v="Taxes on 2003 sideloader FAS # 47553"/>
        <s v="RM License"/>
        <s v="96 gallon toters"/>
        <s v="96 Gallon lids"/>
        <s v="Lids"/>
        <s v="96 gallons carts"/>
        <s v="2 yard  REL containers"/>
        <s v="Toters and containers for curbside contract"/>
        <s v="30 YD Structural R/O Box w/ 18' EZ Screen Lid"/>
        <s v="2 YD REL containers"/>
        <s v="1 Yd Rear Load Containers"/>
        <s v="Sales Tax for New Truck #602"/>
        <s v="14 Gal. MSD Recycle Bins-LT Blue"/>
        <s v="14 Gal. MSD Recycle Bins-LT Gray"/>
        <s v="14 Gal. MSD Recycle Bins-Beige"/>
        <s v="1 YD REL Containers w/ Plastic Lids &amp; Casters"/>
        <s v="220 Gal UL Oval Tank-Labor &amp; Materials to Mount"/>
        <s v="32 Gallon Carts"/>
        <s v="2 Yard Rear Load Containers"/>
        <s v="Nestable/Stackable Recycle Bins"/>
        <s v="Deluxe AC Machine"/>
        <s v="Scissor Lift 24-26' Electric 30-36&quot; wide"/>
        <s v="1yd Flat Top Containers"/>
        <s v="2yd FEL Flat Top Containers"/>
        <s v="20yd boxes w/lids"/>
        <s v="30yd box w/lid"/>
        <s v="2017 R/O Truck"/>
        <s v="6 Yard Plastic Commercial Container with Lid"/>
        <s v="2 Yard RL Plastic Containers with Lids"/>
        <s v="Snap-On Diagnostic Shop Computer"/>
        <s v="30YD boxes with lids"/>
        <s v="WashRack for Truck Wash"/>
        <s v="Trench Drain and Diversion Beam for Truck Wash"/>
        <s v="Wash Rack for Truck Wash"/>
        <s v="Tank for Truck Wash"/>
        <s v="20 YD Lidded Boxes"/>
        <s v="30 YD Lidded box"/>
        <s v="2YD Plastic Containers"/>
        <s v="4 YD Commercial Plastic Containers"/>
        <s v="18 Gal Recycle boxes"/>
        <s v="(34) Tablet Mounts and Cases"/>
        <s v="34 Samsung Tablets"/>
        <s v="Pressure Washer - AMB Tools"/>
        <s v="18 Gallon Recycle Carts"/>
        <s v="Transmission Repair - truck 42965"/>
        <s v="20 yd Roll Off Boxes"/>
        <s v="4 YD REL Containers"/>
        <s v="HP Probook 650 G1"/>
        <s v="65 Gal Garbage Carts"/>
        <s v="Phone System"/>
        <s v="7 Winterms"/>
        <s v="18-Gal Recycle Bins"/>
        <s v="Truck Radio"/>
        <s v="Improvement - Tarper"/>
        <s v="2015 REL Truck"/>
        <s v="35 gal refuse carts"/>
        <s v="Desktop Monitor"/>
        <s v="HP Prodesk 600 G1"/>
        <s v="2002 Used Ford F150 Supervisor Pick Up"/>
        <s v="Resi Recylce Bins (3-Bin System)"/>
        <s v="2007 Freightliner"/>
        <s v="10,000 LB Gantry Overhead Crane 2nd Installment"/>
        <s v="10,000 LB Gantry Overhead Crane"/>
        <s v="3Yd FEL Containers"/>
        <s v="Stormwater Upgrade / Repair"/>
        <s v="New 2013 Peterbilt 320 w/ Labrie Expert 2000 - ASL"/>
        <s v="Storm &amp; Retention Pond Improvements"/>
        <s v="30 YD compactor receiver tubes for Makah T/S"/>
        <s v="35 Gallon Refuse Carts - ROC Grey"/>
        <s v="65 Gallon Residential Garbage Carts"/>
        <s v="2007 Ford  Pickup"/>
        <s v="(1) Sony Internet TV S/N# S0180642039"/>
        <s v="Trailblazer 302 Air Pak all-in-one compressor/generator/welder"/>
        <s v="Salt Dogg 2-yard Poly Tank Spreader"/>
        <s v="Snow Dogg Snow Plow Blade and Lift Frame"/>
        <s v="2011 Ford F-350 Service Truck"/>
        <s v="Used 2003 Ford F350 Supervisor Pick-Up Truck"/>
        <s v="Shop Diagnostic Laptop Computer w/ Software"/>
        <s v="1986 Used Fiat Allis W110 Loader"/>
        <s v="New Transformer for Bailer"/>
        <s v="(4) Drive Cam Units"/>
        <s v="New 2008 Peterbilt/McNeilus 40 yd FEL (Package Purchase)"/>
        <s v="(24) Drive Cams"/>
        <s v="Onsite Technician for Drive Cam"/>
        <s v="Heaters for Warehouse"/>
        <s v="35 Gallon Carts"/>
        <s v="65 Gallon Green Carts"/>
        <s v="Leasehold Improvements"/>
        <s v="Panasonic Laptop S/N#7JTYA18055"/>
        <s v="1 Yard RL containers"/>
        <s v="2 yard rear load"/>
        <s v="30 Yard box"/>
        <s v="Route Manager License"/>
        <s v="1 YD RL containers"/>
        <s v="1.5 yard RL containers"/>
        <s v="2 YD RL"/>
        <s v="Chassis Plumb work"/>
        <s v="2 yard RL Waste Containers"/>
        <s v="1.5 Yard RL Waste Containers"/>
        <s v="2007 PeterBilt 378"/>
        <s v="25 YD Structural Drop Off Boxes w/ 18' Lids"/>
        <s v="65 Gal. Cart Assy 025u w/ Lid-Plano Green/UV"/>
        <s v="35 Gal. Cart Assy 025u w/ Lid-Plano Green/UV"/>
        <s v="2 Yd Rear Load Containers"/>
        <s v="1 Yard REL Containers w/ Lids &amp; Casters"/>
        <s v="2 Yard REL Containers w/ Lids &amp; Casters"/>
        <s v="2 Yard R/L Containers"/>
        <s v="2-Way Dome Lid Kits"/>
        <s v="(1) RM License"/>
        <s v="Olympic Conversion-Programming Services; Conversio"/>
        <s v="25 YD Drop-Boxes"/>
        <s v="3yd FEL Containers w/ Plastic Lids &amp; 4/0 Caste"/>
        <s v="6yd FELCathedral Containers w/ Plastict Lids"/>
        <s v="(2) Heavy Duty Air Jacks) - 10-Ton Cap."/>
        <s v="68 Gal MSD PLLB-2 Base &amp; F Lid - Green"/>
        <s v="68 Gal Green Base Green Arrows Lid"/>
        <s v="275 Gal. UL Oval Tank-Labor &amp; Materials to Assembl"/>
        <s v="Olympic Conversion"/>
        <s v="Phone System for Port Angeles"/>
        <s v="Hardware for Port Angeles Conversion"/>
        <s v="Container Parts"/>
        <s v="Olympic G Cert Purchase"/>
        <s v="68 Gallon Carts"/>
        <s v="3 Yard FL Containers"/>
        <s v="Pocket Conversion Kits"/>
        <s v="1 Yd Rear Load Containers w/ Comp Lids"/>
        <s v="68 Gallon Universal Carts"/>
        <s v="1 Yd Rear Load Containers w/ Lids"/>
        <s v="Freight on Containers"/>
        <s v="60 Gallon Carts"/>
        <s v="1 Yard Rear Load ontainers w/Lids"/>
        <s v="Olympic G Permit"/>
        <s v="Olympic Non-Compete"/>
        <s v="Olympic Goodwill"/>
        <s v="1 - Compaq Deskpro EP Celeron/Modem &amp; Monitor"/>
        <s v="Cannon Copier"/>
        <s v="Various Equipment"/>
        <s v="Freight &amp; Sales Tax Charges"/>
        <s v="1yd Rearload Containers"/>
        <s v="Toters (lease payoff)"/>
        <s v="1yd Containers w/Lids (N)"/>
        <s v="35gal (N)"/>
        <s v="20yd Containers w/Lids (N)"/>
        <s v="2 Way Radio &amp; Base Station (U)"/>
      </sharedItems>
    </cacheField>
    <cacheField name="Container Count" numFmtId="0">
      <sharedItems containsString="0" containsBlank="1" containsNumber="1" containsInteger="1" minValue="0" maxValue="3868"/>
    </cacheField>
    <cacheField name="MFG Serial#" numFmtId="0">
      <sharedItems containsBlank="1" containsMixedTypes="1" containsNumber="1" containsInteger="1" minValue="0" maxValue="27011829"/>
    </cacheField>
    <cacheField name="License Plate" numFmtId="0">
      <sharedItems containsBlank="1"/>
    </cacheField>
    <cacheField name="Model Year" numFmtId="0">
      <sharedItems containsSemiMixedTypes="0" containsString="0" containsNumber="1" containsInteger="1" minValue="0" maxValue="2023"/>
    </cacheField>
    <cacheField name="Vendor/Mfg" numFmtId="0">
      <sharedItems containsBlank="1"/>
    </cacheField>
    <cacheField name="Body Mfg" numFmtId="0">
      <sharedItems containsBlank="1"/>
    </cacheField>
    <cacheField name="Ins Category" numFmtId="0">
      <sharedItems containsBlank="1"/>
    </cacheField>
    <cacheField name="In Service Date" numFmtId="165">
      <sharedItems containsSemiMixedTypes="0" containsNonDate="0" containsDate="1" containsString="0" minDate="1984-08-07T00:00:00" maxDate="2023-07-18T00:00:00"/>
    </cacheField>
    <cacheField name="Acq Date" numFmtId="165">
      <sharedItems containsSemiMixedTypes="0" containsNonDate="0" containsDate="1" containsString="0" minDate="1984-08-07T00:00:00" maxDate="2023-07-18T00:00:00"/>
    </cacheField>
    <cacheField name="CER #" numFmtId="0">
      <sharedItems containsBlank="1" containsMixedTypes="1" containsNumber="1" containsInteger="1" minValue="42112005" maxValue="52148005"/>
    </cacheField>
    <cacheField name="Useful Life" numFmtId="0">
      <sharedItems containsSemiMixedTypes="0" containsString="0" containsNumber="1" containsInteger="1" minValue="0" maxValue="2000"/>
    </cacheField>
    <cacheField name="Asset Account" numFmtId="0">
      <sharedItems containsSemiMixedTypes="0" containsString="0" containsNumber="1" containsInteger="1" minValue="14000" maxValue="15260"/>
    </cacheField>
    <cacheField name="Cost" numFmtId="43">
      <sharedItems containsSemiMixedTypes="0" containsString="0" containsNumber="1" minValue="-22013.78" maxValue="1971280.37"/>
    </cacheField>
    <cacheField name="Accum Account" numFmtId="0">
      <sharedItems containsSemiMixedTypes="0" containsString="0" containsNumber="1" containsInteger="1" minValue="14016" maxValue="15266"/>
    </cacheField>
    <cacheField name="Accum Life to Date" numFmtId="43">
      <sharedItems containsSemiMixedTypes="0" containsString="0" containsNumber="1" minValue="-2751.73" maxValue="772084.83"/>
    </cacheField>
    <cacheField name="NBV" numFmtId="43">
      <sharedItems containsSemiMixedTypes="0" containsString="0" containsNumber="1" minValue="-19262.05" maxValue="1222083.33"/>
    </cacheField>
    <cacheField name="Accum YTD" numFmtId="0">
      <sharedItems containsSemiMixedTypes="0" containsString="0" containsNumber="1" minValue="-642.07000000000005" maxValue="114991.36"/>
    </cacheField>
    <cacheField name="Expense Account" numFmtId="0">
      <sharedItems containsSemiMixedTypes="0" containsString="0" containsNumber="1" containsInteger="1" minValue="0" maxValue="70269"/>
    </cacheField>
    <cacheField name="Current Depr" numFmtId="0">
      <sharedItems containsSemiMixedTypes="0" containsString="0" containsNumber="1" minValue="-91.72" maxValue="16427.34"/>
    </cacheField>
    <cacheField name="Acq Type" numFmtId="0">
      <sharedItems/>
    </cacheField>
    <cacheField name="Former Company" numFmtId="0">
      <sharedItems containsBlank="1" containsMixedTypes="1" containsNumber="1" containsInteger="1" minValue="0" maxValue="0"/>
    </cacheField>
    <cacheField name="Invoice #" numFmtId="0">
      <sharedItems containsDate="1" containsBlank="1" containsMixedTypes="1" minDate="1900-01-02T00:24:12" maxDate="1900-01-01T22:34:05"/>
    </cacheField>
    <cacheField name="Company Asset #" numFmtId="0">
      <sharedItems containsBlank="1" containsMixedTypes="1" containsNumber="1" containsInteger="1" minValue="8" maxValue="9577"/>
    </cacheField>
    <cacheField name="Book" numFmtId="0">
      <sharedItems/>
    </cacheField>
    <cacheField name="Activity Cd" numFmtId="0">
      <sharedItems/>
    </cacheField>
    <cacheField name="Depr Meth" numFmtId="0">
      <sharedItems/>
    </cacheField>
    <cacheField name="Beg Date" numFmtId="0">
      <sharedItems containsNonDate="0" containsDate="1" containsString="0" containsBlank="1" minDate="1999-12-31T00:00:00" maxDate="2023-08-01T00:00:00"/>
    </cacheField>
    <cacheField name="Dbase" numFmtId="0">
      <sharedItems/>
    </cacheField>
    <cacheField name="Seq" numFmtId="0">
      <sharedItems containsSemiMixedTypes="0" containsString="0" containsNumber="1" containsInteger="1" minValue="0" maxValue="5"/>
    </cacheField>
    <cacheField name="Beg Depr" numFmtId="0">
      <sharedItems containsSemiMixedTypes="0" containsString="0" containsNumber="1" minValue="0" maxValue="620440"/>
    </cacheField>
    <cacheField name="Truck #" numFmtId="0">
      <sharedItems containsBlank="1" containsMixedTypes="1" containsNumber="1" containsInteger="1" minValue="28" maxValue="9577"/>
    </cacheField>
    <cacheField name="Equipment Type" numFmtId="0">
      <sharedItems containsBlank="1" count="16">
        <s v="Recycling Bins"/>
        <s v="Containers"/>
        <s v="Office Equipment"/>
        <s v="Roll Off"/>
        <s v="Garbage Carts"/>
        <s v="Shop Equipment"/>
        <s v="Container Delivery Truck"/>
        <s v="Garbage Truck"/>
        <s v="Roll Off Truck"/>
        <s v="Recycling/YW Truck"/>
        <s v="Mill Haul Truck"/>
        <s v="Office Building"/>
        <s v="Recycling Carts"/>
        <s v="MRF Hauls Truck"/>
        <s v="Land"/>
        <m/>
      </sharedItems>
    </cacheField>
    <cacheField name="Month" numFmtId="1">
      <sharedItems containsSemiMixedTypes="0" containsString="0" containsNumber="1" containsInteger="1" minValue="1" maxValue="12"/>
    </cacheField>
    <cacheField name="YearPIS" numFmtId="1">
      <sharedItems containsSemiMixedTypes="0" containsString="0" containsNumber="1" containsInteger="1" minValue="1984" maxValue="2023"/>
    </cacheField>
    <cacheField name="Year Fully Dep" numFmtId="1">
      <sharedItems containsSemiMixedTypes="0" containsString="0" containsNumber="1" minValue="1996" maxValue="2041"/>
    </cacheField>
    <cacheField name="Year/Mo Fully Dep" numFmtId="170">
      <sharedItems containsSemiMixedTypes="0" containsString="0" containsNumber="1" minValue="1996.6666666666667" maxValue="2041.0833333333333"/>
    </cacheField>
    <cacheField name="Monthly Dep" numFmtId="168">
      <sharedItems containsSemiMixedTypes="0" containsString="0" containsNumber="1" minValue="-91.724083333333326" maxValue="16666.666666666668"/>
    </cacheField>
    <cacheField name="Annual Dep" numFmtId="168">
      <sharedItems containsSemiMixedTypes="0" containsString="0" containsNumber="1" minValue="-1100.6889999999999" maxValue="200000"/>
    </cacheField>
    <cacheField name="Test Year Dep" numFmtId="168">
      <sharedItems containsSemiMixedTypes="0" containsString="0" containsNumber="1" minValue="-1100.6889999999999" maxValue="197128.03700000001"/>
    </cacheField>
    <cacheField name="BOY Accum" numFmtId="168">
      <sharedItems containsString="0" containsBlank="1" containsNumber="1" minValue="-1742.7575833334995" maxValue="1400000"/>
    </cacheField>
    <cacheField name="EOY Accum" numFmtId="168">
      <sharedItems containsString="0" containsBlank="1" containsNumber="1" minValue="-2843.4465833334993" maxValue="1400000"/>
    </cacheField>
    <cacheField name="EOY Average Investment" numFmtId="0">
      <sharedItems containsSemiMixedTypes="0" containsString="0" containsNumber="1" minValue="-19170.333416666501" maxValue="1182768.2220000001" count="274">
        <n v="6411.7440000000006"/>
        <n v="0"/>
        <n v="135.11333333333334"/>
        <n v="755.14666666666676"/>
        <n v="29851.611428571428"/>
        <n v="298.65599999999995"/>
        <n v="1316.6100000000001"/>
        <n v="4635"/>
        <n v="10850.675000000001"/>
        <n v="10401.875"/>
        <n v="164937.60000000001"/>
        <n v="747.19200000000001"/>
        <n v="5714.5641666666661"/>
        <n v="8003.4533333333338"/>
        <n v="9449.5866666666661"/>
        <n v="8327.5866666666661"/>
        <n v="132.06"/>
        <n v="712.70666666666671"/>
        <n v="205910.595"/>
        <n v="577.72799999999995"/>
        <n v="763.77599999999995"/>
        <n v="179369.58600000001"/>
        <n v="220.32000000000002"/>
        <n v="302545.98"/>
        <n v="6235.5439999999999"/>
        <n v="27414.75"/>
        <n v="271667.853"/>
        <n v="266619.85200000001"/>
        <n v="902.39999999999986"/>
        <n v="205.32"/>
        <n v="5761.5277777777383"/>
        <n v="112.47708333333256"/>
        <n v="5014.9305555555211"/>
        <n v="113.94861111111031"/>
        <n v="12184.766666666666"/>
        <n v="10783.826666666664"/>
        <n v="23136.235416666506"/>
        <n v="7242.9861111110613"/>
        <n v="109.4979166666659"/>
        <n v="5906.8749999999591"/>
        <n v="1122.062499999992"/>
        <n v="5545.0650000000014"/>
        <n v="33764.774999999565"/>
        <n v="965.80611111107112"/>
        <n v="185.64333333332564"/>
        <n v="965.81222222218241"/>
        <n v="887.22333333329652"/>
        <n v="851.12999999999988"/>
        <n v="176.57500000000002"/>
        <n v="453.02399999998124"/>
        <n v="19334.08380952329"/>
        <n v="16143.199999999568"/>
        <n v="-453.02399999998124"/>
        <n v="5601.0239999997684"/>
        <n v="937.44"/>
        <n v="7538.8208333333314"/>
        <n v="4786.3269999999993"/>
        <n v="8060.7348611109901"/>
        <n v="11741.195625000002"/>
        <n v="9382.8585416666647"/>
        <n v="51124.387499999997"/>
        <n v="125731.09374999843"/>
        <n v="94.788055555548937"/>
        <n v="423.60138888885922"/>
        <n v="13978.759999999789"/>
        <n v="16919.583333333332"/>
        <n v="15479.583333333332"/>
        <n v="2870.9099999998516"/>
        <n v="5494.9999999994998"/>
        <n v="28.808333333330708"/>
        <n v="289.07222222219593"/>
        <n v="6853.458333333273"/>
        <n v="4246.0269444443784"/>
        <n v="3505.7294444443887"/>
        <n v="964.04861111109608"/>
        <n v="2483.1088888888498"/>
        <n v="5925.9083333332401"/>
        <n v="1045.3372222222058"/>
        <n v="7420.4958333332161"/>
        <n v="2501.4674999999606"/>
        <n v="11114.530952380766"/>
        <n v="31597.630166666393"/>
        <n v="2259.1241666665251"/>
        <n v="-19170.333416666501"/>
        <n v="20302.793666665391"/>
        <n v="50302.297500000001"/>
        <n v="618091.37499999464"/>
        <n v="184230"/>
        <n v="20018.390238094551"/>
        <n v="2067.1999999999252"/>
        <n v="3482.142857142615"/>
        <n v="67.362499999997539"/>
        <n v="16073.599999999416"/>
        <n v="8363.2583333330113"/>
        <n v="9461.2033333325871"/>
        <n v="4808.7155952379944"/>
        <n v="5587.440476190357"/>
        <n v="1165.6071428571183"/>
        <n v="4370.1309523808604"/>
        <n v="252790.43999999424"/>
        <n v="1704.08"/>
        <n v="19156.704761904355"/>
        <n v="59629.272261903505"/>
        <n v="16506.205238094892"/>
        <n v="5172.8897619046529"/>
        <n v="37241.562857142075"/>
        <n v="1453.9849999999747"/>
        <n v="10371.096666666486"/>
        <n v="4818.9627777776932"/>
        <n v="1475.6083333333077"/>
        <n v="8992.6705555553981"/>
        <n v="6413.6005555554439"/>
        <n v="5871.9122222221195"/>
        <n v="2576.7444444443995"/>
        <n v="2421.3005555555128"/>
        <n v="2251.7299999999605"/>
        <n v="226024.59375"/>
        <n v="226026.05175000004"/>
        <n v="218501.90100000001"/>
        <n v="16506.215476190126"/>
        <n v="20753.079761904322"/>
        <n v="2413.8101190475682"/>
        <n v="205228.52666666202"/>
        <n v="8385.3327380950595"/>
        <n v="18247.684761904377"/>
        <n v="4075.7601190475325"/>
        <n v="7979.9999999998181"/>
        <n v="3683.9047619046778"/>
        <n v="5702.857142857014"/>
        <n v="4447.6190476189458"/>
        <n v="13434.034285714286"/>
        <n v="13914.718124999999"/>
        <n v="236858.1875"/>
        <n v="88125.666916665563"/>
        <n v="230541.96916666377"/>
        <n v="492.48599999999988"/>
        <n v="1912.9616666666193"/>
        <n v="-1553.0400000000004"/>
        <n v="-975.79799999999977"/>
        <n v="113045.51266666528"/>
        <n v="11870.982"/>
        <n v="1182768.2220000001"/>
        <n v="273641.26800000004"/>
        <n v="142972.70749999816"/>
        <n v="20220.444444444249"/>
        <n v="18235.999999999825"/>
        <n v="3446.2332142857149"/>
        <n v="9515.4285714280304"/>
        <n v="4253.6685714283303"/>
        <n v="4116.4761111110311"/>
        <n v="7054.246944444305"/>
        <n v="6492.7594444443166"/>
        <n v="5848.0886111109958"/>
        <n v="4028.4499999999198"/>
        <n v="4056.1777777776988"/>
        <n v="5130.6291666665657"/>
        <n v="10886.499880951698"/>
        <n v="898.23166666634097"/>
        <n v="1353.7183333328412"/>
        <n v="502.71666666665192"/>
        <n v="203.4375"/>
        <n v="178456.50649999472"/>
        <n v="1356.6296666666456"/>
        <n v="11349.871428571427"/>
        <n v="175716.22383333073"/>
        <n v="84654.109583330719"/>
        <n v="5108.75555555544"/>
        <n v="8180.0222222220373"/>
        <n v="6519.3444444442966"/>
        <n v="6539.27777777763"/>
        <n v="8354.9333333331433"/>
        <n v="5877.2666666665327"/>
        <n v="2389.8142857140683"/>
        <n v="3523.1785714282523"/>
        <n v="19439.866666664901"/>
        <n v="25867.013888888599"/>
        <n v="21936.111111110607"/>
        <n v="23432.057999999633"/>
        <n v="29484.533333330633"/>
        <n v="46631.502666665852"/>
        <n v="21666.423999999624"/>
        <n v="6937.9006666665446"/>
        <n v="4160.7533333332567"/>
        <n v="3019.7142857140097"/>
        <n v="271.03333333332284"/>
        <n v="128613.72966666165"/>
        <n v="448.30833333332441"/>
        <n v="3896.7369047615539"/>
        <n v="89549.047166664881"/>
        <n v="14473.611111110722"/>
        <n v="13108.888888888539"/>
        <n v="3098.9580952373908"/>
        <n v="1984.2971428566925"/>
        <n v="1615.6641666664582"/>
        <n v="2827.575833332965"/>
        <n v="2711.5883333329803"/>
        <n v="1578.2024999997957"/>
        <n v="1875.7449999997552"/>
        <n v="10470.536666666525"/>
        <n v="11056.605208333185"/>
        <n v="3681.3661805555048"/>
        <n v="225.54340277777476"/>
        <n v="4862.1527777777119"/>
        <n v="12140.739652777613"/>
        <n v="544.58964285714319"/>
        <n v="588.23142857142739"/>
        <n v="138.32821428571469"/>
        <n v="104.06404761895283"/>
        <n v="57.104999999947722"/>
        <n v="4.732857142852879"/>
        <n v="695.08569444443356"/>
        <n v="590.73402777776869"/>
        <n v="1347.8193055555346"/>
        <n v="1938.6703472221625"/>
        <n v="1506.0774305555092"/>
        <n v="577.63569444443544"/>
        <n v="1024.6502083333332"/>
        <n v="1982.3649999999998"/>
        <n v="774.06791666666663"/>
        <n v="1364.1913555755027"/>
        <n v="69212.679999999993"/>
        <n v="6071.6666666666661"/>
        <n v="4926.013888888654"/>
        <n v="1504.6944444443725"/>
        <n v="1396.1806944443774"/>
        <n v="1367.5751388888234"/>
        <n v="1353.2723611110459"/>
        <n v="1327.5273611110479"/>
        <n v="742.72724999999991"/>
        <n v="4.9713888888886828"/>
        <n v="5.5213888888886622"/>
        <n v="898.10874999996304"/>
        <n v="997.47541666662528"/>
        <n v="2662.2808333333342"/>
        <n v="373.86708333333354"/>
        <n v="434.09625000000005"/>
        <n v="721.01749999999993"/>
        <n v="1262.6343749999996"/>
        <n v="1236.2114583333332"/>
        <n v="887.0733333333319"/>
        <n v="414.32888888879461"/>
        <n v="280.48500000000058"/>
        <n v="4506.1333333332313"/>
        <n v="3528.2569444443925"/>
        <n v="1980.6911805555264"/>
        <n v="1995.6319444444148"/>
        <n v="4647.8611111110422"/>
        <n v="2537.8541666666288"/>
        <n v="3140.2291666666197"/>
        <n v="4682.6944444443716"/>
        <n v="2409.0138888888514"/>
        <n v="64210.847999999998"/>
        <n v="253.81059523805334"/>
        <n v="628.84904761894359"/>
        <n v="7227.0416666665533"/>
        <n v="856.66683333331048"/>
        <n v="3745.0773333332327"/>
        <n v="7448.833333333132"/>
        <n v="5888.2134999998452"/>
        <n v="4601.9583333333339"/>
        <n v="2367.479166666667"/>
        <n v="5673.5906221817677"/>
        <n v="74837.262499994773"/>
        <n v="3472.6015277776423"/>
        <n v="1436.4505555554997"/>
        <n v="5323.4027777775718"/>
        <n v="2228.974999999914"/>
        <n v="28596.056249999994"/>
        <n v="3060.6733333333341"/>
        <n v="875.78166666666675"/>
        <n v="418.22916666659785"/>
        <n v="3142.8023611105964"/>
        <n v="688.34000000000015"/>
        <n v="885.02562499985288"/>
      </sharedItems>
    </cacheField>
    <cacheField name="Pre 1/1/2021 Add?" numFmtId="0">
      <sharedItems containsBlank="1" count="3">
        <s v="No"/>
        <m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3">
  <r>
    <n v="2112"/>
    <n v="313091"/>
    <x v="0"/>
    <x v="0"/>
    <n v="720"/>
    <m/>
    <s v="94-3283464"/>
    <n v="0"/>
    <s v="6969 SHIRLEY AVE"/>
    <m/>
    <s v="Non-Container Audit"/>
    <d v="2023-06-15T00:00:00"/>
    <d v="2023-06-15T00:00:00"/>
    <s v="2112-23-0011-1"/>
    <n v="500"/>
    <n v="14050"/>
    <n v="8014.68"/>
    <n v="14056"/>
    <n v="0"/>
    <n v="8014.68"/>
    <n v="0"/>
    <n v="54260"/>
    <n v="0"/>
    <s v="P"/>
    <m/>
    <n v="34802"/>
    <m/>
    <s v="Internal"/>
    <s v="A"/>
    <s v="SL"/>
    <m/>
    <s v="WCNX"/>
    <n v="0"/>
    <n v="0"/>
    <m/>
    <x v="0"/>
    <n v="6"/>
    <n v="2023"/>
    <n v="2028"/>
    <n v="2028.5"/>
    <n v="133.578"/>
    <n v="1602.9360000000001"/>
    <n v="1602.9360000000001"/>
    <n v="0"/>
    <n v="1602.9360000000001"/>
    <x v="0"/>
    <x v="0"/>
  </r>
  <r>
    <n v="2112"/>
    <n v="312998"/>
    <x v="0"/>
    <x v="1"/>
    <n v="1"/>
    <m/>
    <m/>
    <n v="0"/>
    <m/>
    <m/>
    <s v="1 YD FEL/REL/SL Metal"/>
    <d v="1997-10-01T00:00:00"/>
    <d v="1997-10-01T00:00:00"/>
    <m/>
    <n v="500"/>
    <n v="14050"/>
    <n v="188.01"/>
    <n v="14056"/>
    <n v="188.01"/>
    <n v="0"/>
    <n v="0"/>
    <n v="54260"/>
    <n v="0"/>
    <s v="A"/>
    <s v="Vancouver"/>
    <m/>
    <m/>
    <s v="Internal"/>
    <s v="A"/>
    <s v="SL"/>
    <d v="2023-07-31T00:00:00"/>
    <s v="WCNX"/>
    <n v="0"/>
    <n v="0"/>
    <m/>
    <x v="1"/>
    <n v="10"/>
    <n v="1997"/>
    <n v="2002"/>
    <n v="2002.8333333333333"/>
    <n v="3.1334999999999997"/>
    <n v="37.601999999999997"/>
    <n v="0"/>
    <n v="188.01"/>
    <n v="188.01"/>
    <x v="1"/>
    <x v="0"/>
  </r>
  <r>
    <n v="2112"/>
    <n v="312639"/>
    <x v="0"/>
    <x v="2"/>
    <n v="1"/>
    <m/>
    <s v="94-3283464"/>
    <n v="0"/>
    <s v="CDW DIR #70302"/>
    <m/>
    <m/>
    <d v="2023-07-17T00:00:00"/>
    <d v="2023-07-17T00:00:00"/>
    <s v="2112-23-0013-1"/>
    <n v="300"/>
    <n v="14110"/>
    <n v="202.67"/>
    <n v="14116"/>
    <n v="0"/>
    <n v="202.67"/>
    <n v="0"/>
    <n v="70260"/>
    <n v="0"/>
    <s v="P"/>
    <m/>
    <s v="NA"/>
    <m/>
    <s v="Internal"/>
    <s v="A"/>
    <s v="SL"/>
    <m/>
    <s v="WCNX"/>
    <n v="0"/>
    <n v="0"/>
    <m/>
    <x v="2"/>
    <n v="7"/>
    <n v="2023"/>
    <n v="2026"/>
    <n v="2026.5833333333333"/>
    <n v="5.6297222222222212"/>
    <n v="67.556666666666658"/>
    <n v="67.556666666666658"/>
    <n v="0"/>
    <n v="67.556666666666658"/>
    <x v="2"/>
    <x v="0"/>
  </r>
  <r>
    <n v="2112"/>
    <n v="312638"/>
    <x v="0"/>
    <x v="3"/>
    <n v="1"/>
    <m/>
    <s v="94-3283464"/>
    <n v="0"/>
    <s v="CDW DIR #70302"/>
    <m/>
    <m/>
    <d v="2023-07-17T00:00:00"/>
    <d v="2023-07-17T00:00:00"/>
    <s v="2112-23-0013-1"/>
    <n v="300"/>
    <n v="14110"/>
    <n v="1132.72"/>
    <n v="14116"/>
    <n v="0"/>
    <n v="1132.72"/>
    <n v="0"/>
    <n v="70260"/>
    <n v="0"/>
    <s v="P"/>
    <m/>
    <s v="NA"/>
    <m/>
    <s v="Internal"/>
    <s v="A"/>
    <s v="SL"/>
    <m/>
    <s v="WCNX"/>
    <n v="0"/>
    <n v="0"/>
    <m/>
    <x v="2"/>
    <n v="7"/>
    <n v="2023"/>
    <n v="2026"/>
    <n v="2026.5833333333333"/>
    <n v="31.464444444444442"/>
    <n v="377.57333333333332"/>
    <n v="377.57333333333332"/>
    <n v="0"/>
    <n v="377.57333333333332"/>
    <x v="3"/>
    <x v="0"/>
  </r>
  <r>
    <n v="2112"/>
    <n v="312110"/>
    <x v="0"/>
    <x v="4"/>
    <n v="2"/>
    <m/>
    <m/>
    <n v="0"/>
    <m/>
    <m/>
    <s v="30 YD RO Box"/>
    <d v="2008-11-03T00:00:00"/>
    <d v="2008-11-03T00:00:00"/>
    <m/>
    <n v="700"/>
    <n v="14050"/>
    <n v="30500"/>
    <n v="14056"/>
    <n v="30500"/>
    <n v="0"/>
    <n v="0"/>
    <n v="54260"/>
    <n v="0"/>
    <s v="A"/>
    <s v="LeMay Enterprises"/>
    <m/>
    <m/>
    <s v="Internal"/>
    <s v="A"/>
    <s v="SL"/>
    <d v="2023-07-31T00:00:00"/>
    <s v="WCNX"/>
    <n v="0"/>
    <n v="30500"/>
    <m/>
    <x v="3"/>
    <n v="11"/>
    <n v="2008"/>
    <n v="2015"/>
    <n v="2015.9166666666667"/>
    <n v="363.09523809523807"/>
    <n v="4357.1428571428569"/>
    <n v="0"/>
    <n v="30500"/>
    <n v="30500"/>
    <x v="1"/>
    <x v="0"/>
  </r>
  <r>
    <n v="2112"/>
    <n v="312109"/>
    <x v="0"/>
    <x v="5"/>
    <n v="2"/>
    <m/>
    <m/>
    <n v="0"/>
    <m/>
    <m/>
    <s v="20 YD RO Box"/>
    <d v="2008-11-03T00:00:00"/>
    <d v="2008-11-03T00:00:00"/>
    <m/>
    <n v="700"/>
    <n v="14050"/>
    <n v="2540.12"/>
    <n v="14056"/>
    <n v="2540.12"/>
    <n v="0"/>
    <n v="0"/>
    <n v="54260"/>
    <n v="0"/>
    <s v="A"/>
    <s v="LeMay Enterprises"/>
    <m/>
    <m/>
    <s v="Internal"/>
    <s v="A"/>
    <s v="SL"/>
    <d v="2023-07-31T00:00:00"/>
    <s v="WCNX"/>
    <n v="0"/>
    <n v="2540.12"/>
    <m/>
    <x v="3"/>
    <n v="11"/>
    <n v="2008"/>
    <n v="2015"/>
    <n v="2015.9166666666667"/>
    <n v="30.239523809523806"/>
    <n v="362.87428571428569"/>
    <n v="0"/>
    <n v="2540.12"/>
    <n v="2540.12"/>
    <x v="1"/>
    <x v="0"/>
  </r>
  <r>
    <n v="2112"/>
    <n v="311692"/>
    <x v="0"/>
    <x v="6"/>
    <n v="600"/>
    <m/>
    <s v="94-3283464"/>
    <n v="0"/>
    <s v="FILE 2524"/>
    <m/>
    <s v="Non-Container Audit"/>
    <d v="2023-07-03T00:00:00"/>
    <d v="2023-07-03T00:00:00"/>
    <s v="2112-23-0012-1"/>
    <n v="700"/>
    <n v="14050"/>
    <n v="34826.879999999997"/>
    <n v="14056"/>
    <n v="0"/>
    <n v="34826.879999999997"/>
    <n v="0"/>
    <n v="54260"/>
    <n v="0"/>
    <s v="P"/>
    <m/>
    <n v="50324791"/>
    <m/>
    <s v="Internal"/>
    <s v="A"/>
    <s v="SL"/>
    <m/>
    <s v="WCNX"/>
    <n v="0"/>
    <n v="0"/>
    <m/>
    <x v="4"/>
    <n v="7"/>
    <n v="2023"/>
    <n v="2030"/>
    <n v="2030.5833333333333"/>
    <n v="414.60571428571421"/>
    <n v="4975.2685714285708"/>
    <n v="4975.2685714285708"/>
    <n v="0"/>
    <n v="4975.2685714285708"/>
    <x v="4"/>
    <x v="0"/>
  </r>
  <r>
    <n v="2112"/>
    <n v="310045"/>
    <x v="0"/>
    <x v="7"/>
    <m/>
    <s v="Z452504-22889"/>
    <m/>
    <n v="2004"/>
    <m/>
    <m/>
    <s v="Manlift"/>
    <d v="2023-07-01T00:00:00"/>
    <d v="2023-07-01T00:00:00"/>
    <s v="2023 RSA Add"/>
    <n v="0"/>
    <n v="14030"/>
    <n v="0"/>
    <n v="14036"/>
    <n v="0"/>
    <n v="0"/>
    <n v="0"/>
    <n v="51260"/>
    <n v="0"/>
    <s v="P"/>
    <m/>
    <m/>
    <m/>
    <s v="Internal"/>
    <s v="A"/>
    <s v="NO"/>
    <m/>
    <s v="WCNX"/>
    <n v="0"/>
    <n v="0"/>
    <s v="BOOM LIFT"/>
    <x v="5"/>
    <n v="7"/>
    <n v="2023"/>
    <n v="2023"/>
    <n v="2023.5833333333333"/>
    <n v="0"/>
    <n v="0"/>
    <n v="0"/>
    <n v="0"/>
    <n v="0"/>
    <x v="1"/>
    <x v="0"/>
  </r>
  <r>
    <n v="2112"/>
    <n v="309959"/>
    <x v="0"/>
    <x v="7"/>
    <m/>
    <s v="Z452504-22889"/>
    <m/>
    <n v="2004"/>
    <m/>
    <m/>
    <s v="Manlift"/>
    <d v="2023-07-01T00:00:00"/>
    <d v="2023-07-01T00:00:00"/>
    <s v="0 NBV Input"/>
    <n v="0"/>
    <n v="14030"/>
    <n v="0"/>
    <n v="14036"/>
    <n v="0"/>
    <n v="0"/>
    <n v="0"/>
    <n v="51260"/>
    <n v="0"/>
    <s v="P"/>
    <m/>
    <m/>
    <m/>
    <s v="Internal"/>
    <s v="A"/>
    <s v="NO"/>
    <m/>
    <s v="WCNX"/>
    <n v="0"/>
    <n v="0"/>
    <s v="BOOM LIFT"/>
    <x v="5"/>
    <n v="7"/>
    <n v="2023"/>
    <n v="2023"/>
    <n v="2023.5833333333333"/>
    <n v="0"/>
    <n v="0"/>
    <n v="0"/>
    <n v="0"/>
    <n v="0"/>
    <x v="1"/>
    <x v="0"/>
  </r>
  <r>
    <n v="2112"/>
    <n v="309700"/>
    <x v="1"/>
    <x v="8"/>
    <m/>
    <m/>
    <m/>
    <n v="2023"/>
    <s v="xxxx"/>
    <s v="xxxx"/>
    <s v="Non-Rolling Stock"/>
    <d v="2023-05-30T00:00:00"/>
    <d v="2023-05-30T00:00:00"/>
    <s v="2112-23-0007-1"/>
    <n v="1000"/>
    <n v="14040"/>
    <n v="331.84"/>
    <n v="14046"/>
    <n v="5.53"/>
    <n v="326.31"/>
    <n v="5.53"/>
    <n v="51260"/>
    <n v="2.76"/>
    <s v="P"/>
    <m/>
    <n v="3277"/>
    <m/>
    <s v="Internal"/>
    <s v="A"/>
    <s v="SL"/>
    <m/>
    <s v="WCNX"/>
    <n v="0"/>
    <n v="0"/>
    <s v="CD2"/>
    <x v="6"/>
    <n v="5"/>
    <n v="2023"/>
    <n v="2033"/>
    <n v="2033.4166666666667"/>
    <n v="2.765333333333333"/>
    <n v="33.183999999999997"/>
    <n v="33.183999999999997"/>
    <n v="0"/>
    <n v="33.183999999999997"/>
    <x v="5"/>
    <x v="0"/>
  </r>
  <r>
    <n v="2112"/>
    <n v="309410"/>
    <x v="1"/>
    <x v="9"/>
    <m/>
    <m/>
    <m/>
    <n v="2023"/>
    <s v="xxxx"/>
    <s v="xxxx"/>
    <s v="Non-Rolling Stock"/>
    <d v="2023-05-30T00:00:00"/>
    <d v="2023-05-30T00:00:00"/>
    <s v="2112-23-0007-1"/>
    <n v="1000"/>
    <n v="14040"/>
    <n v="1462.9"/>
    <n v="14046"/>
    <n v="24.38"/>
    <n v="1438.52"/>
    <n v="24.38"/>
    <n v="51260"/>
    <n v="12.19"/>
    <s v="P"/>
    <m/>
    <s v="L0204888923 4"/>
    <m/>
    <s v="Internal"/>
    <s v="A"/>
    <s v="SL"/>
    <m/>
    <s v="WCNX"/>
    <n v="0"/>
    <n v="0"/>
    <s v="CD2"/>
    <x v="6"/>
    <n v="5"/>
    <n v="2023"/>
    <n v="2033"/>
    <n v="2033.4166666666667"/>
    <n v="12.190833333333336"/>
    <n v="146.29000000000002"/>
    <n v="146.29000000000002"/>
    <n v="0"/>
    <n v="146.29000000000002"/>
    <x v="6"/>
    <x v="0"/>
  </r>
  <r>
    <n v="2112"/>
    <n v="309409"/>
    <x v="1"/>
    <x v="9"/>
    <m/>
    <m/>
    <m/>
    <n v="2023"/>
    <s v="xxxx"/>
    <s v="xxxx"/>
    <s v="Non-Rolling Stock"/>
    <d v="2023-05-30T00:00:00"/>
    <d v="2023-05-30T00:00:00"/>
    <s v="2112-23-0007-1"/>
    <n v="1000"/>
    <n v="14040"/>
    <n v="5150"/>
    <n v="14046"/>
    <n v="85.83"/>
    <n v="5064.17"/>
    <n v="85.83"/>
    <n v="51260"/>
    <n v="42.91"/>
    <s v="P"/>
    <m/>
    <s v="L0204888923 3"/>
    <m/>
    <s v="Internal"/>
    <s v="A"/>
    <s v="SL"/>
    <m/>
    <s v="WCNX"/>
    <n v="0"/>
    <n v="0"/>
    <s v="CD2"/>
    <x v="6"/>
    <n v="5"/>
    <n v="2023"/>
    <n v="2033"/>
    <n v="2033.4166666666667"/>
    <n v="42.916666666666664"/>
    <n v="515"/>
    <n v="515"/>
    <n v="0"/>
    <n v="515"/>
    <x v="7"/>
    <x v="0"/>
  </r>
  <r>
    <n v="2112"/>
    <n v="309408"/>
    <x v="1"/>
    <x v="9"/>
    <m/>
    <m/>
    <m/>
    <n v="2023"/>
    <s v="xxxx"/>
    <s v="xxxx"/>
    <s v="Non-Rolling Stock"/>
    <d v="2023-04-21T00:00:00"/>
    <d v="2023-04-21T00:00:00"/>
    <s v="2112-23-0007-1"/>
    <n v="1000"/>
    <n v="14040"/>
    <n v="5150"/>
    <n v="14046"/>
    <n v="128.75"/>
    <n v="5021.25"/>
    <n v="128.75"/>
    <n v="51260"/>
    <n v="42.92"/>
    <s v="P"/>
    <m/>
    <s v="L0204888923 2"/>
    <m/>
    <s v="Internal"/>
    <s v="A"/>
    <s v="SL"/>
    <m/>
    <s v="WCNX"/>
    <n v="0"/>
    <n v="0"/>
    <s v="CD2"/>
    <x v="6"/>
    <n v="4"/>
    <n v="2023"/>
    <n v="2033"/>
    <n v="2033.3333333333333"/>
    <n v="42.916666666666664"/>
    <n v="515"/>
    <n v="515"/>
    <n v="0"/>
    <n v="515"/>
    <x v="7"/>
    <x v="0"/>
  </r>
  <r>
    <n v="2112"/>
    <n v="309407"/>
    <x v="1"/>
    <x v="9"/>
    <m/>
    <m/>
    <m/>
    <n v="2023"/>
    <s v="xxxx"/>
    <s v="xxxx"/>
    <s v="Non-Rolling Stock"/>
    <d v="2023-04-21T00:00:00"/>
    <d v="2023-04-21T00:00:00"/>
    <s v="2112-23-0007-1"/>
    <n v="1000"/>
    <n v="14040"/>
    <n v="5150"/>
    <n v="14046"/>
    <n v="128.75"/>
    <n v="5021.25"/>
    <n v="128.75"/>
    <n v="51260"/>
    <n v="42.92"/>
    <s v="P"/>
    <m/>
    <s v="L0204888923"/>
    <m/>
    <s v="Internal"/>
    <s v="A"/>
    <s v="SL"/>
    <m/>
    <s v="WCNX"/>
    <n v="0"/>
    <n v="0"/>
    <s v="CD2"/>
    <x v="6"/>
    <n v="4"/>
    <n v="2023"/>
    <n v="2033"/>
    <n v="2033.3333333333333"/>
    <n v="42.916666666666664"/>
    <n v="515"/>
    <n v="515"/>
    <n v="0"/>
    <n v="515"/>
    <x v="7"/>
    <x v="0"/>
  </r>
  <r>
    <n v="2112"/>
    <n v="308418"/>
    <x v="2"/>
    <x v="10"/>
    <n v="0"/>
    <s v="3BPZL00X78F718153"/>
    <m/>
    <n v="2008"/>
    <m/>
    <m/>
    <s v="Automated Sideload"/>
    <d v="2009-05-15T00:00:00"/>
    <d v="2009-05-15T00:00:00"/>
    <s v="2149-9-0026-1"/>
    <n v="900"/>
    <n v="14040"/>
    <n v="2763"/>
    <n v="14046"/>
    <n v="2763"/>
    <n v="0"/>
    <n v="0"/>
    <n v="51260"/>
    <n v="0"/>
    <s v="P"/>
    <m/>
    <s v="024/209970"/>
    <m/>
    <s v="Internal"/>
    <s v="A"/>
    <s v="SL"/>
    <d v="2023-05-31T00:00:00"/>
    <s v="WCNX"/>
    <n v="0"/>
    <n v="2763"/>
    <n v="28"/>
    <x v="7"/>
    <n v="5"/>
    <n v="2009"/>
    <n v="2018"/>
    <n v="2018.4166666666667"/>
    <n v="25.583333333333332"/>
    <n v="307"/>
    <n v="0"/>
    <n v="2763"/>
    <n v="2763"/>
    <x v="1"/>
    <x v="0"/>
  </r>
  <r>
    <n v="2112"/>
    <n v="308417"/>
    <x v="2"/>
    <x v="11"/>
    <n v="0"/>
    <n v="718153"/>
    <m/>
    <n v="2008"/>
    <m/>
    <m/>
    <s v="Automated Sideload"/>
    <d v="2009-05-15T00:00:00"/>
    <d v="2009-05-15T00:00:00"/>
    <s v="2149-9-0026-1"/>
    <n v="900"/>
    <n v="14040"/>
    <n v="1338.31"/>
    <n v="14046"/>
    <n v="1338.31"/>
    <n v="0"/>
    <n v="0"/>
    <n v="51260"/>
    <n v="0"/>
    <s v="P"/>
    <m/>
    <n v="2045"/>
    <m/>
    <s v="Internal"/>
    <s v="A"/>
    <s v="SL"/>
    <d v="2023-05-31T00:00:00"/>
    <s v="WCNX"/>
    <n v="0"/>
    <n v="1338.31"/>
    <n v="28"/>
    <x v="7"/>
    <n v="5"/>
    <n v="2009"/>
    <n v="2018"/>
    <n v="2018.4166666666667"/>
    <n v="12.39175925925926"/>
    <n v="148.70111111111112"/>
    <n v="0"/>
    <n v="1338.31"/>
    <n v="1338.31"/>
    <x v="1"/>
    <x v="0"/>
  </r>
  <r>
    <n v="2112"/>
    <n v="308416"/>
    <x v="2"/>
    <x v="12"/>
    <n v="0"/>
    <n v="718153"/>
    <m/>
    <n v="2008"/>
    <m/>
    <m/>
    <s v="Automated Sideload"/>
    <d v="2009-05-15T00:00:00"/>
    <d v="2009-05-15T00:00:00"/>
    <s v="2149-9-0026-1"/>
    <n v="900"/>
    <n v="14040"/>
    <n v="590"/>
    <n v="14046"/>
    <n v="590"/>
    <n v="0"/>
    <n v="0"/>
    <n v="51260"/>
    <n v="0"/>
    <s v="P"/>
    <m/>
    <s v="02-1633"/>
    <m/>
    <s v="Internal"/>
    <s v="A"/>
    <s v="SL"/>
    <d v="2023-05-31T00:00:00"/>
    <s v="WCNX"/>
    <n v="0"/>
    <n v="590"/>
    <n v="28"/>
    <x v="7"/>
    <n v="5"/>
    <n v="2009"/>
    <n v="2018"/>
    <n v="2018.4166666666667"/>
    <n v="5.4629629629629628"/>
    <n v="65.555555555555557"/>
    <n v="0"/>
    <n v="590"/>
    <n v="590"/>
    <x v="1"/>
    <x v="0"/>
  </r>
  <r>
    <n v="2112"/>
    <n v="308415"/>
    <x v="0"/>
    <x v="13"/>
    <n v="0"/>
    <s v="3BPZL00X78F718153"/>
    <s v="B12084L"/>
    <n v="2008"/>
    <s v="Peterbilt 320"/>
    <s v="McNeilus"/>
    <s v="Automated Sideload"/>
    <d v="2009-05-15T00:00:00"/>
    <d v="2009-05-15T00:00:00"/>
    <s v="2149-9-0026-1"/>
    <n v="900"/>
    <n v="14040"/>
    <n v="235798.41"/>
    <n v="14046"/>
    <n v="235798.41"/>
    <n v="0"/>
    <n v="0"/>
    <n v="51260"/>
    <n v="0"/>
    <s v="P"/>
    <m/>
    <n v="1019602"/>
    <n v="27"/>
    <s v="Internal"/>
    <s v="A"/>
    <s v="SL"/>
    <d v="2023-05-31T00:00:00"/>
    <s v="WCNX"/>
    <n v="0"/>
    <n v="235798.41"/>
    <n v="28"/>
    <x v="7"/>
    <n v="5"/>
    <n v="2009"/>
    <n v="2018"/>
    <n v="2018.4166666666667"/>
    <n v="2183.3186111111113"/>
    <n v="26199.823333333334"/>
    <n v="0"/>
    <n v="235798.41"/>
    <n v="235798.41"/>
    <x v="1"/>
    <x v="0"/>
  </r>
  <r>
    <n v="2112"/>
    <n v="308293"/>
    <x v="0"/>
    <x v="14"/>
    <n v="1"/>
    <m/>
    <m/>
    <n v="0"/>
    <s v="Cascon"/>
    <m/>
    <s v="12 YD RO Box"/>
    <d v="2001-09-27T00:00:00"/>
    <d v="2001-09-27T00:00:00"/>
    <s v="A-01-2149-002"/>
    <n v="1200"/>
    <n v="14050"/>
    <n v="2962"/>
    <n v="14056"/>
    <n v="2962"/>
    <n v="0"/>
    <n v="0"/>
    <n v="54260"/>
    <n v="0"/>
    <s v="P"/>
    <m/>
    <n v="2002152"/>
    <m/>
    <s v="Internal"/>
    <s v="A"/>
    <s v="SL"/>
    <d v="2023-05-31T00:00:00"/>
    <s v="WCNX"/>
    <n v="0"/>
    <n v="2962"/>
    <m/>
    <x v="3"/>
    <n v="9"/>
    <n v="2001"/>
    <n v="2013"/>
    <n v="2013.75"/>
    <n v="20.569444444444446"/>
    <n v="246.83333333333337"/>
    <n v="0"/>
    <n v="2962"/>
    <n v="2962"/>
    <x v="1"/>
    <x v="0"/>
  </r>
  <r>
    <n v="2112"/>
    <n v="308194"/>
    <x v="0"/>
    <x v="15"/>
    <n v="1"/>
    <m/>
    <m/>
    <n v="0"/>
    <m/>
    <m/>
    <s v="20 YD RO Box"/>
    <d v="1989-07-01T00:00:00"/>
    <d v="1989-07-01T00:00:00"/>
    <m/>
    <n v="1200"/>
    <n v="14050"/>
    <n v="1000"/>
    <n v="14056"/>
    <n v="1000"/>
    <n v="0"/>
    <n v="0"/>
    <n v="54260"/>
    <n v="0"/>
    <s v="A"/>
    <s v="DM Recycling"/>
    <m/>
    <m/>
    <s v="Internal"/>
    <s v="A"/>
    <s v="SL"/>
    <d v="2023-05-31T00:00:00"/>
    <s v="WCNX"/>
    <n v="0"/>
    <n v="1000"/>
    <m/>
    <x v="3"/>
    <n v="7"/>
    <n v="1989"/>
    <n v="2001"/>
    <n v="2001.5833333333333"/>
    <n v="6.9444444444444438"/>
    <n v="83.333333333333329"/>
    <n v="0"/>
    <n v="1000"/>
    <n v="1000"/>
    <x v="1"/>
    <x v="0"/>
  </r>
  <r>
    <n v="2112"/>
    <n v="307783"/>
    <x v="0"/>
    <x v="16"/>
    <n v="360"/>
    <m/>
    <m/>
    <n v="0"/>
    <m/>
    <m/>
    <m/>
    <d v="2008-11-03T00:00:00"/>
    <d v="2008-11-03T00:00:00"/>
    <m/>
    <n v="700"/>
    <n v="14050"/>
    <n v="4615.4799999999996"/>
    <n v="14056"/>
    <n v="4615.4799999999996"/>
    <n v="0"/>
    <n v="0"/>
    <n v="54260"/>
    <n v="0"/>
    <s v="A"/>
    <s v="LeMay Enterprises"/>
    <m/>
    <m/>
    <s v="Internal"/>
    <s v="A"/>
    <s v="SL"/>
    <d v="2023-05-31T00:00:00"/>
    <s v="WCNX"/>
    <n v="0"/>
    <n v="4615.4799999999996"/>
    <m/>
    <x v="1"/>
    <n v="11"/>
    <n v="2008"/>
    <n v="2015"/>
    <n v="2015.9166666666667"/>
    <n v="54.946190476190473"/>
    <n v="659.35428571428565"/>
    <n v="0"/>
    <n v="4615.4799999999996"/>
    <n v="4615.4799999999996"/>
    <x v="1"/>
    <x v="0"/>
  </r>
  <r>
    <n v="2112"/>
    <n v="307781"/>
    <x v="0"/>
    <x v="17"/>
    <n v="94"/>
    <m/>
    <m/>
    <n v="0"/>
    <m/>
    <m/>
    <s v="1.5 YD FEL/REL/SL Metal"/>
    <d v="2008-11-03T00:00:00"/>
    <d v="2008-11-03T00:00:00"/>
    <m/>
    <n v="1200"/>
    <n v="14050"/>
    <n v="3088.32"/>
    <n v="14056"/>
    <n v="3088.32"/>
    <n v="0"/>
    <n v="0"/>
    <n v="54260"/>
    <n v="0"/>
    <s v="A"/>
    <s v="LeMay Enterprises"/>
    <m/>
    <m/>
    <s v="Internal"/>
    <s v="A"/>
    <s v="SL"/>
    <d v="2023-05-31T00:00:00"/>
    <s v="WCNX"/>
    <n v="0"/>
    <n v="3088.32"/>
    <m/>
    <x v="1"/>
    <n v="11"/>
    <n v="2008"/>
    <n v="2020"/>
    <n v="2020.9166666666667"/>
    <n v="21.446666666666669"/>
    <n v="257.36"/>
    <n v="0"/>
    <n v="3088.32"/>
    <n v="3088.32"/>
    <x v="1"/>
    <x v="0"/>
  </r>
  <r>
    <n v="2112"/>
    <n v="307488"/>
    <x v="0"/>
    <x v="18"/>
    <n v="8"/>
    <m/>
    <m/>
    <n v="0"/>
    <m/>
    <m/>
    <s v="1.5 YD FEL/REL/SL Metal"/>
    <d v="2001-11-01T00:00:00"/>
    <d v="2001-11-01T00:00:00"/>
    <m/>
    <n v="600"/>
    <n v="14050"/>
    <n v="123.39"/>
    <n v="14056"/>
    <n v="123.39"/>
    <n v="0"/>
    <n v="0"/>
    <n v="54260"/>
    <n v="0"/>
    <s v="A"/>
    <s v="Island"/>
    <m/>
    <m/>
    <s v="Internal"/>
    <s v="A"/>
    <s v="SL"/>
    <d v="2023-05-31T00:00:00"/>
    <s v="WCNX"/>
    <n v="0"/>
    <n v="123.39"/>
    <m/>
    <x v="1"/>
    <n v="11"/>
    <n v="2001"/>
    <n v="2007"/>
    <n v="2007.9166666666667"/>
    <n v="1.7137500000000001"/>
    <n v="20.565000000000001"/>
    <n v="0"/>
    <n v="123.39"/>
    <n v="123.39"/>
    <x v="1"/>
    <x v="0"/>
  </r>
  <r>
    <n v="2112"/>
    <n v="307485"/>
    <x v="0"/>
    <x v="18"/>
    <n v="37"/>
    <m/>
    <m/>
    <n v="0"/>
    <m/>
    <m/>
    <s v="1.5 YD FEL/REL/SL Metal"/>
    <d v="2001-07-01T00:00:00"/>
    <d v="2001-07-01T00:00:00"/>
    <m/>
    <n v="600"/>
    <n v="14050"/>
    <n v="455.03"/>
    <n v="14056"/>
    <n v="455.03"/>
    <n v="0"/>
    <n v="0"/>
    <n v="54260"/>
    <n v="0"/>
    <s v="A"/>
    <s v="Mason County"/>
    <m/>
    <m/>
    <s v="Internal"/>
    <s v="A"/>
    <s v="SL"/>
    <d v="2023-05-31T00:00:00"/>
    <s v="WCNX"/>
    <n v="0"/>
    <n v="455.03"/>
    <m/>
    <x v="1"/>
    <n v="7"/>
    <n v="2001"/>
    <n v="2007"/>
    <n v="2007.5833333333333"/>
    <n v="6.31986111111111"/>
    <n v="75.838333333333324"/>
    <n v="0"/>
    <n v="455.03"/>
    <n v="455.03"/>
    <x v="1"/>
    <x v="0"/>
  </r>
  <r>
    <n v="2112"/>
    <n v="307479"/>
    <x v="0"/>
    <x v="19"/>
    <n v="24"/>
    <m/>
    <m/>
    <n v="0"/>
    <m/>
    <m/>
    <s v="6 YD FEL/REL/SL Metal"/>
    <d v="1994-08-30T00:00:00"/>
    <d v="1994-08-30T00:00:00"/>
    <m/>
    <n v="1200"/>
    <n v="14050"/>
    <n v="1618.5"/>
    <n v="14056"/>
    <n v="1618.5"/>
    <n v="0"/>
    <n v="0"/>
    <n v="54260"/>
    <n v="0"/>
    <s v="A"/>
    <s v="Murreys Disposal"/>
    <m/>
    <m/>
    <s v="Internal"/>
    <s v="A"/>
    <s v="SL"/>
    <d v="2023-05-31T00:00:00"/>
    <s v="WCNX"/>
    <n v="0"/>
    <n v="1618.5"/>
    <m/>
    <x v="1"/>
    <n v="8"/>
    <n v="1994"/>
    <n v="2006"/>
    <n v="2006.6666666666667"/>
    <n v="11.239583333333334"/>
    <n v="134.875"/>
    <n v="0"/>
    <n v="1618.5"/>
    <n v="1618.5"/>
    <x v="1"/>
    <x v="0"/>
  </r>
  <r>
    <n v="2112"/>
    <n v="305964"/>
    <x v="0"/>
    <x v="20"/>
    <n v="15"/>
    <m/>
    <s v="94-3283464"/>
    <n v="0"/>
    <s v="PO BOX 603008"/>
    <m/>
    <s v="1.5 YD REL Container"/>
    <d v="2023-05-01T00:00:00"/>
    <d v="2023-05-01T00:00:00"/>
    <s v="2112-23-0008-2"/>
    <n v="1200"/>
    <n v="14050"/>
    <n v="11837.1"/>
    <n v="14056"/>
    <n v="246.61"/>
    <n v="11590.49"/>
    <n v="246.61"/>
    <n v="54260"/>
    <n v="82.2"/>
    <s v="P"/>
    <m/>
    <s v="20INV000368504"/>
    <m/>
    <s v="Internal"/>
    <s v="A"/>
    <s v="SL"/>
    <m/>
    <s v="WCNX"/>
    <n v="0"/>
    <n v="0"/>
    <m/>
    <x v="1"/>
    <n v="5"/>
    <n v="2023"/>
    <n v="2035"/>
    <n v="2035.4166666666667"/>
    <n v="82.202083333333334"/>
    <n v="986.42499999999995"/>
    <n v="986.42499999999995"/>
    <n v="0"/>
    <n v="986.42499999999995"/>
    <x v="8"/>
    <x v="0"/>
  </r>
  <r>
    <n v="2112"/>
    <n v="305963"/>
    <x v="0"/>
    <x v="21"/>
    <n v="15"/>
    <m/>
    <s v="94-3283464"/>
    <n v="0"/>
    <s v="PO BOX 603008"/>
    <m/>
    <s v="1 YD REL Container"/>
    <d v="2023-05-01T00:00:00"/>
    <d v="2023-05-01T00:00:00"/>
    <s v="2112-23-0008-2"/>
    <n v="1200"/>
    <n v="14050"/>
    <n v="11347.5"/>
    <n v="14056"/>
    <n v="236.41"/>
    <n v="11111.09"/>
    <n v="236.41"/>
    <n v="54260"/>
    <n v="78.8"/>
    <s v="P"/>
    <m/>
    <s v="20INV000368504"/>
    <m/>
    <s v="Internal"/>
    <s v="A"/>
    <s v="SL"/>
    <m/>
    <s v="WCNX"/>
    <n v="0"/>
    <n v="0"/>
    <m/>
    <x v="1"/>
    <n v="5"/>
    <n v="2023"/>
    <n v="2035"/>
    <n v="2035.4166666666667"/>
    <n v="78.802083333333329"/>
    <n v="945.625"/>
    <n v="945.625"/>
    <n v="0"/>
    <n v="945.625"/>
    <x v="9"/>
    <x v="0"/>
  </r>
  <r>
    <n v="2112"/>
    <n v="305639"/>
    <x v="0"/>
    <x v="22"/>
    <m/>
    <s v="2NPMHM7X7PM881323"/>
    <m/>
    <n v="2023"/>
    <m/>
    <m/>
    <s v="Grapple"/>
    <d v="2023-04-21T00:00:00"/>
    <d v="2023-04-21T00:00:00"/>
    <s v="2112-23-0007-1"/>
    <n v="1000"/>
    <n v="14040"/>
    <n v="183264"/>
    <n v="14046"/>
    <n v="4581.6000000000004"/>
    <n v="178682.4"/>
    <n v="4581.6000000000004"/>
    <n v="51260"/>
    <n v="1527.2"/>
    <s v="P"/>
    <m/>
    <m/>
    <m/>
    <s v="Internal"/>
    <s v="A"/>
    <s v="SL"/>
    <m/>
    <s v="WCNX"/>
    <n v="0"/>
    <n v="0"/>
    <s v="CD2"/>
    <x v="6"/>
    <n v="4"/>
    <n v="2023"/>
    <n v="2033"/>
    <n v="2033.3333333333333"/>
    <n v="1527.2"/>
    <n v="18326.400000000001"/>
    <n v="18326.400000000001"/>
    <n v="0"/>
    <n v="18326.400000000001"/>
    <x v="10"/>
    <x v="0"/>
  </r>
  <r>
    <n v="2112"/>
    <n v="305638"/>
    <x v="1"/>
    <x v="23"/>
    <m/>
    <s v="2NPMHM7X7PM881323"/>
    <m/>
    <n v="2023"/>
    <m/>
    <m/>
    <s v="Non-Rolling Stock"/>
    <d v="2023-04-21T00:00:00"/>
    <d v="2023-04-21T00:00:00"/>
    <s v="2112-22-0005-1"/>
    <n v="500"/>
    <n v="14040"/>
    <n v="933.99"/>
    <n v="14046"/>
    <n v="46.7"/>
    <n v="887.29"/>
    <n v="46.7"/>
    <n v="51260"/>
    <n v="15.57"/>
    <s v="P"/>
    <m/>
    <m/>
    <m/>
    <s v="Internal"/>
    <s v="A"/>
    <s v="SL"/>
    <m/>
    <s v="WCNX"/>
    <n v="0"/>
    <n v="0"/>
    <s v="CD2"/>
    <x v="6"/>
    <n v="4"/>
    <n v="2023"/>
    <n v="2028"/>
    <n v="2028.3333333333333"/>
    <n v="15.5665"/>
    <n v="186.798"/>
    <n v="186.798"/>
    <n v="0"/>
    <n v="186.798"/>
    <x v="11"/>
    <x v="0"/>
  </r>
  <r>
    <n v="2112"/>
    <n v="305303"/>
    <x v="0"/>
    <x v="24"/>
    <n v="5"/>
    <m/>
    <s v="94-3283464"/>
    <n v="0"/>
    <s v="PO BOX 603008"/>
    <m/>
    <s v="6 YD FEL Container"/>
    <d v="2023-05-11T00:00:00"/>
    <d v="2023-05-11T00:00:00"/>
    <s v="2112-23-0008-1"/>
    <n v="1200"/>
    <n v="14050"/>
    <n v="6234.07"/>
    <n v="14056"/>
    <n v="129.88"/>
    <n v="6104.19"/>
    <n v="129.88"/>
    <n v="54260"/>
    <n v="43.29"/>
    <s v="P"/>
    <m/>
    <s v="20INV000368500"/>
    <m/>
    <s v="Internal"/>
    <s v="A"/>
    <s v="SL"/>
    <m/>
    <s v="WCNX"/>
    <n v="0"/>
    <n v="0"/>
    <m/>
    <x v="1"/>
    <n v="5"/>
    <n v="2023"/>
    <n v="2035"/>
    <n v="2035.4166666666667"/>
    <n v="43.292152777777773"/>
    <n v="519.50583333333327"/>
    <n v="519.50583333333327"/>
    <n v="0"/>
    <n v="519.50583333333327"/>
    <x v="12"/>
    <x v="0"/>
  </r>
  <r>
    <n v="2112"/>
    <n v="305302"/>
    <x v="0"/>
    <x v="25"/>
    <n v="10"/>
    <m/>
    <s v="94-3283464"/>
    <n v="0"/>
    <s v="PO BOX 603008"/>
    <m/>
    <s v="4 YD FEL Container"/>
    <d v="2023-05-11T00:00:00"/>
    <d v="2023-05-11T00:00:00"/>
    <s v="2112-23-0008-1"/>
    <n v="1200"/>
    <n v="14050"/>
    <n v="8731.0400000000009"/>
    <n v="14056"/>
    <n v="181.9"/>
    <n v="8549.1400000000012"/>
    <n v="181.9"/>
    <n v="54260"/>
    <n v="60.63"/>
    <s v="P"/>
    <m/>
    <s v="20INV000368500"/>
    <m/>
    <s v="Internal"/>
    <s v="A"/>
    <s v="SL"/>
    <m/>
    <s v="WCNX"/>
    <n v="0"/>
    <n v="0"/>
    <m/>
    <x v="1"/>
    <n v="5"/>
    <n v="2023"/>
    <n v="2035"/>
    <n v="2035.4166666666667"/>
    <n v="60.632222222222225"/>
    <n v="727.5866666666667"/>
    <n v="727.5866666666667"/>
    <n v="0"/>
    <n v="727.5866666666667"/>
    <x v="13"/>
    <x v="0"/>
  </r>
  <r>
    <n v="2112"/>
    <n v="305301"/>
    <x v="0"/>
    <x v="26"/>
    <n v="15"/>
    <m/>
    <s v="94-3283464"/>
    <n v="0"/>
    <s v="PO BOX 603008"/>
    <m/>
    <s v="1.5 YD FEL Container"/>
    <d v="2023-05-11T00:00:00"/>
    <d v="2023-05-11T00:00:00"/>
    <s v="2112-23-0008-1"/>
    <n v="1200"/>
    <n v="14050"/>
    <n v="10308.64"/>
    <n v="14056"/>
    <n v="214.76"/>
    <n v="10093.879999999999"/>
    <n v="214.76"/>
    <n v="54260"/>
    <n v="71.58"/>
    <s v="P"/>
    <m/>
    <s v="20INV000368500"/>
    <m/>
    <s v="Internal"/>
    <s v="A"/>
    <s v="SL"/>
    <m/>
    <s v="WCNX"/>
    <n v="0"/>
    <n v="0"/>
    <m/>
    <x v="1"/>
    <n v="5"/>
    <n v="2023"/>
    <n v="2035"/>
    <n v="2035.4166666666667"/>
    <n v="71.587777777777774"/>
    <n v="859.05333333333328"/>
    <n v="859.05333333333328"/>
    <n v="0"/>
    <n v="859.05333333333328"/>
    <x v="14"/>
    <x v="0"/>
  </r>
  <r>
    <n v="2112"/>
    <n v="305300"/>
    <x v="0"/>
    <x v="27"/>
    <n v="15"/>
    <m/>
    <s v="94-3283464"/>
    <n v="0"/>
    <s v="PO BOX 603008"/>
    <m/>
    <s v="1 YD FEL Container"/>
    <d v="2023-05-11T00:00:00"/>
    <d v="2023-05-11T00:00:00"/>
    <s v="2112-23-0008-1"/>
    <n v="1200"/>
    <n v="14050"/>
    <n v="9084.64"/>
    <n v="14056"/>
    <n v="189.26"/>
    <n v="8895.3799999999992"/>
    <n v="189.26"/>
    <n v="54260"/>
    <n v="63.08"/>
    <s v="P"/>
    <m/>
    <s v="20INV000368500"/>
    <m/>
    <s v="Internal"/>
    <s v="A"/>
    <s v="SL"/>
    <m/>
    <s v="WCNX"/>
    <n v="0"/>
    <n v="0"/>
    <m/>
    <x v="1"/>
    <n v="5"/>
    <n v="2023"/>
    <n v="2035"/>
    <n v="2035.4166666666667"/>
    <n v="63.087777777777774"/>
    <n v="757.05333333333328"/>
    <n v="757.05333333333328"/>
    <n v="0"/>
    <n v="757.05333333333328"/>
    <x v="15"/>
    <x v="0"/>
  </r>
  <r>
    <n v="2112"/>
    <n v="304153"/>
    <x v="3"/>
    <x v="28"/>
    <n v="1"/>
    <m/>
    <m/>
    <n v="0"/>
    <s v="CDW DIR #14111"/>
    <m/>
    <m/>
    <d v="2023-04-13T00:00:00"/>
    <d v="2023-04-13T00:00:00"/>
    <s v="2112-23-0009-1"/>
    <n v="300"/>
    <n v="14110"/>
    <n v="198.09"/>
    <n v="14116"/>
    <n v="22.01"/>
    <n v="176.08"/>
    <n v="22.01"/>
    <n v="70260"/>
    <n v="5.5"/>
    <s v="P"/>
    <m/>
    <s v="NA"/>
    <m/>
    <s v="Internal"/>
    <s v="A"/>
    <s v="SL"/>
    <m/>
    <s v="WCNX"/>
    <n v="0"/>
    <n v="0"/>
    <m/>
    <x v="2"/>
    <n v="4"/>
    <n v="2023"/>
    <n v="2026"/>
    <n v="2026.3333333333333"/>
    <n v="5.5025000000000004"/>
    <n v="66.03"/>
    <n v="66.03"/>
    <n v="0"/>
    <n v="66.03"/>
    <x v="16"/>
    <x v="0"/>
  </r>
  <r>
    <n v="2112"/>
    <n v="304152"/>
    <x v="0"/>
    <x v="29"/>
    <n v="1"/>
    <m/>
    <m/>
    <n v="0"/>
    <s v="CDW DIR #14111"/>
    <m/>
    <m/>
    <d v="2023-04-13T00:00:00"/>
    <d v="2023-04-13T00:00:00"/>
    <s v="2112-23-0009-1"/>
    <n v="300"/>
    <n v="14110"/>
    <n v="1069.06"/>
    <n v="14116"/>
    <n v="118.79"/>
    <n v="950.27"/>
    <n v="118.79"/>
    <n v="70260"/>
    <n v="29.7"/>
    <s v="P"/>
    <m/>
    <s v="NA"/>
    <m/>
    <s v="Internal"/>
    <s v="A"/>
    <s v="SL"/>
    <m/>
    <s v="WCNX"/>
    <n v="0"/>
    <n v="0"/>
    <m/>
    <x v="2"/>
    <n v="4"/>
    <n v="2023"/>
    <n v="2026"/>
    <n v="2026.3333333333333"/>
    <n v="29.696111111111108"/>
    <n v="356.3533333333333"/>
    <n v="356.3533333333333"/>
    <n v="0"/>
    <n v="356.3533333333333"/>
    <x v="17"/>
    <x v="0"/>
  </r>
  <r>
    <n v="2112"/>
    <n v="302743"/>
    <x v="4"/>
    <x v="30"/>
    <n v="0"/>
    <m/>
    <m/>
    <n v="2010"/>
    <m/>
    <m/>
    <s v="REL Truck"/>
    <d v="2010-01-01T00:00:00"/>
    <d v="2010-01-01T00:00:00"/>
    <s v="2144-9-0008-1"/>
    <n v="1000"/>
    <n v="14040"/>
    <n v="79897.05"/>
    <n v="14046"/>
    <n v="79897.05"/>
    <n v="0"/>
    <n v="0"/>
    <n v="51260"/>
    <n v="0"/>
    <s v="P"/>
    <m/>
    <n v="1162237"/>
    <m/>
    <s v="Internal"/>
    <s v="A"/>
    <s v="SL"/>
    <d v="2023-03-31T00:00:00"/>
    <s v="WCNX"/>
    <n v="0"/>
    <n v="79897.05"/>
    <n v="5040"/>
    <x v="7"/>
    <n v="1"/>
    <n v="2010"/>
    <n v="2020"/>
    <n v="2020.0833333333333"/>
    <n v="665.80875000000003"/>
    <n v="7989.7049999999999"/>
    <n v="0"/>
    <n v="79897.05"/>
    <n v="79897.05"/>
    <x v="1"/>
    <x v="0"/>
  </r>
  <r>
    <n v="2112"/>
    <n v="302742"/>
    <x v="4"/>
    <x v="31"/>
    <n v="0"/>
    <s v="1HTWGAZR6AJ259927"/>
    <m/>
    <n v="2010"/>
    <m/>
    <m/>
    <s v="REL Truck"/>
    <d v="2009-12-31T00:00:00"/>
    <d v="2009-12-31T00:00:00"/>
    <s v="2144-9-0008-1"/>
    <n v="1000"/>
    <n v="14040"/>
    <n v="9163.6299999999992"/>
    <n v="14046"/>
    <n v="9163.6299999999992"/>
    <n v="0"/>
    <n v="0"/>
    <n v="51260"/>
    <n v="0"/>
    <s v="P"/>
    <m/>
    <n v="59927"/>
    <m/>
    <s v="Internal"/>
    <s v="A"/>
    <s v="SL"/>
    <d v="2023-03-31T00:00:00"/>
    <s v="WCNX"/>
    <n v="0"/>
    <n v="9163.6299999999992"/>
    <n v="5040"/>
    <x v="7"/>
    <n v="12"/>
    <n v="2009"/>
    <n v="2019"/>
    <n v="2020"/>
    <n v="76.363583333333324"/>
    <n v="916.36299999999983"/>
    <n v="0"/>
    <n v="9163.6299999999992"/>
    <n v="9163.6299999999992"/>
    <x v="1"/>
    <x v="0"/>
  </r>
  <r>
    <n v="2112"/>
    <n v="302423"/>
    <x v="0"/>
    <x v="32"/>
    <n v="0"/>
    <s v="1HTWCAANX9J126605"/>
    <s v="C18568T"/>
    <n v="2009"/>
    <s v="International 7400"/>
    <s v="Heil"/>
    <s v="REL Truck"/>
    <d v="2009-09-28T00:00:00"/>
    <d v="2009-09-28T00:00:00"/>
    <s v="2149-9-0036-1"/>
    <n v="900"/>
    <n v="14040"/>
    <n v="131742"/>
    <n v="14046"/>
    <n v="131742"/>
    <n v="0"/>
    <n v="0"/>
    <n v="51260"/>
    <n v="0"/>
    <s v="P"/>
    <m/>
    <n v="24044364"/>
    <n v="31"/>
    <s v="Internal"/>
    <s v="A"/>
    <s v="SL"/>
    <d v="2023-03-31T00:00:00"/>
    <s v="WCNX"/>
    <n v="0"/>
    <n v="131742"/>
    <n v="31"/>
    <x v="7"/>
    <n v="9"/>
    <n v="2009"/>
    <n v="2018"/>
    <n v="2018.75"/>
    <n v="1219.8333333333333"/>
    <n v="14638"/>
    <n v="0"/>
    <n v="131742"/>
    <n v="131742"/>
    <x v="1"/>
    <x v="0"/>
  </r>
  <r>
    <n v="2112"/>
    <n v="302422"/>
    <x v="0"/>
    <x v="33"/>
    <n v="0"/>
    <s v="1HTWGAZR6AJ259927"/>
    <s v="B27391N"/>
    <n v="2010"/>
    <s v="International"/>
    <s v="McNeilus"/>
    <s v="REL Truck"/>
    <d v="2009-12-31T00:00:00"/>
    <d v="2009-12-31T00:00:00"/>
    <s v="2144-9-0008-1"/>
    <n v="1000"/>
    <n v="14040"/>
    <n v="95271.64"/>
    <n v="14046"/>
    <n v="95271.64"/>
    <n v="0"/>
    <n v="0"/>
    <n v="51260"/>
    <n v="0"/>
    <s v="P"/>
    <m/>
    <n v="7878"/>
    <s v=" 50-40"/>
    <s v="Internal"/>
    <s v="A"/>
    <s v="SL"/>
    <d v="2023-03-31T00:00:00"/>
    <s v="WCNX"/>
    <n v="0"/>
    <n v="95271.64"/>
    <n v="5040"/>
    <x v="7"/>
    <n v="12"/>
    <n v="2009"/>
    <n v="2019"/>
    <n v="2020"/>
    <n v="793.93033333333335"/>
    <n v="9527.1640000000007"/>
    <n v="0"/>
    <n v="95271.64"/>
    <n v="95271.64"/>
    <x v="1"/>
    <x v="0"/>
  </r>
  <r>
    <n v="2112"/>
    <n v="299286"/>
    <x v="5"/>
    <x v="34"/>
    <m/>
    <s v="3BPDLK0X7PF114140"/>
    <m/>
    <n v="0"/>
    <s v="SOLID WASTE SYSTEMS"/>
    <m/>
    <s v="Non-Rolling Stock"/>
    <d v="2023-01-23T00:00:00"/>
    <d v="2023-01-23T00:00:00"/>
    <s v="2112-22-0002-1"/>
    <n v="1000"/>
    <n v="14040"/>
    <n v="228789.55"/>
    <n v="14046"/>
    <n v="11439.48"/>
    <n v="217350.06999999998"/>
    <n v="11439.48"/>
    <n v="51260"/>
    <n v="1906.58"/>
    <s v="P"/>
    <m/>
    <n v="183520"/>
    <m/>
    <s v="Internal"/>
    <s v="A"/>
    <s v="SL"/>
    <m/>
    <s v="WCNX"/>
    <n v="0"/>
    <n v="0"/>
    <n v="895"/>
    <x v="7"/>
    <n v="1"/>
    <n v="2023"/>
    <n v="2033"/>
    <n v="2033.0833333333333"/>
    <n v="1906.5795833333332"/>
    <n v="22878.954999999998"/>
    <n v="22878.954999999998"/>
    <n v="0"/>
    <n v="22878.954999999998"/>
    <x v="18"/>
    <x v="0"/>
  </r>
  <r>
    <n v="2112"/>
    <n v="298876"/>
    <x v="6"/>
    <x v="35"/>
    <m/>
    <m/>
    <m/>
    <n v="0"/>
    <s v="D WELD SHOP"/>
    <m/>
    <s v="Non-Rolling Stock"/>
    <d v="2023-01-02T00:00:00"/>
    <d v="2023-01-02T00:00:00"/>
    <s v="2112-22-0014-1"/>
    <n v="1000"/>
    <n v="14040"/>
    <n v="641.91999999999996"/>
    <n v="14046"/>
    <n v="37.44"/>
    <n v="604.48"/>
    <n v="37.44"/>
    <n v="51260"/>
    <n v="5.34"/>
    <s v="P"/>
    <m/>
    <n v="611577"/>
    <m/>
    <s v="Internal"/>
    <s v="A"/>
    <s v="SL"/>
    <m/>
    <s v="WCNX"/>
    <n v="0"/>
    <n v="0"/>
    <n v="446"/>
    <x v="8"/>
    <n v="1"/>
    <n v="2023"/>
    <n v="2033"/>
    <n v="2033.0833333333333"/>
    <n v="5.3493333333333331"/>
    <n v="64.191999999999993"/>
    <n v="64.191999999999993"/>
    <n v="0"/>
    <n v="64.191999999999993"/>
    <x v="19"/>
    <x v="0"/>
  </r>
  <r>
    <n v="2112"/>
    <n v="298875"/>
    <x v="5"/>
    <x v="36"/>
    <m/>
    <m/>
    <m/>
    <n v="2023"/>
    <s v="SQ  BAILEY SIGNS &amp; GRAPHI"/>
    <m/>
    <s v="Non-Rolling Stock"/>
    <d v="2023-01-23T00:00:00"/>
    <d v="2023-01-23T00:00:00"/>
    <s v="2112-22-0002-1"/>
    <n v="1000"/>
    <n v="14040"/>
    <n v="848.64"/>
    <n v="14046"/>
    <n v="42.43"/>
    <n v="806.21"/>
    <n v="42.43"/>
    <n v="51260"/>
    <n v="7.07"/>
    <s v="P"/>
    <m/>
    <s v="NA"/>
    <m/>
    <s v="Internal"/>
    <s v="A"/>
    <s v="SL"/>
    <m/>
    <s v="WCNX"/>
    <n v="0"/>
    <n v="0"/>
    <n v="895"/>
    <x v="7"/>
    <n v="1"/>
    <n v="2023"/>
    <n v="2033"/>
    <n v="2033.0833333333333"/>
    <n v="7.0720000000000001"/>
    <n v="84.864000000000004"/>
    <n v="84.864000000000004"/>
    <n v="0"/>
    <n v="84.864000000000004"/>
    <x v="20"/>
    <x v="0"/>
  </r>
  <r>
    <n v="2112"/>
    <n v="298244"/>
    <x v="0"/>
    <x v="37"/>
    <m/>
    <s v="3BPDLK0X7PF114140"/>
    <s v="D23503C"/>
    <n v="2023"/>
    <s v="Peterbilt 520"/>
    <s v="Labrie"/>
    <s v="S/L Truck"/>
    <d v="2023-01-23T00:00:00"/>
    <d v="2023-01-23T00:00:00"/>
    <s v="2112-22-0002"/>
    <n v="1000"/>
    <n v="14040"/>
    <n v="199299.54"/>
    <n v="14046"/>
    <n v="9964.98"/>
    <n v="189334.56"/>
    <n v="9964.98"/>
    <n v="51260"/>
    <n v="1660.83"/>
    <s v="P"/>
    <m/>
    <m/>
    <n v="895"/>
    <s v="Internal"/>
    <s v="A"/>
    <s v="SL"/>
    <m/>
    <s v="WCNX"/>
    <n v="0"/>
    <n v="0"/>
    <n v="895"/>
    <x v="7"/>
    <n v="1"/>
    <n v="2023"/>
    <n v="2033"/>
    <n v="2033.0833333333333"/>
    <n v="1660.8295000000001"/>
    <n v="19929.954000000002"/>
    <n v="19929.954000000002"/>
    <n v="0"/>
    <n v="19929.954000000002"/>
    <x v="21"/>
    <x v="0"/>
  </r>
  <r>
    <n v="2112"/>
    <n v="298176"/>
    <x v="7"/>
    <x v="38"/>
    <m/>
    <s v="3BPDLJ0X0PF113681"/>
    <m/>
    <n v="2023"/>
    <s v="xxxx"/>
    <s v="xxxx"/>
    <s v="Non-Rolling Stock"/>
    <d v="2022-11-16T00:00:00"/>
    <d v="2022-11-16T00:00:00"/>
    <s v="2144-22-0015-1"/>
    <n v="1000"/>
    <n v="14040"/>
    <n v="244.8"/>
    <n v="14046"/>
    <n v="16.32"/>
    <n v="228.48000000000002"/>
    <n v="14.28"/>
    <n v="51260"/>
    <n v="2.04"/>
    <s v="P"/>
    <m/>
    <n v="3515"/>
    <m/>
    <s v="Internal"/>
    <s v="A"/>
    <s v="SL"/>
    <d v="2022-12-31T00:00:00"/>
    <s v="WCNX"/>
    <n v="0"/>
    <n v="2.04"/>
    <n v="894"/>
    <x v="9"/>
    <n v="11"/>
    <n v="2022"/>
    <n v="2032"/>
    <n v="2032.9166666666667"/>
    <n v="2.04"/>
    <n v="24.48"/>
    <n v="24.48"/>
    <n v="0"/>
    <n v="24.48"/>
    <x v="22"/>
    <x v="0"/>
  </r>
  <r>
    <n v="2112"/>
    <n v="298175"/>
    <x v="0"/>
    <x v="39"/>
    <m/>
    <s v="3BPDLJ0X0PF113681"/>
    <s v="D33058A"/>
    <n v="2023"/>
    <s v="Peterbilt 520"/>
    <s v="New Way"/>
    <s v="Automated Sideload"/>
    <d v="2022-11-16T00:00:00"/>
    <d v="2022-11-16T00:00:00"/>
    <s v="2144-22-0015-1"/>
    <n v="1000"/>
    <n v="14040"/>
    <n v="336162.2"/>
    <n v="14046"/>
    <n v="22410.81"/>
    <n v="313751.39"/>
    <n v="19609.46"/>
    <n v="51260"/>
    <n v="2801.35"/>
    <s v="P"/>
    <m/>
    <m/>
    <n v="894"/>
    <s v="Internal"/>
    <s v="A"/>
    <s v="SL"/>
    <d v="2022-12-31T00:00:00"/>
    <s v="WCNX"/>
    <n v="0"/>
    <n v="2801.35"/>
    <n v="894"/>
    <x v="9"/>
    <n v="11"/>
    <n v="2022"/>
    <n v="2032"/>
    <n v="2032.9166666666667"/>
    <n v="2801.3516666666669"/>
    <n v="33616.22"/>
    <n v="33616.22"/>
    <n v="0"/>
    <n v="33616.22"/>
    <x v="23"/>
    <x v="0"/>
  </r>
  <r>
    <n v="2112"/>
    <n v="298107"/>
    <x v="0"/>
    <x v="40"/>
    <n v="720"/>
    <m/>
    <m/>
    <n v="0"/>
    <s v="THUNDERBIRD PLASTICS LTD"/>
    <m/>
    <s v="Non-Container Audit"/>
    <d v="2023-01-02T00:00:00"/>
    <d v="2023-01-02T00:00:00"/>
    <s v="2112-22-0027-1"/>
    <n v="500"/>
    <n v="14050"/>
    <n v="7794.43"/>
    <n v="14056"/>
    <n v="909.35"/>
    <n v="6885.08"/>
    <n v="909.35"/>
    <n v="54260"/>
    <n v="129.9"/>
    <s v="P"/>
    <m/>
    <n v="34236"/>
    <m/>
    <s v="Internal"/>
    <s v="A"/>
    <s v="SL"/>
    <m/>
    <s v="WCNX"/>
    <n v="0"/>
    <n v="0"/>
    <m/>
    <x v="0"/>
    <n v="1"/>
    <n v="2023"/>
    <n v="2028"/>
    <n v="2028.0833333333333"/>
    <n v="129.90716666666665"/>
    <n v="1558.886"/>
    <n v="1558.886"/>
    <n v="0"/>
    <n v="1558.886"/>
    <x v="24"/>
    <x v="0"/>
  </r>
  <r>
    <n v="2112"/>
    <n v="297478"/>
    <x v="8"/>
    <x v="38"/>
    <m/>
    <m/>
    <m/>
    <n v="0"/>
    <s v="Bailey Signs &amp; Graphic"/>
    <m/>
    <s v="Non-Rolling Stock"/>
    <d v="2022-12-06T00:00:00"/>
    <d v="2022-12-06T00:00:00"/>
    <s v="2112-22-0004-1"/>
    <n v="1000"/>
    <n v="14040"/>
    <n v="244.8"/>
    <n v="14046"/>
    <n v="16.32"/>
    <n v="228.48000000000002"/>
    <n v="14.28"/>
    <n v="51260"/>
    <n v="2.04"/>
    <s v="P"/>
    <m/>
    <n v="3187"/>
    <m/>
    <s v="Internal"/>
    <s v="A"/>
    <s v="SL"/>
    <m/>
    <s v="WCNX"/>
    <n v="0"/>
    <n v="0"/>
    <n v="447"/>
    <x v="8"/>
    <n v="12"/>
    <n v="2022"/>
    <n v="2032"/>
    <n v="2033"/>
    <n v="2.04"/>
    <n v="24.48"/>
    <n v="24.48"/>
    <n v="0"/>
    <n v="24.48"/>
    <x v="22"/>
    <x v="0"/>
  </r>
  <r>
    <n v="2112"/>
    <n v="297477"/>
    <x v="6"/>
    <x v="38"/>
    <m/>
    <m/>
    <m/>
    <n v="0"/>
    <s v="Bailey Signs &amp; Graphic"/>
    <m/>
    <s v="Non-Rolling Stock"/>
    <d v="2022-10-31T00:00:00"/>
    <d v="2022-10-31T00:00:00"/>
    <s v="2112-22-0014-1"/>
    <n v="1000"/>
    <n v="14040"/>
    <n v="244.8"/>
    <n v="14046"/>
    <n v="18.36"/>
    <n v="226.44"/>
    <n v="14.28"/>
    <n v="51260"/>
    <n v="2.04"/>
    <s v="P"/>
    <m/>
    <n v="3187"/>
    <m/>
    <s v="Internal"/>
    <s v="A"/>
    <s v="SL"/>
    <m/>
    <s v="WCNX"/>
    <n v="0"/>
    <n v="0"/>
    <n v="446"/>
    <x v="8"/>
    <n v="10"/>
    <n v="2022"/>
    <n v="2032"/>
    <n v="2032.8333333333333"/>
    <n v="2.04"/>
    <n v="24.48"/>
    <n v="24.48"/>
    <n v="0"/>
    <n v="24.48"/>
    <x v="22"/>
    <x v="0"/>
  </r>
  <r>
    <n v="2112"/>
    <n v="294774"/>
    <x v="0"/>
    <x v="41"/>
    <n v="2"/>
    <m/>
    <m/>
    <n v="0"/>
    <s v="RULE STEEL TANKS INC"/>
    <m/>
    <s v="40 YD RO Box"/>
    <d v="2022-10-14T00:00:00"/>
    <d v="2022-10-14T00:00:00"/>
    <s v="2112-22-0024-1"/>
    <n v="1200"/>
    <n v="14050"/>
    <n v="29907"/>
    <n v="14056"/>
    <n v="2076.87"/>
    <n v="27830.13"/>
    <n v="1453.81"/>
    <n v="54260"/>
    <n v="207.68"/>
    <s v="P"/>
    <m/>
    <s v="0040253-IN"/>
    <m/>
    <s v="Internal"/>
    <s v="A"/>
    <s v="SL"/>
    <m/>
    <s v="WCNX"/>
    <n v="0"/>
    <n v="0"/>
    <m/>
    <x v="3"/>
    <n v="10"/>
    <n v="2022"/>
    <n v="2034"/>
    <n v="2034.8333333333333"/>
    <n v="207.6875"/>
    <n v="2492.25"/>
    <n v="2492.25"/>
    <n v="0"/>
    <n v="2492.25"/>
    <x v="25"/>
    <x v="0"/>
  </r>
  <r>
    <n v="2112"/>
    <n v="294555"/>
    <x v="0"/>
    <x v="42"/>
    <m/>
    <s v="1NPCX4EX3PD839285"/>
    <s v="D20176B"/>
    <n v="2023"/>
    <s v="Peterbilt 567"/>
    <s v="AA Welding"/>
    <s v="R/O Truck"/>
    <d v="2022-12-06T00:00:00"/>
    <d v="2022-12-06T00:00:00"/>
    <s v="2112-22-0004-1"/>
    <n v="1000"/>
    <n v="14040"/>
    <n v="301853.17"/>
    <n v="14046"/>
    <n v="20123.54"/>
    <n v="281729.63"/>
    <n v="17608.099999999999"/>
    <n v="51260"/>
    <n v="2515.44"/>
    <s v="P"/>
    <m/>
    <m/>
    <n v="447"/>
    <s v="Internal"/>
    <s v="A"/>
    <s v="SL"/>
    <m/>
    <s v="WCNX"/>
    <n v="0"/>
    <n v="0"/>
    <n v="447"/>
    <x v="8"/>
    <n v="12"/>
    <n v="2022"/>
    <n v="2032"/>
    <n v="2033"/>
    <n v="2515.4430833333331"/>
    <n v="30185.316999999995"/>
    <n v="30185.316999999995"/>
    <n v="0"/>
    <n v="30185.316999999995"/>
    <x v="26"/>
    <x v="0"/>
  </r>
  <r>
    <n v="2112"/>
    <n v="294554"/>
    <x v="0"/>
    <x v="42"/>
    <m/>
    <s v="1NPCX4EX8PD839279"/>
    <s v="D33057A"/>
    <n v="2023"/>
    <s v="Peterbilt 567"/>
    <s v="AA Welding"/>
    <s v="R/O Truck"/>
    <d v="2022-10-31T00:00:00"/>
    <d v="2022-10-31T00:00:00"/>
    <s v="2112-22-0014-1"/>
    <n v="1000"/>
    <n v="14040"/>
    <n v="296244.28000000003"/>
    <n v="14046"/>
    <n v="22218.33"/>
    <n v="274025.95"/>
    <n v="17280.919999999998"/>
    <n v="51260"/>
    <n v="2468.6999999999998"/>
    <s v="P"/>
    <m/>
    <m/>
    <n v="446"/>
    <s v="Internal"/>
    <s v="A"/>
    <s v="SL"/>
    <m/>
    <s v="WCNX"/>
    <n v="0"/>
    <n v="0"/>
    <n v="446"/>
    <x v="8"/>
    <n v="10"/>
    <n v="2022"/>
    <n v="2032"/>
    <n v="2032.8333333333333"/>
    <n v="2468.7023333333336"/>
    <n v="29624.428000000004"/>
    <n v="29624.428000000004"/>
    <n v="0"/>
    <n v="29624.428000000004"/>
    <x v="27"/>
    <x v="0"/>
  </r>
  <r>
    <n v="2112"/>
    <n v="290998"/>
    <x v="9"/>
    <x v="43"/>
    <n v="0"/>
    <m/>
    <m/>
    <n v="0"/>
    <s v="TRUCK SHOP"/>
    <m/>
    <s v="Non-Rolling Stock"/>
    <d v="2010-12-29T00:00:00"/>
    <d v="2010-12-29T00:00:00"/>
    <s v="2184-10-0003-1"/>
    <n v="300"/>
    <n v="14040"/>
    <n v="5632.16"/>
    <n v="14046"/>
    <n v="5632.16"/>
    <n v="0"/>
    <n v="0"/>
    <n v="51260"/>
    <n v="0"/>
    <s v="P"/>
    <m/>
    <n v="48955"/>
    <m/>
    <s v="Internal"/>
    <s v="A"/>
    <s v="SL"/>
    <d v="2022-09-30T00:00:00"/>
    <s v="WCNX"/>
    <n v="0"/>
    <n v="5632.16"/>
    <n v="9577"/>
    <x v="6"/>
    <n v="12"/>
    <n v="2010"/>
    <n v="2013"/>
    <n v="2014"/>
    <n v="156.44888888888889"/>
    <n v="1877.3866666666668"/>
    <n v="0"/>
    <n v="5632.16"/>
    <n v="5632.16"/>
    <x v="1"/>
    <x v="0"/>
  </r>
  <r>
    <n v="2112"/>
    <n v="290997"/>
    <x v="9"/>
    <x v="44"/>
    <n v="0"/>
    <m/>
    <m/>
    <n v="0"/>
    <s v="OLYMPIC TRUCK SERVICE"/>
    <m/>
    <s v="Non-Rolling Stock"/>
    <d v="2011-01-01T00:00:00"/>
    <d v="2011-01-01T00:00:00"/>
    <s v="2184-10-0003-1"/>
    <n v="300"/>
    <n v="14040"/>
    <n v="5587.93"/>
    <n v="14046"/>
    <n v="5587.93"/>
    <n v="0"/>
    <n v="0"/>
    <n v="51260"/>
    <n v="0"/>
    <s v="P"/>
    <m/>
    <n v="52995"/>
    <m/>
    <s v="Internal"/>
    <s v="A"/>
    <s v="SL"/>
    <d v="2022-09-30T00:00:00"/>
    <s v="WCNX"/>
    <n v="0"/>
    <n v="5587.93"/>
    <n v="9577"/>
    <x v="6"/>
    <n v="1"/>
    <n v="2011"/>
    <n v="2014"/>
    <n v="2014.0833333333333"/>
    <n v="155.2202777777778"/>
    <n v="1862.6433333333334"/>
    <n v="0"/>
    <n v="5587.93"/>
    <n v="5587.93"/>
    <x v="1"/>
    <x v="0"/>
  </r>
  <r>
    <n v="2112"/>
    <n v="290996"/>
    <x v="9"/>
    <x v="45"/>
    <n v="0"/>
    <m/>
    <m/>
    <n v="0"/>
    <s v="H&amp;H DIESEL SERVICES"/>
    <m/>
    <s v="Non-Rolling Stock"/>
    <d v="2011-01-01T00:00:00"/>
    <d v="2011-01-01T00:00:00"/>
    <s v="2184-10-0003-1"/>
    <n v="300"/>
    <n v="14040"/>
    <n v="323.42"/>
    <n v="14046"/>
    <n v="323.42"/>
    <n v="0"/>
    <n v="0"/>
    <n v="51260"/>
    <n v="0"/>
    <s v="P"/>
    <m/>
    <n v="139003"/>
    <m/>
    <s v="Internal"/>
    <s v="A"/>
    <s v="SL"/>
    <d v="2022-09-30T00:00:00"/>
    <s v="WCNX"/>
    <n v="0"/>
    <n v="323.42"/>
    <n v="9577"/>
    <x v="6"/>
    <n v="1"/>
    <n v="2011"/>
    <n v="2014"/>
    <n v="2014.0833333333333"/>
    <n v="8.9838888888888899"/>
    <n v="107.80666666666667"/>
    <n v="0"/>
    <n v="323.42"/>
    <n v="323.42"/>
    <x v="1"/>
    <x v="0"/>
  </r>
  <r>
    <n v="2112"/>
    <n v="290995"/>
    <x v="0"/>
    <x v="46"/>
    <n v="0"/>
    <s v="JW6BBF1H9XL003661"/>
    <m/>
    <n v="1999"/>
    <s v="Mitsubishi"/>
    <s v="Other"/>
    <s v="Container Delivery Truck"/>
    <d v="2008-11-03T00:00:00"/>
    <d v="2008-11-03T00:00:00"/>
    <m/>
    <n v="300"/>
    <n v="14040"/>
    <n v="7000"/>
    <n v="14046"/>
    <n v="7000"/>
    <n v="0"/>
    <n v="0"/>
    <n v="51260"/>
    <n v="0"/>
    <s v="A"/>
    <s v="LeMay Enterprises"/>
    <m/>
    <n v="9577"/>
    <s v="Internal"/>
    <s v="A"/>
    <s v="SL"/>
    <d v="2022-09-30T00:00:00"/>
    <s v="WCNX"/>
    <n v="0"/>
    <n v="7000"/>
    <n v="9577"/>
    <x v="6"/>
    <n v="11"/>
    <n v="2008"/>
    <n v="2011"/>
    <n v="2011.9166666666667"/>
    <n v="194.44444444444446"/>
    <n v="2333.3333333333335"/>
    <n v="0"/>
    <n v="7000"/>
    <n v="7000"/>
    <x v="1"/>
    <x v="0"/>
  </r>
  <r>
    <n v="2112"/>
    <n v="287547"/>
    <x v="0"/>
    <x v="47"/>
    <n v="1"/>
    <m/>
    <m/>
    <n v="0"/>
    <s v="CDW DIR #2112"/>
    <m/>
    <m/>
    <d v="2022-08-04T00:00:00"/>
    <d v="2022-08-04T00:00:00"/>
    <s v="2112-22-0025-1"/>
    <n v="300"/>
    <n v="14110"/>
    <n v="1353.6"/>
    <n v="14116"/>
    <n v="451.2"/>
    <n v="902.39999999999986"/>
    <n v="263.2"/>
    <n v="70260"/>
    <n v="37.6"/>
    <s v="P"/>
    <m/>
    <s v="BT66312"/>
    <m/>
    <s v="Internal"/>
    <s v="A"/>
    <s v="SL"/>
    <m/>
    <s v="WCNX"/>
    <n v="0"/>
    <n v="0"/>
    <m/>
    <x v="2"/>
    <n v="8"/>
    <n v="2022"/>
    <n v="2025"/>
    <n v="2025.6666666666667"/>
    <n v="37.6"/>
    <n v="451.20000000000005"/>
    <n v="451.20000000000005"/>
    <n v="0"/>
    <n v="451.20000000000005"/>
    <x v="28"/>
    <x v="0"/>
  </r>
  <r>
    <n v="2112"/>
    <n v="287163"/>
    <x v="10"/>
    <x v="48"/>
    <n v="1"/>
    <m/>
    <m/>
    <n v="0"/>
    <s v="AMZN MKTP US QL5RQ8YS3"/>
    <m/>
    <m/>
    <d v="2022-08-04T00:00:00"/>
    <d v="2022-08-04T00:00:00"/>
    <s v="2112-22-0025-1"/>
    <n v="300"/>
    <n v="14110"/>
    <n v="307.98"/>
    <n v="14116"/>
    <n v="102.67"/>
    <n v="205.31"/>
    <n v="59.89"/>
    <n v="70260"/>
    <n v="8.56"/>
    <s v="P"/>
    <m/>
    <n v="9148202"/>
    <m/>
    <s v="Internal"/>
    <s v="A"/>
    <s v="SL"/>
    <m/>
    <s v="WCNX"/>
    <n v="0"/>
    <n v="0"/>
    <m/>
    <x v="2"/>
    <n v="8"/>
    <n v="2022"/>
    <n v="2025"/>
    <n v="2025.6666666666667"/>
    <n v="8.5550000000000015"/>
    <n v="102.66000000000003"/>
    <n v="102.66000000000003"/>
    <n v="0"/>
    <n v="102.66000000000003"/>
    <x v="29"/>
    <x v="0"/>
  </r>
  <r>
    <n v="2112"/>
    <n v="286335"/>
    <x v="0"/>
    <x v="49"/>
    <n v="0"/>
    <s v="3BPZL00X59F718864"/>
    <s v="B58297N"/>
    <n v="2009"/>
    <s v="Peterbilt 320"/>
    <s v="McNeilus"/>
    <s v="Automated Sideload"/>
    <d v="2010-01-31T00:00:00"/>
    <d v="2010-01-31T00:00:00"/>
    <s v="2112-9-0012-1"/>
    <n v="900"/>
    <n v="14040"/>
    <n v="274650.34000000003"/>
    <n v="14046"/>
    <n v="274650.34000000003"/>
    <n v="0"/>
    <n v="0"/>
    <n v="51260"/>
    <n v="0"/>
    <s v="P"/>
    <m/>
    <n v="1197363"/>
    <n v="881"/>
    <s v="Internal"/>
    <s v="A"/>
    <s v="SL"/>
    <d v="2022-07-31T00:00:00"/>
    <s v="WCNX"/>
    <n v="0"/>
    <n v="274650.34000000003"/>
    <n v="881"/>
    <x v="7"/>
    <n v="1"/>
    <n v="2010"/>
    <n v="2019"/>
    <n v="2019.0833333333333"/>
    <n v="2543.0587037037039"/>
    <n v="30516.704444444447"/>
    <n v="0"/>
    <n v="274650.34000000003"/>
    <n v="274650.34000000003"/>
    <x v="1"/>
    <x v="0"/>
  </r>
  <r>
    <n v="2112"/>
    <n v="285324"/>
    <x v="0"/>
    <x v="50"/>
    <n v="3"/>
    <m/>
    <m/>
    <n v="0"/>
    <s v="WASTEQUIP LLC"/>
    <m/>
    <s v="8 YD FEL Container"/>
    <d v="2022-06-16T00:00:00"/>
    <d v="2022-06-16T00:00:00"/>
    <s v="2112-22-0017-7"/>
    <n v="1200"/>
    <n v="14050"/>
    <n v="6382"/>
    <n v="14056"/>
    <n v="576.15"/>
    <n v="5805.85"/>
    <n v="310.23"/>
    <n v="54260"/>
    <n v="44.31"/>
    <s v="P"/>
    <m/>
    <s v="20INV000161892"/>
    <m/>
    <s v="Internal"/>
    <s v="A"/>
    <s v="SL"/>
    <m/>
    <s v="WCNX"/>
    <n v="0"/>
    <n v="0"/>
    <m/>
    <x v="1"/>
    <n v="6"/>
    <n v="2022"/>
    <n v="2034"/>
    <n v="2034.5"/>
    <n v="44.31944444444445"/>
    <n v="531.83333333333337"/>
    <n v="531.83333333333337"/>
    <n v="88.638888888928705"/>
    <n v="620.47222222226208"/>
    <x v="30"/>
    <x v="0"/>
  </r>
  <r>
    <n v="2112"/>
    <n v="285321"/>
    <x v="0"/>
    <x v="50"/>
    <n v="1"/>
    <m/>
    <m/>
    <n v="0"/>
    <s v="WASTEQUIP LLC"/>
    <m/>
    <s v="8 YD FEL Container"/>
    <d v="2022-06-16T00:00:00"/>
    <d v="2022-06-16T00:00:00"/>
    <s v="2112-22-0017-4"/>
    <n v="1200"/>
    <n v="14050"/>
    <n v="124.59"/>
    <n v="14056"/>
    <n v="11.25"/>
    <n v="113.34"/>
    <n v="6.06"/>
    <n v="54260"/>
    <n v="0.87"/>
    <s v="P"/>
    <m/>
    <s v="20INV000161892"/>
    <m/>
    <s v="Internal"/>
    <s v="A"/>
    <s v="SL"/>
    <m/>
    <s v="WCNX"/>
    <n v="0"/>
    <n v="0"/>
    <m/>
    <x v="1"/>
    <n v="6"/>
    <n v="2022"/>
    <n v="2034"/>
    <n v="2034.5"/>
    <n v="0.86520833333333336"/>
    <n v="10.3825"/>
    <n v="10.3825"/>
    <n v="1.7304166666674519"/>
    <n v="12.112916666667452"/>
    <x v="31"/>
    <x v="0"/>
  </r>
  <r>
    <n v="2112"/>
    <n v="285305"/>
    <x v="0"/>
    <x v="51"/>
    <n v="3"/>
    <m/>
    <m/>
    <n v="0"/>
    <s v="WASTEQUIP LLC"/>
    <m/>
    <s v="6 YD FEL Container"/>
    <d v="2022-06-16T00:00:00"/>
    <d v="2022-06-16T00:00:00"/>
    <s v="2112-22-0017-6"/>
    <n v="1200"/>
    <n v="14050"/>
    <n v="5555"/>
    <n v="14056"/>
    <n v="501.5"/>
    <n v="5053.5"/>
    <n v="270.04000000000002"/>
    <n v="54260"/>
    <n v="38.58"/>
    <s v="P"/>
    <m/>
    <s v="20INV000161892"/>
    <m/>
    <s v="Internal"/>
    <s v="A"/>
    <s v="SL"/>
    <m/>
    <s v="WCNX"/>
    <n v="0"/>
    <n v="0"/>
    <m/>
    <x v="1"/>
    <n v="6"/>
    <n v="2022"/>
    <n v="2034"/>
    <n v="2034.5"/>
    <n v="38.576388888888893"/>
    <n v="462.91666666666674"/>
    <n v="462.91666666666674"/>
    <n v="77.152777777811934"/>
    <n v="540.06944444447868"/>
    <x v="32"/>
    <x v="0"/>
  </r>
  <r>
    <n v="2112"/>
    <n v="285303"/>
    <x v="0"/>
    <x v="51"/>
    <n v="1"/>
    <m/>
    <m/>
    <n v="0"/>
    <s v="WASTEQUIP LLC"/>
    <m/>
    <s v="6 YD FEL Container"/>
    <d v="2022-06-16T00:00:00"/>
    <d v="2022-06-16T00:00:00"/>
    <s v="2112-22-0017-5"/>
    <n v="1200"/>
    <n v="14050"/>
    <n v="126.22"/>
    <n v="14056"/>
    <n v="11.4"/>
    <n v="114.82"/>
    <n v="6.14"/>
    <n v="54260"/>
    <n v="0.88"/>
    <s v="P"/>
    <m/>
    <s v="20INV000161892"/>
    <m/>
    <s v="Internal"/>
    <s v="A"/>
    <s v="SL"/>
    <m/>
    <s v="WCNX"/>
    <n v="0"/>
    <n v="0"/>
    <m/>
    <x v="1"/>
    <n v="6"/>
    <n v="2022"/>
    <n v="2034"/>
    <n v="2034.5"/>
    <n v="0.87652777777777768"/>
    <n v="10.518333333333333"/>
    <n v="10.518333333333333"/>
    <n v="1.7530555555563581"/>
    <n v="12.271388888889691"/>
    <x v="33"/>
    <x v="0"/>
  </r>
  <r>
    <n v="2112"/>
    <n v="285292"/>
    <x v="0"/>
    <x v="52"/>
    <n v="15"/>
    <m/>
    <m/>
    <n v="0"/>
    <s v="WASTEQUIP LLC"/>
    <m/>
    <s v="4 YD FEL Container"/>
    <d v="2022-05-18T00:00:00"/>
    <d v="2022-05-18T00:00:00"/>
    <s v="2112-22-0017-5"/>
    <n v="1200"/>
    <n v="14050"/>
    <n v="13601.6"/>
    <n v="14056"/>
    <n v="1322.38"/>
    <n v="12279.220000000001"/>
    <n v="661.19"/>
    <n v="54260"/>
    <n v="94.45"/>
    <s v="P"/>
    <m/>
    <s v="20INV000142490"/>
    <m/>
    <s v="Internal"/>
    <s v="A"/>
    <s v="SL"/>
    <m/>
    <s v="WCNX"/>
    <n v="0"/>
    <n v="0"/>
    <m/>
    <x v="1"/>
    <n v="5"/>
    <n v="2022"/>
    <n v="2034"/>
    <n v="2034.4166666666667"/>
    <n v="94.455555555555563"/>
    <n v="1133.4666666666667"/>
    <n v="1133.4666666666667"/>
    <n v="283.36666666666679"/>
    <n v="1416.8333333333335"/>
    <x v="34"/>
    <x v="0"/>
  </r>
  <r>
    <n v="2112"/>
    <n v="285287"/>
    <x v="0"/>
    <x v="53"/>
    <n v="15"/>
    <m/>
    <m/>
    <n v="0"/>
    <s v="WASTEQUIP LLC"/>
    <m/>
    <s v="3 YD FEL Container"/>
    <d v="2022-05-18T00:00:00"/>
    <d v="2022-05-18T00:00:00"/>
    <s v="2112-22-0017-4"/>
    <n v="1200"/>
    <n v="14050"/>
    <n v="12037.76"/>
    <n v="14056"/>
    <n v="1170.3399999999999"/>
    <n v="10867.42"/>
    <n v="585.16999999999996"/>
    <n v="54260"/>
    <n v="83.59"/>
    <s v="P"/>
    <m/>
    <s v="20INV000142490"/>
    <m/>
    <s v="Internal"/>
    <s v="A"/>
    <s v="SL"/>
    <m/>
    <s v="WCNX"/>
    <n v="0"/>
    <n v="0"/>
    <m/>
    <x v="1"/>
    <n v="5"/>
    <n v="2022"/>
    <n v="2034"/>
    <n v="2034.4166666666667"/>
    <n v="83.595555555555549"/>
    <n v="1003.1466666666665"/>
    <n v="1003.1466666666665"/>
    <n v="250.78666666666868"/>
    <n v="1253.9333333333352"/>
    <x v="35"/>
    <x v="0"/>
  </r>
  <r>
    <n v="2112"/>
    <n v="285284"/>
    <x v="0"/>
    <x v="54"/>
    <n v="30"/>
    <m/>
    <m/>
    <n v="0"/>
    <s v="WASTEQUIP LLC"/>
    <m/>
    <s v="2 YD REL Container"/>
    <d v="2022-06-22T00:00:00"/>
    <d v="2022-06-22T00:00:00"/>
    <s v="2112-22-0019-1"/>
    <n v="1200"/>
    <n v="14050"/>
    <n v="25627.83"/>
    <n v="14056"/>
    <n v="2313.63"/>
    <n v="23314.2"/>
    <n v="1245.8"/>
    <n v="54260"/>
    <n v="177.97"/>
    <s v="P"/>
    <m/>
    <s v="20INV000165794"/>
    <m/>
    <s v="Internal"/>
    <s v="A"/>
    <s v="SL"/>
    <m/>
    <s v="WCNX"/>
    <n v="0"/>
    <n v="0"/>
    <m/>
    <x v="1"/>
    <n v="6"/>
    <n v="2022"/>
    <n v="2034"/>
    <n v="2034.5"/>
    <n v="177.97104166666668"/>
    <n v="2135.6525000000001"/>
    <n v="2135.6525000000001"/>
    <n v="355.94208333349525"/>
    <n v="2491.5945833334954"/>
    <x v="36"/>
    <x v="0"/>
  </r>
  <r>
    <n v="2112"/>
    <n v="285283"/>
    <x v="0"/>
    <x v="55"/>
    <n v="9"/>
    <m/>
    <m/>
    <n v="0"/>
    <s v="WASTEQUIP LLC"/>
    <m/>
    <s v="2 YD REL Container"/>
    <d v="2022-06-23T00:00:00"/>
    <d v="2022-06-23T00:00:00"/>
    <s v="2112-22-0017-2"/>
    <n v="1200"/>
    <n v="14050"/>
    <n v="8023"/>
    <n v="14056"/>
    <n v="724.3"/>
    <n v="7298.7"/>
    <n v="390.01"/>
    <n v="54260"/>
    <n v="55.72"/>
    <s v="P"/>
    <m/>
    <s v="20INV000166704"/>
    <m/>
    <s v="Internal"/>
    <s v="A"/>
    <s v="SL"/>
    <m/>
    <s v="WCNX"/>
    <n v="0"/>
    <n v="0"/>
    <m/>
    <x v="1"/>
    <n v="6"/>
    <n v="2022"/>
    <n v="2034"/>
    <n v="2034.5"/>
    <n v="55.715277777777779"/>
    <n v="668.58333333333337"/>
    <n v="668.58333333333337"/>
    <n v="111.43055555560568"/>
    <n v="780.01388888893905"/>
    <x v="37"/>
    <x v="0"/>
  </r>
  <r>
    <n v="2112"/>
    <n v="285282"/>
    <x v="0"/>
    <x v="55"/>
    <n v="1"/>
    <m/>
    <m/>
    <n v="0"/>
    <s v="WASTEQUIP LLC"/>
    <m/>
    <s v="2 YD REL Container"/>
    <d v="2022-06-23T00:00:00"/>
    <d v="2022-06-23T00:00:00"/>
    <s v="2112-22-0017-1"/>
    <n v="1200"/>
    <n v="14050"/>
    <n v="121.29"/>
    <n v="14056"/>
    <n v="10.95"/>
    <n v="110.34"/>
    <n v="5.9"/>
    <n v="54260"/>
    <n v="0.84"/>
    <s v="P"/>
    <m/>
    <s v="20INV000166704"/>
    <m/>
    <s v="Internal"/>
    <s v="A"/>
    <s v="SL"/>
    <m/>
    <s v="WCNX"/>
    <n v="0"/>
    <n v="0"/>
    <m/>
    <x v="1"/>
    <n v="6"/>
    <n v="2022"/>
    <n v="2034"/>
    <n v="2034.5"/>
    <n v="0.84229166666666666"/>
    <n v="10.1075"/>
    <n v="10.1075"/>
    <n v="1.6845833333341034"/>
    <n v="11.792083333334103"/>
    <x v="38"/>
    <x v="0"/>
  </r>
  <r>
    <n v="2112"/>
    <n v="285278"/>
    <x v="0"/>
    <x v="56"/>
    <n v="8"/>
    <m/>
    <m/>
    <n v="0"/>
    <s v="WASTEQUIP LLC"/>
    <m/>
    <s v="1 YD REL Container"/>
    <d v="2022-06-23T00:00:00"/>
    <d v="2022-06-23T00:00:00"/>
    <s v="2112-22-0017-3"/>
    <n v="1200"/>
    <n v="14050"/>
    <n v="6543"/>
    <n v="14056"/>
    <n v="590.69000000000005"/>
    <n v="5952.3099999999995"/>
    <n v="318.06"/>
    <n v="54260"/>
    <n v="45.43"/>
    <s v="P"/>
    <m/>
    <s v="20INV000166704"/>
    <m/>
    <s v="Internal"/>
    <s v="A"/>
    <s v="SL"/>
    <m/>
    <s v="WCNX"/>
    <n v="0"/>
    <n v="0"/>
    <m/>
    <x v="1"/>
    <n v="6"/>
    <n v="2022"/>
    <n v="2034"/>
    <n v="2034.5"/>
    <n v="45.4375"/>
    <n v="545.25"/>
    <n v="545.25"/>
    <n v="90.875000000040927"/>
    <n v="636.12500000004093"/>
    <x v="39"/>
    <x v="0"/>
  </r>
  <r>
    <n v="2112"/>
    <n v="285277"/>
    <x v="0"/>
    <x v="56"/>
    <n v="2"/>
    <m/>
    <m/>
    <n v="0"/>
    <s v="WASTEQUIP LLC"/>
    <m/>
    <s v="1 YD REL Container"/>
    <d v="2022-06-23T00:00:00"/>
    <d v="2022-06-23T00:00:00"/>
    <s v="2112-22-0017-1"/>
    <n v="1200"/>
    <n v="14050"/>
    <n v="1242.9000000000001"/>
    <n v="14056"/>
    <n v="112.21"/>
    <n v="1130.69"/>
    <n v="60.42"/>
    <n v="54260"/>
    <n v="8.6300000000000008"/>
    <s v="P"/>
    <m/>
    <s v="20INV000166704"/>
    <m/>
    <s v="Internal"/>
    <s v="A"/>
    <s v="SL"/>
    <m/>
    <s v="WCNX"/>
    <n v="0"/>
    <n v="0"/>
    <m/>
    <x v="1"/>
    <n v="6"/>
    <n v="2022"/>
    <n v="2034"/>
    <n v="2034.5"/>
    <n v="8.6312499999999996"/>
    <n v="103.57499999999999"/>
    <n v="103.57499999999999"/>
    <n v="17.262500000008004"/>
    <n v="120.83750000000799"/>
    <x v="40"/>
    <x v="0"/>
  </r>
  <r>
    <n v="2112"/>
    <n v="285275"/>
    <x v="0"/>
    <x v="57"/>
    <n v="10"/>
    <m/>
    <m/>
    <n v="0"/>
    <s v="WASTEQUIP LLC"/>
    <m/>
    <s v="1 YD FEL Container"/>
    <d v="2022-05-18T00:00:00"/>
    <d v="2022-05-18T00:00:00"/>
    <s v="2112-22-0017-1"/>
    <n v="1200"/>
    <n v="14050"/>
    <n v="6189.84"/>
    <n v="14056"/>
    <n v="601.79999999999995"/>
    <n v="5588.04"/>
    <n v="300.89999999999998"/>
    <n v="54260"/>
    <n v="42.99"/>
    <s v="P"/>
    <m/>
    <s v="20INV000142490"/>
    <m/>
    <s v="Internal"/>
    <s v="A"/>
    <s v="SL"/>
    <m/>
    <s v="WCNX"/>
    <n v="0"/>
    <n v="0"/>
    <m/>
    <x v="1"/>
    <n v="5"/>
    <n v="2022"/>
    <n v="2034"/>
    <n v="2034.4166666666667"/>
    <n v="42.985000000000007"/>
    <n v="515.82000000000005"/>
    <n v="515.82000000000005"/>
    <n v="128.95499999999902"/>
    <n v="644.77499999999907"/>
    <x v="41"/>
    <x v="0"/>
  </r>
  <r>
    <n v="2112"/>
    <n v="284341"/>
    <x v="0"/>
    <x v="58"/>
    <n v="648"/>
    <m/>
    <m/>
    <n v="0"/>
    <s v="REHRIG PACIFIC COMPANY IN"/>
    <m/>
    <s v="Non-Container Audit"/>
    <d v="2022-06-28T00:00:00"/>
    <d v="2022-06-28T00:00:00"/>
    <s v="2112-22-0022-1"/>
    <n v="700"/>
    <n v="14050"/>
    <n v="40517.730000000003"/>
    <n v="14056"/>
    <n v="6270.6"/>
    <n v="34247.130000000005"/>
    <n v="3376.48"/>
    <n v="54260"/>
    <n v="482.35"/>
    <s v="P"/>
    <m/>
    <n v="50250254"/>
    <m/>
    <s v="Internal"/>
    <s v="A"/>
    <s v="SL"/>
    <m/>
    <s v="WCNX"/>
    <n v="0"/>
    <n v="0"/>
    <m/>
    <x v="4"/>
    <n v="6"/>
    <n v="2022"/>
    <n v="2029"/>
    <n v="2029.5"/>
    <n v="482.35392857142864"/>
    <n v="5788.2471428571434"/>
    <n v="5788.2471428571434"/>
    <n v="964.70785714329395"/>
    <n v="6752.9550000004374"/>
    <x v="42"/>
    <x v="0"/>
  </r>
  <r>
    <n v="2112"/>
    <n v="283931"/>
    <x v="0"/>
    <x v="59"/>
    <n v="1"/>
    <m/>
    <m/>
    <n v="0"/>
    <s v="CDW DIR #2112-22-0023"/>
    <m/>
    <m/>
    <d v="2022-06-16T00:00:00"/>
    <d v="2022-06-16T00:00:00"/>
    <s v="2112-22-0023-2"/>
    <n v="300"/>
    <n v="14110"/>
    <n v="1580.41"/>
    <n v="14116"/>
    <n v="570.70000000000005"/>
    <n v="1009.71"/>
    <n v="307.3"/>
    <n v="70260"/>
    <n v="43.9"/>
    <s v="P"/>
    <m/>
    <s v="Z686337"/>
    <m/>
    <s v="Internal"/>
    <s v="A"/>
    <s v="SL"/>
    <m/>
    <s v="WCNX"/>
    <n v="0"/>
    <n v="0"/>
    <m/>
    <x v="5"/>
    <n v="6"/>
    <n v="2022"/>
    <n v="2025"/>
    <n v="2025.5"/>
    <n v="43.900277777777781"/>
    <n v="526.8033333333334"/>
    <n v="526.8033333333334"/>
    <n v="87.800555555595565"/>
    <n v="614.60388888892896"/>
    <x v="43"/>
    <x v="0"/>
  </r>
  <r>
    <n v="2112"/>
    <n v="283930"/>
    <x v="11"/>
    <x v="60"/>
    <n v="1"/>
    <m/>
    <m/>
    <n v="0"/>
    <s v="AMZN MKTP US M20416MC3"/>
    <m/>
    <m/>
    <d v="2022-06-16T00:00:00"/>
    <d v="2022-06-16T00:00:00"/>
    <s v="2112-22-0023-2"/>
    <n v="300"/>
    <n v="14110"/>
    <n v="303.77999999999997"/>
    <n v="14116"/>
    <n v="109.7"/>
    <n v="194.07999999999998"/>
    <n v="59.07"/>
    <n v="70260"/>
    <n v="8.44"/>
    <s v="P"/>
    <m/>
    <n v="8273047"/>
    <m/>
    <s v="Internal"/>
    <s v="A"/>
    <s v="SL"/>
    <m/>
    <s v="WCNX"/>
    <n v="0"/>
    <n v="0"/>
    <m/>
    <x v="5"/>
    <n v="6"/>
    <n v="2022"/>
    <n v="2025"/>
    <n v="2025.5"/>
    <n v="8.4383333333333326"/>
    <n v="101.25999999999999"/>
    <n v="101.25999999999999"/>
    <n v="16.876666666674339"/>
    <n v="118.13666666667433"/>
    <x v="44"/>
    <x v="0"/>
  </r>
  <r>
    <n v="2112"/>
    <n v="283929"/>
    <x v="0"/>
    <x v="61"/>
    <n v="1"/>
    <m/>
    <m/>
    <n v="0"/>
    <s v="CDW DIR #2112-22-0023"/>
    <m/>
    <m/>
    <d v="2022-06-16T00:00:00"/>
    <d v="2022-06-16T00:00:00"/>
    <s v="2112-22-0023-1"/>
    <n v="300"/>
    <n v="14110"/>
    <n v="1580.42"/>
    <n v="14116"/>
    <n v="570.71"/>
    <n v="1009.71"/>
    <n v="307.31"/>
    <n v="70260"/>
    <n v="43.9"/>
    <s v="P"/>
    <m/>
    <s v="Z686337"/>
    <m/>
    <s v="Internal"/>
    <s v="A"/>
    <s v="SL"/>
    <m/>
    <s v="WCNX"/>
    <n v="0"/>
    <n v="0"/>
    <m/>
    <x v="2"/>
    <n v="6"/>
    <n v="2022"/>
    <n v="2025"/>
    <n v="2025.5"/>
    <n v="43.900555555555563"/>
    <n v="526.80666666666673"/>
    <n v="526.80666666666673"/>
    <n v="87.801111111150931"/>
    <n v="614.60777777781766"/>
    <x v="45"/>
    <x v="0"/>
  </r>
  <r>
    <n v="2112"/>
    <n v="283928"/>
    <x v="12"/>
    <x v="62"/>
    <n v="1"/>
    <m/>
    <m/>
    <n v="0"/>
    <s v="AMZN MKTP US 5O7RX1EW3"/>
    <m/>
    <m/>
    <d v="2022-06-16T00:00:00"/>
    <d v="2022-06-16T00:00:00"/>
    <s v="2112-22-0023-1"/>
    <n v="300"/>
    <n v="14110"/>
    <n v="303.77999999999997"/>
    <n v="14116"/>
    <n v="109.7"/>
    <n v="194.07999999999998"/>
    <n v="59.07"/>
    <n v="70260"/>
    <n v="8.44"/>
    <s v="P"/>
    <m/>
    <n v="6981015"/>
    <m/>
    <s v="Internal"/>
    <s v="A"/>
    <s v="SL"/>
    <m/>
    <s v="WCNX"/>
    <n v="0"/>
    <n v="0"/>
    <m/>
    <x v="2"/>
    <n v="6"/>
    <n v="2022"/>
    <n v="2025"/>
    <n v="2025.5"/>
    <n v="8.4383333333333326"/>
    <n v="101.25999999999999"/>
    <n v="101.25999999999999"/>
    <n v="16.876666666674339"/>
    <n v="118.13666666667433"/>
    <x v="44"/>
    <x v="0"/>
  </r>
  <r>
    <n v="2112"/>
    <n v="283927"/>
    <x v="0"/>
    <x v="63"/>
    <n v="1"/>
    <m/>
    <m/>
    <n v="0"/>
    <s v="CDW DIR #2112-22-0016"/>
    <m/>
    <m/>
    <d v="2022-06-16T00:00:00"/>
    <d v="2022-06-16T00:00:00"/>
    <s v="2112-22-0016-1"/>
    <n v="300"/>
    <n v="14110"/>
    <n v="1451.82"/>
    <n v="14116"/>
    <n v="524.27"/>
    <n v="927.55"/>
    <n v="282.3"/>
    <n v="70260"/>
    <n v="40.33"/>
    <s v="P"/>
    <m/>
    <s v="Z686679"/>
    <m/>
    <s v="Internal"/>
    <s v="A"/>
    <s v="SL"/>
    <m/>
    <s v="WCNX"/>
    <n v="0"/>
    <n v="0"/>
    <m/>
    <x v="2"/>
    <n v="6"/>
    <n v="2022"/>
    <n v="2025"/>
    <n v="2025.5"/>
    <n v="40.328333333333333"/>
    <n v="483.94"/>
    <n v="483.94"/>
    <n v="80.656666666703359"/>
    <n v="564.59666666670341"/>
    <x v="46"/>
    <x v="0"/>
  </r>
  <r>
    <n v="2112"/>
    <n v="282057"/>
    <x v="0"/>
    <x v="64"/>
    <n v="1"/>
    <m/>
    <m/>
    <n v="0"/>
    <s v="CDW DIR #PO  2112-22-0"/>
    <m/>
    <m/>
    <d v="2022-05-16T00:00:00"/>
    <d v="2022-05-16T00:00:00"/>
    <s v="2112-22-0021-1"/>
    <n v="300"/>
    <n v="14110"/>
    <n v="1459.08"/>
    <n v="14116"/>
    <n v="567.41999999999996"/>
    <n v="891.66"/>
    <n v="283.70999999999998"/>
    <n v="70260"/>
    <n v="40.53"/>
    <s v="P"/>
    <m/>
    <s v="X303809"/>
    <m/>
    <s v="Internal"/>
    <s v="A"/>
    <s v="SL"/>
    <m/>
    <s v="WCNX"/>
    <n v="0"/>
    <n v="0"/>
    <m/>
    <x v="2"/>
    <n v="5"/>
    <n v="2022"/>
    <n v="2025"/>
    <n v="2025.4166666666667"/>
    <n v="40.529999999999994"/>
    <n v="486.3599999999999"/>
    <n v="486.3599999999999"/>
    <n v="121.59000000000015"/>
    <n v="607.95000000000005"/>
    <x v="47"/>
    <x v="0"/>
  </r>
  <r>
    <n v="2112"/>
    <n v="282056"/>
    <x v="13"/>
    <x v="65"/>
    <n v="1"/>
    <m/>
    <m/>
    <n v="0"/>
    <s v="AMZN MKTP US 1L2RR10T0"/>
    <m/>
    <m/>
    <d v="2022-05-16T00:00:00"/>
    <d v="2022-05-16T00:00:00"/>
    <s v="2112-22-0021-1"/>
    <n v="300"/>
    <n v="14110"/>
    <n v="302.7"/>
    <n v="14116"/>
    <n v="117.72"/>
    <n v="184.98"/>
    <n v="58.86"/>
    <n v="70260"/>
    <n v="8.41"/>
    <s v="P"/>
    <m/>
    <n v="224"/>
    <m/>
    <s v="Internal"/>
    <s v="A"/>
    <s v="SL"/>
    <m/>
    <s v="WCNX"/>
    <n v="0"/>
    <n v="0"/>
    <m/>
    <x v="2"/>
    <n v="5"/>
    <n v="2022"/>
    <n v="2025"/>
    <n v="2025.4166666666667"/>
    <n v="8.4083333333333332"/>
    <n v="100.9"/>
    <n v="100.9"/>
    <n v="25.224999999999966"/>
    <n v="126.12499999999997"/>
    <x v="48"/>
    <x v="0"/>
  </r>
  <r>
    <n v="2112"/>
    <n v="281620"/>
    <x v="0"/>
    <x v="66"/>
    <n v="3"/>
    <m/>
    <m/>
    <n v="0"/>
    <m/>
    <s v="2022 Container Audit Addi"/>
    <s v="10 YD FEL/REL/SL Metal"/>
    <d v="2022-05-01T00:00:00"/>
    <d v="2022-05-01T00:00:00"/>
    <m/>
    <n v="0"/>
    <n v="14050"/>
    <n v="0"/>
    <n v="14056"/>
    <n v="0"/>
    <n v="0"/>
    <n v="0"/>
    <n v="54260"/>
    <n v="0"/>
    <s v="P"/>
    <m/>
    <m/>
    <m/>
    <s v="Internal"/>
    <s v="A"/>
    <s v="NO"/>
    <m/>
    <s v="WCNX"/>
    <n v="0"/>
    <n v="0"/>
    <m/>
    <x v="3"/>
    <n v="5"/>
    <n v="2022"/>
    <n v="2022"/>
    <n v="2022.4166666666667"/>
    <n v="0"/>
    <n v="0"/>
    <n v="0"/>
    <n v="0"/>
    <n v="0"/>
    <x v="1"/>
    <x v="0"/>
  </r>
  <r>
    <n v="2112"/>
    <n v="281558"/>
    <x v="0"/>
    <x v="67"/>
    <n v="3"/>
    <m/>
    <m/>
    <n v="0"/>
    <m/>
    <m/>
    <s v="8 YD FEL/REL/SL Metal"/>
    <d v="2016-06-01T00:00:00"/>
    <d v="2016-06-01T00:00:00"/>
    <m/>
    <n v="700"/>
    <n v="14050"/>
    <n v="1.86"/>
    <n v="14056"/>
    <n v="1.86"/>
    <n v="0"/>
    <n v="0.11"/>
    <n v="54260"/>
    <n v="0"/>
    <s v="A"/>
    <s v="Progressive Waste"/>
    <m/>
    <m/>
    <s v="Internal"/>
    <s v="A"/>
    <s v="SL"/>
    <d v="2022-04-30T00:00:00"/>
    <s v="WCNX"/>
    <n v="0"/>
    <n v="1.57"/>
    <m/>
    <x v="1"/>
    <n v="6"/>
    <n v="2016"/>
    <n v="2023"/>
    <n v="2023.5"/>
    <n v="2.2142857142857145E-2"/>
    <n v="0.26571428571428574"/>
    <n v="0"/>
    <n v="1.6385714285714488"/>
    <n v="1.86"/>
    <x v="1"/>
    <x v="0"/>
  </r>
  <r>
    <n v="2112"/>
    <n v="281458"/>
    <x v="0"/>
    <x v="68"/>
    <n v="8"/>
    <m/>
    <m/>
    <n v="0"/>
    <m/>
    <m/>
    <s v="2 YD FEL/REL/SL Metal"/>
    <d v="2003-08-29T00:00:00"/>
    <d v="2003-08-29T00:00:00"/>
    <m/>
    <n v="700"/>
    <n v="14050"/>
    <n v="240"/>
    <n v="14056"/>
    <n v="240"/>
    <n v="0"/>
    <n v="0"/>
    <n v="54260"/>
    <n v="0"/>
    <s v="A"/>
    <s v="Walker"/>
    <m/>
    <m/>
    <s v="Internal"/>
    <s v="A"/>
    <s v="SL"/>
    <d v="2022-04-30T00:00:00"/>
    <s v="WCNX"/>
    <n v="0"/>
    <n v="240"/>
    <m/>
    <x v="1"/>
    <n v="8"/>
    <n v="2003"/>
    <n v="2010"/>
    <n v="2010.6666666666667"/>
    <n v="2.8571428571428572"/>
    <n v="34.285714285714285"/>
    <n v="0"/>
    <n v="240"/>
    <n v="240"/>
    <x v="1"/>
    <x v="0"/>
  </r>
  <r>
    <n v="2112"/>
    <n v="281312"/>
    <x v="0"/>
    <x v="69"/>
    <n v="7"/>
    <m/>
    <m/>
    <n v="0"/>
    <m/>
    <m/>
    <m/>
    <d v="2006-06-07T00:00:00"/>
    <d v="2006-06-07T00:00:00"/>
    <m/>
    <n v="700"/>
    <n v="14050"/>
    <n v="3484.78"/>
    <n v="14056"/>
    <n v="3484.78"/>
    <n v="0"/>
    <n v="0"/>
    <n v="54260"/>
    <n v="0"/>
    <s v="A"/>
    <s v="El Dorado Disposal"/>
    <m/>
    <n v="502"/>
    <s v="Internal"/>
    <s v="A"/>
    <s v="SL"/>
    <d v="2022-04-30T00:00:00"/>
    <s v="WCNX"/>
    <n v="0"/>
    <n v="3484.78"/>
    <m/>
    <x v="1"/>
    <n v="6"/>
    <n v="2006"/>
    <n v="2013"/>
    <n v="2013.5"/>
    <n v="41.485476190476192"/>
    <n v="497.8257142857143"/>
    <n v="0"/>
    <n v="3484.78"/>
    <n v="3484.78"/>
    <x v="1"/>
    <x v="0"/>
  </r>
  <r>
    <n v="2112"/>
    <n v="281311"/>
    <x v="0"/>
    <x v="24"/>
    <n v="32"/>
    <m/>
    <m/>
    <n v="0"/>
    <m/>
    <m/>
    <m/>
    <d v="2006-04-04T00:00:00"/>
    <d v="2006-04-04T00:00:00"/>
    <m/>
    <n v="700"/>
    <n v="14050"/>
    <n v="2400.19"/>
    <n v="14056"/>
    <n v="2400.19"/>
    <n v="0"/>
    <n v="0"/>
    <n v="54260"/>
    <n v="0"/>
    <s v="A"/>
    <s v="Evergreen"/>
    <m/>
    <m/>
    <s v="Internal"/>
    <s v="A"/>
    <s v="SL"/>
    <d v="2022-04-30T00:00:00"/>
    <s v="WCNX"/>
    <n v="0"/>
    <n v="2400.19"/>
    <m/>
    <x v="1"/>
    <n v="4"/>
    <n v="2006"/>
    <n v="2013"/>
    <n v="2013.3333333333333"/>
    <n v="28.573690476190478"/>
    <n v="342.88428571428574"/>
    <n v="0"/>
    <n v="2400.19"/>
    <n v="2400.19"/>
    <x v="1"/>
    <x v="0"/>
  </r>
  <r>
    <n v="2112"/>
    <n v="281305"/>
    <x v="0"/>
    <x v="70"/>
    <n v="5"/>
    <m/>
    <m/>
    <n v="0"/>
    <m/>
    <m/>
    <s v="4 YD FEL/REL/SL Metal"/>
    <d v="2003-09-17T00:00:00"/>
    <d v="2003-09-17T00:00:00"/>
    <m/>
    <n v="700"/>
    <n v="14050"/>
    <n v="513.16"/>
    <n v="14056"/>
    <n v="513.16"/>
    <n v="0"/>
    <n v="0"/>
    <n v="54260"/>
    <n v="0"/>
    <s v="A"/>
    <s v="GreenTeam of San Jose"/>
    <m/>
    <m/>
    <s v="Internal"/>
    <s v="A"/>
    <s v="SL"/>
    <d v="2023-05-31T00:00:00"/>
    <s v="WCNX"/>
    <n v="1"/>
    <n v="513.16"/>
    <m/>
    <x v="1"/>
    <n v="9"/>
    <n v="2003"/>
    <n v="2010"/>
    <n v="2010.75"/>
    <n v="6.1090476190476188"/>
    <n v="73.308571428571426"/>
    <n v="0"/>
    <n v="513.16"/>
    <n v="513.16"/>
    <x v="1"/>
    <x v="0"/>
  </r>
  <r>
    <n v="2112"/>
    <n v="281292"/>
    <x v="0"/>
    <x v="71"/>
    <n v="10"/>
    <m/>
    <m/>
    <n v="0"/>
    <m/>
    <m/>
    <s v="30 YD RO Box"/>
    <d v="2000-05-01T00:00:00"/>
    <d v="2000-05-01T00:00:00"/>
    <m/>
    <n v="500"/>
    <n v="14050"/>
    <n v="3737.2"/>
    <n v="14056"/>
    <n v="3737.2"/>
    <n v="0"/>
    <n v="0"/>
    <n v="54260"/>
    <n v="0"/>
    <s v="A"/>
    <s v="BFI - Wichita"/>
    <m/>
    <m/>
    <s v="Internal"/>
    <s v="A"/>
    <s v="SL"/>
    <d v="2022-04-30T00:00:00"/>
    <s v="WCNX"/>
    <n v="0"/>
    <n v="3737.2"/>
    <m/>
    <x v="3"/>
    <n v="5"/>
    <n v="2000"/>
    <n v="2005"/>
    <n v="2005.4166666666667"/>
    <n v="62.286666666666662"/>
    <n v="747.43999999999994"/>
    <n v="0"/>
    <n v="3737.2"/>
    <n v="3737.2"/>
    <x v="1"/>
    <x v="0"/>
  </r>
  <r>
    <n v="2112"/>
    <n v="281075"/>
    <x v="0"/>
    <x v="72"/>
    <n v="22"/>
    <n v="0"/>
    <m/>
    <n v="0"/>
    <s v="CONSOLIDATED FABRICATORS"/>
    <m/>
    <m/>
    <d v="2007-01-01T00:00:00"/>
    <d v="2007-01-01T00:00:00"/>
    <s v="07-4025-015"/>
    <n v="1111"/>
    <n v="14050"/>
    <n v="11513.87"/>
    <n v="14056"/>
    <n v="11513.87"/>
    <n v="0"/>
    <n v="0"/>
    <n v="54260"/>
    <n v="0"/>
    <s v="P"/>
    <m/>
    <n v="120706"/>
    <m/>
    <s v="Internal"/>
    <s v="A"/>
    <s v="SL"/>
    <d v="2022-04-30T00:00:00"/>
    <s v="WCNX"/>
    <n v="0"/>
    <n v="11513.87"/>
    <m/>
    <x v="1"/>
    <n v="1"/>
    <n v="2007"/>
    <n v="2018.11"/>
    <n v="2018.1933333333332"/>
    <n v="86.362661266126622"/>
    <n v="1036.3519351935195"/>
    <n v="0"/>
    <n v="11513.87"/>
    <n v="11513.87"/>
    <x v="1"/>
    <x v="0"/>
  </r>
  <r>
    <n v="2112"/>
    <n v="280498"/>
    <x v="0"/>
    <x v="73"/>
    <n v="3"/>
    <m/>
    <m/>
    <n v="0"/>
    <m/>
    <s v="2022 Cont.Audit- Partial "/>
    <s v="4 YD FEL/REL/SL Metal"/>
    <d v="2022-05-01T00:00:00"/>
    <d v="2022-05-01T00:00:00"/>
    <m/>
    <n v="0"/>
    <n v="14050"/>
    <n v="0"/>
    <n v="14056"/>
    <n v="0"/>
    <n v="0"/>
    <n v="0"/>
    <n v="54260"/>
    <n v="0"/>
    <s v="P"/>
    <m/>
    <m/>
    <m/>
    <s v="Internal"/>
    <s v="A"/>
    <s v="NO"/>
    <m/>
    <s v="WCNX"/>
    <n v="0"/>
    <n v="0"/>
    <m/>
    <x v="1"/>
    <n v="5"/>
    <n v="2022"/>
    <n v="2022"/>
    <n v="2022.4166666666667"/>
    <n v="0"/>
    <n v="0"/>
    <n v="0"/>
    <n v="0"/>
    <n v="0"/>
    <x v="1"/>
    <x v="0"/>
  </r>
  <r>
    <n v="2112"/>
    <n v="279853"/>
    <x v="0"/>
    <x v="74"/>
    <n v="163"/>
    <m/>
    <m/>
    <n v="0"/>
    <m/>
    <m/>
    <s v="4 YD FEL/REL/SL Metal"/>
    <d v="2008-11-03T00:00:00"/>
    <d v="2008-11-03T00:00:00"/>
    <m/>
    <n v="700"/>
    <n v="14050"/>
    <n v="480"/>
    <n v="14056"/>
    <n v="480"/>
    <n v="0"/>
    <n v="0"/>
    <n v="54260"/>
    <n v="0"/>
    <s v="A"/>
    <s v="LeMay Enterprises"/>
    <m/>
    <m/>
    <s v="Internal"/>
    <s v="A"/>
    <s v="SL"/>
    <d v="2022-04-30T00:00:00"/>
    <s v="WCNX"/>
    <n v="0"/>
    <n v="480"/>
    <m/>
    <x v="1"/>
    <n v="11"/>
    <n v="2008"/>
    <n v="2015"/>
    <n v="2015.9166666666667"/>
    <n v="5.7142857142857144"/>
    <n v="68.571428571428569"/>
    <n v="0"/>
    <n v="480"/>
    <n v="480"/>
    <x v="1"/>
    <x v="0"/>
  </r>
  <r>
    <n v="2112"/>
    <n v="279807"/>
    <x v="0"/>
    <x v="75"/>
    <n v="2"/>
    <m/>
    <m/>
    <n v="0"/>
    <m/>
    <m/>
    <s v="2 YD FEL/REL/SL Metal"/>
    <d v="2001-11-01T00:00:00"/>
    <d v="2001-11-01T00:00:00"/>
    <m/>
    <n v="600"/>
    <n v="14050"/>
    <n v="48.02"/>
    <n v="14056"/>
    <n v="48.02"/>
    <n v="0"/>
    <n v="0"/>
    <n v="54260"/>
    <n v="0"/>
    <s v="A"/>
    <s v="Island"/>
    <m/>
    <m/>
    <s v="Internal"/>
    <s v="A"/>
    <s v="SL"/>
    <d v="2022-04-30T00:00:00"/>
    <s v="WCNX"/>
    <n v="0"/>
    <n v="48.02"/>
    <m/>
    <x v="1"/>
    <n v="11"/>
    <n v="2001"/>
    <n v="2007"/>
    <n v="2007.9166666666667"/>
    <n v="0.66694444444444445"/>
    <n v="8.0033333333333339"/>
    <n v="0"/>
    <n v="48.02"/>
    <n v="48.02"/>
    <x v="1"/>
    <x v="0"/>
  </r>
  <r>
    <n v="2112"/>
    <n v="279796"/>
    <x v="0"/>
    <x v="76"/>
    <n v="5"/>
    <m/>
    <m/>
    <n v="0"/>
    <m/>
    <m/>
    <s v="2 YD FEL/REL/SL Metal"/>
    <d v="1989-08-18T00:00:00"/>
    <d v="1989-08-18T00:00:00"/>
    <m/>
    <n v="1200"/>
    <n v="14050"/>
    <n v="1514.92"/>
    <n v="14056"/>
    <n v="1514.92"/>
    <n v="0"/>
    <n v="0"/>
    <n v="54260"/>
    <n v="0"/>
    <s v="A"/>
    <s v="DM Disposal"/>
    <m/>
    <m/>
    <s v="Internal"/>
    <s v="A"/>
    <s v="SL"/>
    <d v="2022-04-30T00:00:00"/>
    <s v="WCNX"/>
    <n v="0"/>
    <n v="1514.92"/>
    <m/>
    <x v="1"/>
    <n v="8"/>
    <n v="1989"/>
    <n v="2001"/>
    <n v="2001.6666666666667"/>
    <n v="10.520277777777778"/>
    <n v="126.24333333333334"/>
    <n v="0"/>
    <n v="1514.92"/>
    <n v="1514.92"/>
    <x v="1"/>
    <x v="0"/>
  </r>
  <r>
    <n v="2112"/>
    <n v="279328"/>
    <x v="0"/>
    <x v="77"/>
    <n v="20"/>
    <m/>
    <m/>
    <n v="0"/>
    <m/>
    <m/>
    <s v="2 YD FEL/REL/SL Metal"/>
    <d v="1987-06-09T00:00:00"/>
    <d v="1987-06-09T00:00:00"/>
    <m/>
    <n v="1200"/>
    <n v="14050"/>
    <n v="5518.62"/>
    <n v="14056"/>
    <n v="5518.62"/>
    <n v="0"/>
    <n v="0"/>
    <n v="54260"/>
    <n v="0"/>
    <s v="A"/>
    <s v="DM Disposal"/>
    <m/>
    <m/>
    <s v="Internal"/>
    <s v="A"/>
    <s v="SL"/>
    <d v="2022-04-30T00:00:00"/>
    <s v="WCNX"/>
    <n v="0"/>
    <n v="5518.62"/>
    <m/>
    <x v="1"/>
    <n v="6"/>
    <n v="1987"/>
    <n v="1999"/>
    <n v="1999.5"/>
    <n v="38.323749999999997"/>
    <n v="459.88499999999999"/>
    <n v="0"/>
    <n v="5518.62"/>
    <n v="5518.62"/>
    <x v="1"/>
    <x v="0"/>
  </r>
  <r>
    <n v="2112"/>
    <n v="279327"/>
    <x v="0"/>
    <x v="77"/>
    <n v="6"/>
    <m/>
    <m/>
    <n v="0"/>
    <m/>
    <m/>
    <s v="2 YD FEL/REL/SL Metal"/>
    <d v="1984-08-07T00:00:00"/>
    <d v="1984-08-07T00:00:00"/>
    <m/>
    <n v="1200"/>
    <n v="14050"/>
    <n v="1694.64"/>
    <n v="14056"/>
    <n v="1694.64"/>
    <n v="0"/>
    <n v="0"/>
    <n v="54260"/>
    <n v="0"/>
    <s v="A"/>
    <s v="DM Disposal"/>
    <m/>
    <m/>
    <s v="Internal"/>
    <s v="A"/>
    <s v="SL"/>
    <d v="2023-05-31T00:00:00"/>
    <s v="WCNX"/>
    <n v="1"/>
    <n v="1694.64"/>
    <m/>
    <x v="1"/>
    <n v="8"/>
    <n v="1984"/>
    <n v="1996"/>
    <n v="1996.6666666666667"/>
    <n v="11.768333333333333"/>
    <n v="141.22"/>
    <n v="0"/>
    <n v="1694.64"/>
    <n v="1694.64"/>
    <x v="1"/>
    <x v="0"/>
  </r>
  <r>
    <n v="2112"/>
    <n v="278442"/>
    <x v="14"/>
    <x v="78"/>
    <n v="0"/>
    <m/>
    <s v="94-3283464"/>
    <n v="0"/>
    <s v="Thunderbird Plastics LTD"/>
    <m/>
    <s v="Non-Container Audit"/>
    <d v="2022-04-18T00:00:00"/>
    <d v="2022-04-18T00:00:00"/>
    <s v="2112-22-0020-1"/>
    <n v="500"/>
    <n v="14050"/>
    <n v="617.76"/>
    <n v="14056"/>
    <n v="154.44"/>
    <n v="463.32"/>
    <n v="72.069999999999993"/>
    <n v="54260"/>
    <n v="10.29"/>
    <s v="P"/>
    <m/>
    <s v="33457A"/>
    <m/>
    <s v="Internal"/>
    <s v="A"/>
    <s v="SL"/>
    <m/>
    <s v="WCNX"/>
    <n v="0"/>
    <n v="0"/>
    <m/>
    <x v="0"/>
    <n v="4"/>
    <n v="2022"/>
    <n v="2027"/>
    <n v="2027.3333333333333"/>
    <n v="10.295999999999999"/>
    <n v="123.55199999999999"/>
    <n v="123.55199999999999"/>
    <n v="41.184000000018727"/>
    <n v="164.73600000001872"/>
    <x v="49"/>
    <x v="0"/>
  </r>
  <r>
    <n v="2112"/>
    <n v="277992"/>
    <x v="0"/>
    <x v="79"/>
    <n v="351"/>
    <m/>
    <m/>
    <n v="0"/>
    <s v="REHRIG PACIFIC COMPANY IN"/>
    <m/>
    <s v="Non-Container Audit"/>
    <d v="2022-04-10T00:00:00"/>
    <d v="2022-04-10T00:00:00"/>
    <s v="2112-22-0015-2"/>
    <n v="700"/>
    <n v="14050"/>
    <n v="23883.279999999999"/>
    <n v="14056"/>
    <n v="4549.2"/>
    <n v="19334.079999999998"/>
    <n v="1990.28"/>
    <n v="54260"/>
    <n v="284.33"/>
    <s v="P"/>
    <m/>
    <n v="50221694"/>
    <m/>
    <s v="Internal"/>
    <s v="A"/>
    <s v="SL"/>
    <m/>
    <s v="WCNX"/>
    <n v="0"/>
    <n v="0"/>
    <m/>
    <x v="4"/>
    <n v="4"/>
    <n v="2022"/>
    <n v="2029"/>
    <n v="2029.3333333333333"/>
    <n v="284.32476190476189"/>
    <n v="3411.8971428571426"/>
    <n v="3411.8971428571426"/>
    <n v="1137.2990476195664"/>
    <n v="4549.1961904767086"/>
    <x v="50"/>
    <x v="0"/>
  </r>
  <r>
    <n v="2112"/>
    <n v="277986"/>
    <x v="0"/>
    <x v="80"/>
    <n v="324"/>
    <m/>
    <m/>
    <n v="0"/>
    <s v="REHRIG PACIFIC COMPANY IN"/>
    <m/>
    <s v="Non-Container Audit"/>
    <d v="2022-04-17T00:00:00"/>
    <d v="2022-04-17T00:00:00"/>
    <s v="2112-22-0015-1"/>
    <n v="700"/>
    <n v="14050"/>
    <n v="19941.599999999999"/>
    <n v="14056"/>
    <n v="3561"/>
    <n v="16380.599999999999"/>
    <n v="1661.8"/>
    <n v="54260"/>
    <n v="237.4"/>
    <s v="P"/>
    <m/>
    <n v="50223042"/>
    <m/>
    <s v="Internal"/>
    <s v="A"/>
    <s v="SL"/>
    <m/>
    <s v="WCNX"/>
    <n v="0"/>
    <n v="0"/>
    <m/>
    <x v="4"/>
    <n v="4"/>
    <n v="2022"/>
    <n v="2029"/>
    <n v="2029.3333333333333"/>
    <n v="237.39999999999998"/>
    <n v="2848.7999999999997"/>
    <n v="2848.7999999999997"/>
    <n v="949.60000000043146"/>
    <n v="3798.4000000004312"/>
    <x v="51"/>
    <x v="0"/>
  </r>
  <r>
    <n v="2112"/>
    <n v="277983"/>
    <x v="14"/>
    <x v="81"/>
    <n v="0"/>
    <m/>
    <m/>
    <n v="0"/>
    <s v="THUNDERBIRD PLASTICS LTD"/>
    <m/>
    <s v="Non-Container Audit"/>
    <d v="2022-04-18T00:00:00"/>
    <d v="2022-04-18T00:00:00"/>
    <s v="2112-22-0020-1"/>
    <n v="500"/>
    <n v="14050"/>
    <n v="-617.76"/>
    <n v="14056"/>
    <n v="-154.44"/>
    <n v="-463.32"/>
    <n v="-72.069999999999993"/>
    <n v="54260"/>
    <n v="-10.29"/>
    <s v="P"/>
    <m/>
    <n v="33457"/>
    <m/>
    <s v="Internal"/>
    <s v="A"/>
    <s v="SL"/>
    <m/>
    <s v="WCNX"/>
    <n v="0"/>
    <n v="0"/>
    <m/>
    <x v="0"/>
    <n v="4"/>
    <n v="2022"/>
    <n v="2027"/>
    <n v="2027.3333333333333"/>
    <n v="-10.295999999999999"/>
    <n v="-123.55199999999999"/>
    <n v="-123.55199999999999"/>
    <n v="-41.184000000018727"/>
    <n v="-164.73600000001872"/>
    <x v="52"/>
    <x v="0"/>
  </r>
  <r>
    <n v="2112"/>
    <n v="277982"/>
    <x v="0"/>
    <x v="82"/>
    <n v="720"/>
    <m/>
    <m/>
    <n v="0"/>
    <s v="THUNDERBIRD PLASTICS LTD"/>
    <m/>
    <s v="Non-Container Audit"/>
    <d v="2022-04-18T00:00:00"/>
    <d v="2022-04-18T00:00:00"/>
    <s v="2112-22-0020-1"/>
    <n v="500"/>
    <n v="14050"/>
    <n v="7637.76"/>
    <n v="14056"/>
    <n v="1909.44"/>
    <n v="5728.32"/>
    <n v="891.07"/>
    <n v="54260"/>
    <n v="127.29"/>
    <s v="P"/>
    <m/>
    <n v="33457"/>
    <m/>
    <s v="Internal"/>
    <s v="A"/>
    <s v="SL"/>
    <m/>
    <s v="WCNX"/>
    <n v="0"/>
    <n v="0"/>
    <m/>
    <x v="0"/>
    <n v="4"/>
    <n v="2022"/>
    <n v="2027"/>
    <n v="2027.3333333333333"/>
    <n v="127.29600000000001"/>
    <n v="1527.5520000000001"/>
    <n v="1527.5520000000001"/>
    <n v="509.18400000023121"/>
    <n v="2036.7360000002313"/>
    <x v="53"/>
    <x v="0"/>
  </r>
  <r>
    <n v="2112"/>
    <n v="275282"/>
    <x v="0"/>
    <x v="83"/>
    <m/>
    <m/>
    <s v="94-3283464"/>
    <n v="0"/>
    <s v="CDW"/>
    <m/>
    <m/>
    <d v="2018-04-01T00:00:00"/>
    <d v="2018-04-01T00:00:00"/>
    <s v="2113-18-0002-1"/>
    <n v="300"/>
    <n v="14110"/>
    <n v="1311.74"/>
    <n v="14116"/>
    <n v="1311.74"/>
    <n v="0"/>
    <n v="0"/>
    <n v="70260"/>
    <n v="0"/>
    <s v="P"/>
    <m/>
    <s v="MFT2979"/>
    <m/>
    <s v="Internal"/>
    <s v="A"/>
    <s v="SL"/>
    <d v="2022-02-28T00:00:00"/>
    <s v="WCNX"/>
    <n v="0"/>
    <n v="1311.74"/>
    <m/>
    <x v="2"/>
    <n v="4"/>
    <n v="2018"/>
    <n v="2021"/>
    <n v="2021.3333333333333"/>
    <n v="36.437222222222225"/>
    <n v="437.24666666666667"/>
    <n v="0"/>
    <n v="1311.74"/>
    <n v="1311.74"/>
    <x v="1"/>
    <x v="0"/>
  </r>
  <r>
    <n v="2112"/>
    <n v="275281"/>
    <x v="0"/>
    <x v="84"/>
    <n v="0"/>
    <m/>
    <m/>
    <n v="0"/>
    <s v="CDW"/>
    <m/>
    <m/>
    <d v="2011-12-31T00:00:00"/>
    <d v="2011-12-31T00:00:00"/>
    <s v="1010-11-0048-1"/>
    <n v="500"/>
    <n v="14110"/>
    <n v="850.89"/>
    <n v="14116"/>
    <n v="850.89"/>
    <n v="0"/>
    <n v="0"/>
    <n v="70260"/>
    <n v="0"/>
    <s v="P"/>
    <m/>
    <s v="C563015"/>
    <m/>
    <s v="Internal"/>
    <s v="A"/>
    <s v="SL"/>
    <d v="2022-02-28T00:00:00"/>
    <s v="WCNX"/>
    <n v="0"/>
    <n v="850.89"/>
    <m/>
    <x v="2"/>
    <n v="12"/>
    <n v="2011"/>
    <n v="2016"/>
    <n v="2017"/>
    <n v="14.1815"/>
    <n v="170.178"/>
    <n v="0"/>
    <n v="850.89"/>
    <n v="850.89"/>
    <x v="1"/>
    <x v="0"/>
  </r>
  <r>
    <n v="2112"/>
    <n v="275280"/>
    <x v="0"/>
    <x v="85"/>
    <n v="4"/>
    <m/>
    <m/>
    <n v="0"/>
    <s v="Lytx"/>
    <m/>
    <m/>
    <d v="2020-11-10T00:00:00"/>
    <d v="2020-11-10T00:00:00"/>
    <s v="2113-20-0002-1"/>
    <n v="500"/>
    <n v="14070"/>
    <n v="2083.1999999999998"/>
    <n v="14076"/>
    <n v="1145.76"/>
    <n v="937.43999999999983"/>
    <n v="243.04"/>
    <n v="51260"/>
    <n v="34.72"/>
    <s v="P"/>
    <m/>
    <n v="5321893"/>
    <m/>
    <s v="Internal"/>
    <s v="A"/>
    <s v="SL"/>
    <d v="2022-02-28T00:00:00"/>
    <s v="WCNX"/>
    <n v="0"/>
    <n v="555.52"/>
    <s v="157, 158, 667, 992"/>
    <x v="10"/>
    <n v="11"/>
    <n v="2020"/>
    <n v="2025"/>
    <n v="2025.9166666666667"/>
    <n v="34.72"/>
    <n v="416.64"/>
    <n v="416.64"/>
    <n v="729.11999999999989"/>
    <n v="1145.7599999999998"/>
    <x v="54"/>
    <x v="0"/>
  </r>
  <r>
    <n v="2112"/>
    <n v="275279"/>
    <x v="0"/>
    <x v="86"/>
    <n v="0"/>
    <m/>
    <m/>
    <n v="0"/>
    <s v="Pressure Washers Direct"/>
    <m/>
    <m/>
    <d v="2010-09-01T00:00:00"/>
    <d v="2010-09-01T00:00:00"/>
    <s v="2113-10-0003-1"/>
    <n v="500"/>
    <n v="14070"/>
    <n v="11165.19"/>
    <n v="14076"/>
    <n v="11165.19"/>
    <n v="0"/>
    <n v="0"/>
    <n v="51260"/>
    <n v="0"/>
    <s v="P"/>
    <m/>
    <s v="PWD147302"/>
    <m/>
    <s v="Internal"/>
    <s v="A"/>
    <s v="SL"/>
    <d v="2022-02-28T00:00:00"/>
    <s v="WCNX"/>
    <n v="0"/>
    <n v="11165.19"/>
    <m/>
    <x v="5"/>
    <n v="9"/>
    <n v="2010"/>
    <n v="2015"/>
    <n v="2015.75"/>
    <n v="186.0865"/>
    <n v="2233.038"/>
    <n v="0"/>
    <n v="11165.19"/>
    <n v="11165.19"/>
    <x v="1"/>
    <x v="0"/>
  </r>
  <r>
    <n v="2112"/>
    <n v="275278"/>
    <x v="0"/>
    <x v="87"/>
    <n v="0"/>
    <m/>
    <m/>
    <n v="0"/>
    <s v="Deivecam"/>
    <m/>
    <m/>
    <d v="2009-08-01T00:00:00"/>
    <d v="2009-08-01T00:00:00"/>
    <s v="2113-9-0010-1"/>
    <n v="500"/>
    <n v="14070"/>
    <n v="1803.6"/>
    <n v="14076"/>
    <n v="1803.6"/>
    <n v="0"/>
    <n v="0"/>
    <n v="51260"/>
    <n v="0"/>
    <s v="P"/>
    <m/>
    <s v="4070925-1N"/>
    <m/>
    <s v="Internal"/>
    <s v="A"/>
    <s v="SL"/>
    <d v="2022-02-28T00:00:00"/>
    <s v="WCNX"/>
    <n v="0"/>
    <n v="1803.6"/>
    <s v="157, 158, 667, 992"/>
    <x v="10"/>
    <n v="8"/>
    <n v="2009"/>
    <n v="2014"/>
    <n v="2014.6666666666667"/>
    <n v="30.06"/>
    <n v="360.71999999999997"/>
    <n v="0"/>
    <n v="1803.6"/>
    <n v="1803.6"/>
    <x v="1"/>
    <x v="0"/>
  </r>
  <r>
    <n v="2112"/>
    <n v="275277"/>
    <x v="0"/>
    <x v="88"/>
    <n v="54"/>
    <n v="0"/>
    <m/>
    <n v="0"/>
    <m/>
    <m/>
    <s v="Non Audit Assets"/>
    <d v="2006-09-01T00:00:00"/>
    <d v="2006-01-04T00:00:00"/>
    <s v="06-2113-403"/>
    <n v="1200"/>
    <n v="14050"/>
    <n v="37648.800000000003"/>
    <n v="14056"/>
    <n v="37648.800000000003"/>
    <n v="0"/>
    <n v="0"/>
    <n v="54260"/>
    <n v="0"/>
    <s v="C"/>
    <n v="0"/>
    <n v="633004"/>
    <m/>
    <s v="Internal"/>
    <s v="A"/>
    <s v="SL"/>
    <d v="2022-02-28T00:00:00"/>
    <s v="WCNX"/>
    <n v="0"/>
    <n v="37648.800000000003"/>
    <m/>
    <x v="3"/>
    <n v="9"/>
    <n v="2006"/>
    <n v="2018"/>
    <n v="2018.75"/>
    <n v="261.45"/>
    <n v="3137.3999999999996"/>
    <n v="0"/>
    <n v="37648.800000000003"/>
    <n v="37648.800000000003"/>
    <x v="1"/>
    <x v="0"/>
  </r>
  <r>
    <n v="2112"/>
    <n v="275276"/>
    <x v="0"/>
    <x v="89"/>
    <n v="0"/>
    <s v="1H9CC53467T347110"/>
    <s v="63644AC"/>
    <n v="2006"/>
    <s v="Helm"/>
    <s v="Other"/>
    <s v="Container Chassis"/>
    <d v="2006-12-08T00:00:00"/>
    <d v="2006-12-08T00:00:00"/>
    <s v="06-2113-028"/>
    <n v="700"/>
    <n v="14040"/>
    <n v="41353.599999999999"/>
    <n v="14046"/>
    <n v="41353.599999999999"/>
    <n v="0"/>
    <n v="0"/>
    <n v="51260"/>
    <n v="0"/>
    <s v="P"/>
    <m/>
    <n v="420282"/>
    <s v="C-8"/>
    <s v="Internal"/>
    <s v="A"/>
    <s v="SL"/>
    <d v="2022-02-28T00:00:00"/>
    <s v="WCNX"/>
    <n v="0"/>
    <n v="41353.599999999999"/>
    <s v="C-8"/>
    <x v="10"/>
    <n v="12"/>
    <n v="2006"/>
    <n v="2013"/>
    <n v="2014"/>
    <n v="492.30476190476185"/>
    <n v="5907.6571428571424"/>
    <n v="0"/>
    <n v="41353.599999999999"/>
    <n v="41353.599999999999"/>
    <x v="1"/>
    <x v="0"/>
  </r>
  <r>
    <n v="2112"/>
    <n v="273622"/>
    <x v="0"/>
    <x v="90"/>
    <n v="57"/>
    <m/>
    <m/>
    <n v="0"/>
    <m/>
    <m/>
    <m/>
    <d v="2022-01-31T00:00:00"/>
    <d v="2022-01-31T00:00:00"/>
    <s v="1010-21-0060"/>
    <n v="100"/>
    <n v="14110"/>
    <n v="7272.34"/>
    <n v="14116"/>
    <n v="7272.34"/>
    <n v="0"/>
    <n v="606.03"/>
    <n v="70260"/>
    <n v="0"/>
    <s v="P"/>
    <m/>
    <m/>
    <m/>
    <s v="Internal"/>
    <s v="A"/>
    <s v="SL"/>
    <m/>
    <s v="WCNX"/>
    <n v="0"/>
    <n v="0"/>
    <m/>
    <x v="2"/>
    <n v="1"/>
    <n v="2022"/>
    <n v="2023"/>
    <n v="2023.0833333333333"/>
    <n v="606.02833333333331"/>
    <n v="7272.34"/>
    <n v="0"/>
    <n v="4242.198333334436"/>
    <n v="7272.34"/>
    <x v="1"/>
    <x v="0"/>
  </r>
  <r>
    <n v="2112"/>
    <n v="271212"/>
    <x v="15"/>
    <x v="91"/>
    <m/>
    <m/>
    <m/>
    <n v="0"/>
    <s v="Peterbilt"/>
    <m/>
    <s v="Non-Rolling Stock"/>
    <d v="2021-11-01T00:00:00"/>
    <d v="2021-11-01T00:00:00"/>
    <s v="2112-21-0032-1"/>
    <n v="300"/>
    <n v="14040"/>
    <n v="18093.169999999998"/>
    <n v="14046"/>
    <n v="10554.36"/>
    <n v="7538.8099999999977"/>
    <n v="3518.12"/>
    <n v="51260"/>
    <n v="502.59"/>
    <s v="P"/>
    <m/>
    <s v="025R256430"/>
    <m/>
    <s v="Internal"/>
    <s v="A"/>
    <s v="SL"/>
    <m/>
    <s v="WCNX"/>
    <n v="0"/>
    <n v="0"/>
    <n v="884"/>
    <x v="7"/>
    <n v="11"/>
    <n v="2021"/>
    <n v="2024"/>
    <n v="2024.9166666666667"/>
    <n v="502.58805555555551"/>
    <n v="6031.0566666666664"/>
    <n v="6031.0566666666664"/>
    <n v="4523.2924999999996"/>
    <n v="10554.349166666667"/>
    <x v="55"/>
    <x v="0"/>
  </r>
  <r>
    <n v="2112"/>
    <n v="266846"/>
    <x v="0"/>
    <x v="92"/>
    <n v="720"/>
    <m/>
    <m/>
    <n v="0"/>
    <s v="THUNDERBIRD PLASTICS LTD"/>
    <m/>
    <s v="Non-Container Audit"/>
    <d v="2021-11-23T00:00:00"/>
    <d v="2021-11-23T00:00:00"/>
    <s v="2112-21-0033-1"/>
    <n v="500"/>
    <n v="14050"/>
    <n v="7363.58"/>
    <n v="14056"/>
    <n v="2454.54"/>
    <n v="4909.04"/>
    <n v="859.09"/>
    <n v="54260"/>
    <n v="122.73"/>
    <s v="P"/>
    <m/>
    <n v="33011"/>
    <m/>
    <s v="Internal"/>
    <s v="A"/>
    <s v="SL"/>
    <m/>
    <s v="WCNX"/>
    <n v="0"/>
    <n v="0"/>
    <m/>
    <x v="0"/>
    <n v="11"/>
    <n v="2021"/>
    <n v="2026"/>
    <n v="2026.9166666666667"/>
    <n v="122.72633333333333"/>
    <n v="1472.7159999999999"/>
    <n v="1472.7159999999999"/>
    <n v="1104.5370000000003"/>
    <n v="2577.2530000000002"/>
    <x v="56"/>
    <x v="0"/>
  </r>
  <r>
    <n v="2112"/>
    <n v="265287"/>
    <x v="0"/>
    <x v="93"/>
    <n v="10"/>
    <m/>
    <m/>
    <n v="0"/>
    <s v="REHRIG PACIFIC COMPANY IN"/>
    <m/>
    <s v="4 YD FEL Container"/>
    <d v="2021-10-29T00:00:00"/>
    <d v="2021-10-29T00:00:00"/>
    <s v="2112-21-0026-1"/>
    <n v="1200"/>
    <n v="14050"/>
    <n v="9514.31"/>
    <n v="14056"/>
    <n v="1387.49"/>
    <n v="8126.82"/>
    <n v="462.5"/>
    <n v="54260"/>
    <n v="66.069999999999993"/>
    <s v="P"/>
    <m/>
    <n v="50202593"/>
    <m/>
    <s v="Internal"/>
    <s v="A"/>
    <s v="SL"/>
    <m/>
    <s v="WCNX"/>
    <n v="0"/>
    <n v="0"/>
    <m/>
    <x v="1"/>
    <n v="10"/>
    <n v="2021"/>
    <n v="2033"/>
    <n v="2033.8333333333333"/>
    <n v="66.071597222222223"/>
    <n v="792.85916666666662"/>
    <n v="792.85916666666662"/>
    <n v="660.71597222234232"/>
    <n v="1453.5751388890089"/>
    <x v="57"/>
    <x v="0"/>
  </r>
  <r>
    <n v="2112"/>
    <n v="265280"/>
    <x v="0"/>
    <x v="68"/>
    <n v="15"/>
    <m/>
    <m/>
    <n v="0"/>
    <s v="REHRIG PACIFIC COMPANY IN"/>
    <m/>
    <s v="2 YD REL Container"/>
    <d v="2021-11-01T00:00:00"/>
    <d v="2021-11-01T00:00:00"/>
    <s v="2112-21-0026-1"/>
    <n v="1200"/>
    <n v="14050"/>
    <n v="13745.79"/>
    <n v="14056"/>
    <n v="2004.59"/>
    <n v="11741.2"/>
    <n v="668.2"/>
    <n v="54260"/>
    <n v="95.46"/>
    <s v="P"/>
    <m/>
    <n v="50199415"/>
    <m/>
    <s v="Internal"/>
    <s v="A"/>
    <s v="SL"/>
    <m/>
    <s v="WCNX"/>
    <n v="0"/>
    <n v="0"/>
    <m/>
    <x v="1"/>
    <n v="11"/>
    <n v="2021"/>
    <n v="2033"/>
    <n v="2033.9166666666667"/>
    <n v="95.456875000000011"/>
    <n v="1145.4825000000001"/>
    <n v="1145.4825000000001"/>
    <n v="859.11187499999869"/>
    <n v="2004.5943749999988"/>
    <x v="58"/>
    <x v="0"/>
  </r>
  <r>
    <n v="2112"/>
    <n v="265279"/>
    <x v="0"/>
    <x v="94"/>
    <n v="15"/>
    <m/>
    <m/>
    <n v="0"/>
    <s v="REHRIG PACIFIC COMPANY IN"/>
    <m/>
    <s v="2 YD FEL Container"/>
    <d v="2021-11-01T00:00:00"/>
    <d v="2021-11-01T00:00:00"/>
    <s v="2112-21-0026-1"/>
    <n v="1200"/>
    <n v="14050"/>
    <n v="10984.81"/>
    <n v="14056"/>
    <n v="1601.95"/>
    <n v="9382.8599999999988"/>
    <n v="533.98"/>
    <n v="54260"/>
    <n v="76.28"/>
    <s v="P"/>
    <m/>
    <n v="50202593"/>
    <m/>
    <s v="Internal"/>
    <s v="A"/>
    <s v="SL"/>
    <m/>
    <s v="WCNX"/>
    <n v="0"/>
    <n v="0"/>
    <m/>
    <x v="1"/>
    <n v="11"/>
    <n v="2021"/>
    <n v="2033"/>
    <n v="2033.9166666666667"/>
    <n v="76.283402777777766"/>
    <n v="915.40083333333314"/>
    <n v="915.40083333333314"/>
    <n v="686.55062500000167"/>
    <n v="1601.9514583333348"/>
    <x v="59"/>
    <x v="0"/>
  </r>
  <r>
    <n v="2112"/>
    <n v="265267"/>
    <x v="0"/>
    <x v="95"/>
    <m/>
    <s v="1W9SR2536NC269920"/>
    <m/>
    <n v="2022"/>
    <s v="X"/>
    <s v="X"/>
    <s v="R/O Trailer"/>
    <d v="2021-11-11T00:00:00"/>
    <d v="2021-11-11T00:00:00"/>
    <s v="2112-21-0024-1"/>
    <n v="700"/>
    <n v="14040"/>
    <n v="68165.850000000006"/>
    <n v="14046"/>
    <n v="17041.47"/>
    <n v="51124.380000000005"/>
    <n v="5680.49"/>
    <n v="51260"/>
    <n v="811.5"/>
    <s v="P"/>
    <m/>
    <n v="34800"/>
    <s v="PT16"/>
    <s v="Internal"/>
    <s v="A"/>
    <s v="SL"/>
    <m/>
    <s v="WCNX"/>
    <n v="0"/>
    <n v="0"/>
    <s v="PT-16"/>
    <x v="8"/>
    <n v="11"/>
    <n v="2021"/>
    <n v="2028"/>
    <n v="2028.9166666666667"/>
    <n v="811.49821428571431"/>
    <n v="9737.9785714285717"/>
    <n v="9737.9785714285717"/>
    <n v="7303.4839285714334"/>
    <n v="17041.462500000005"/>
    <x v="60"/>
    <x v="0"/>
  </r>
  <r>
    <n v="2112"/>
    <n v="264431"/>
    <x v="0"/>
    <x v="96"/>
    <m/>
    <s v="1XPXP49X3LD679887"/>
    <m/>
    <n v="2020"/>
    <m/>
    <m/>
    <s v="Road Tractor"/>
    <d v="2021-09-24T00:00:00"/>
    <d v="2021-09-24T00:00:00"/>
    <s v="2112-21-0028"/>
    <n v="800"/>
    <n v="14040"/>
    <n v="165345"/>
    <n v="14046"/>
    <n v="37891.57"/>
    <n v="127453.43"/>
    <n v="12056.41"/>
    <n v="51260"/>
    <n v="1722.34"/>
    <s v="P"/>
    <m/>
    <m/>
    <n v="157"/>
    <s v="Internal"/>
    <s v="A"/>
    <s v="SL"/>
    <m/>
    <s v="WCNX"/>
    <n v="0"/>
    <n v="0"/>
    <n v="157"/>
    <x v="10"/>
    <n v="9"/>
    <n v="2021"/>
    <n v="2029"/>
    <n v="2029.75"/>
    <n v="1722.34375"/>
    <n v="20668.125"/>
    <n v="20668.125"/>
    <n v="18945.781250001572"/>
    <n v="39613.906250001572"/>
    <x v="61"/>
    <x v="0"/>
  </r>
  <r>
    <n v="2112"/>
    <n v="264053"/>
    <x v="16"/>
    <x v="97"/>
    <n v="1"/>
    <m/>
    <m/>
    <n v="0"/>
    <s v="AMZN MKTP US 2C41E96Y2"/>
    <m/>
    <m/>
    <d v="2021-09-24T00:00:00"/>
    <d v="2021-09-24T00:00:00"/>
    <s v="2112-21-0031-1"/>
    <n v="300"/>
    <n v="14110"/>
    <n v="262.49"/>
    <n v="14116"/>
    <n v="160.41999999999999"/>
    <n v="102.07000000000002"/>
    <n v="51.04"/>
    <n v="70260"/>
    <n v="7.29"/>
    <s v="P"/>
    <m/>
    <n v="7025869"/>
    <m/>
    <s v="Internal"/>
    <s v="A"/>
    <s v="SL"/>
    <m/>
    <s v="WCNX"/>
    <n v="0"/>
    <n v="0"/>
    <m/>
    <x v="2"/>
    <n v="9"/>
    <n v="2021"/>
    <n v="2024"/>
    <n v="2024.75"/>
    <n v="7.2913888888888891"/>
    <n v="87.49666666666667"/>
    <n v="87.49666666666667"/>
    <n v="80.205277777784403"/>
    <n v="167.70194444445107"/>
    <x v="62"/>
    <x v="0"/>
  </r>
  <r>
    <n v="2112"/>
    <n v="263828"/>
    <x v="0"/>
    <x v="98"/>
    <n v="1"/>
    <m/>
    <m/>
    <n v="0"/>
    <s v="CDW DIR #PO  2112-21-0"/>
    <m/>
    <m/>
    <d v="2021-09-24T00:00:00"/>
    <d v="2021-09-24T00:00:00"/>
    <s v="2112-21-0031-1"/>
    <n v="300"/>
    <n v="14110"/>
    <n v="1173.05"/>
    <n v="14116"/>
    <n v="716.88"/>
    <n v="456.16999999999996"/>
    <n v="228.1"/>
    <n v="70260"/>
    <n v="32.590000000000003"/>
    <s v="P"/>
    <m/>
    <s v="L262134"/>
    <m/>
    <s v="Internal"/>
    <s v="A"/>
    <s v="SL"/>
    <m/>
    <s v="WCNX"/>
    <n v="0"/>
    <n v="0"/>
    <m/>
    <x v="2"/>
    <n v="9"/>
    <n v="2021"/>
    <n v="2024"/>
    <n v="2024.75"/>
    <n v="32.584722222222219"/>
    <n v="391.01666666666665"/>
    <n v="391.01666666666665"/>
    <n v="358.43194444447408"/>
    <n v="749.44861111114074"/>
    <x v="63"/>
    <x v="0"/>
  </r>
  <r>
    <n v="2112"/>
    <n v="260305"/>
    <x v="0"/>
    <x v="99"/>
    <n v="350"/>
    <m/>
    <m/>
    <n v="0"/>
    <s v="REHRIG PACIFIC COMPANY IN"/>
    <m/>
    <s v="Non-Container Audit"/>
    <d v="2021-09-16T00:00:00"/>
    <d v="2021-09-16T00:00:00"/>
    <s v="2112-21-0025-1"/>
    <n v="700"/>
    <n v="14050"/>
    <n v="19249.439999999999"/>
    <n v="14056"/>
    <n v="5041.5200000000004"/>
    <n v="14207.919999999998"/>
    <n v="1604.12"/>
    <n v="54260"/>
    <n v="229.16"/>
    <s v="P"/>
    <m/>
    <n v="50192894"/>
    <m/>
    <s v="Internal"/>
    <s v="A"/>
    <s v="SL"/>
    <m/>
    <s v="WCNX"/>
    <n v="0"/>
    <n v="0"/>
    <m/>
    <x v="4"/>
    <n v="9"/>
    <n v="2021"/>
    <n v="2028"/>
    <n v="2028.75"/>
    <n v="229.15999999999997"/>
    <n v="2749.9199999999996"/>
    <n v="2749.9199999999996"/>
    <n v="2520.7600000002094"/>
    <n v="5270.6800000002095"/>
    <x v="64"/>
    <x v="0"/>
  </r>
  <r>
    <n v="2112"/>
    <n v="260003"/>
    <x v="0"/>
    <x v="100"/>
    <n v="2"/>
    <m/>
    <m/>
    <n v="0"/>
    <s v="WASTEQUIP LLC"/>
    <m/>
    <s v="30 YD RO Box"/>
    <d v="2021-08-13T00:00:00"/>
    <d v="2021-08-13T00:00:00"/>
    <s v="2112-21-0020-1"/>
    <n v="1200"/>
    <n v="14050"/>
    <n v="20303.5"/>
    <n v="14056"/>
    <n v="3383.92"/>
    <n v="16919.580000000002"/>
    <n v="986.98"/>
    <n v="54260"/>
    <n v="141"/>
    <s v="P"/>
    <m/>
    <s v="20INV000022382"/>
    <m/>
    <s v="Internal"/>
    <s v="A"/>
    <s v="SL"/>
    <m/>
    <s v="WCNX"/>
    <n v="0"/>
    <n v="0"/>
    <m/>
    <x v="3"/>
    <n v="8"/>
    <n v="2021"/>
    <n v="2033"/>
    <n v="2033.6666666666667"/>
    <n v="140.99652777777777"/>
    <n v="1691.9583333333333"/>
    <n v="1691.9583333333333"/>
    <n v="1691.9583333333358"/>
    <n v="3383.9166666666688"/>
    <x v="65"/>
    <x v="0"/>
  </r>
  <r>
    <n v="2112"/>
    <n v="260002"/>
    <x v="0"/>
    <x v="101"/>
    <n v="2"/>
    <m/>
    <m/>
    <n v="0"/>
    <s v="WASTEQUIP LLC"/>
    <m/>
    <s v="20 YD RO Box"/>
    <d v="2021-08-13T00:00:00"/>
    <d v="2021-08-13T00:00:00"/>
    <s v="2112-21-0020-1"/>
    <n v="1200"/>
    <n v="14050"/>
    <n v="18575.5"/>
    <n v="14056"/>
    <n v="3095.92"/>
    <n v="15479.58"/>
    <n v="902.98"/>
    <n v="54260"/>
    <n v="129"/>
    <s v="P"/>
    <m/>
    <s v="20INV000022382"/>
    <m/>
    <s v="Internal"/>
    <s v="A"/>
    <s v="SL"/>
    <m/>
    <s v="WCNX"/>
    <n v="0"/>
    <n v="0"/>
    <m/>
    <x v="3"/>
    <n v="8"/>
    <n v="2021"/>
    <n v="2033"/>
    <n v="2033.6666666666667"/>
    <n v="128.99652777777777"/>
    <n v="1547.9583333333333"/>
    <n v="1547.9583333333333"/>
    <n v="1547.9583333333358"/>
    <n v="3095.9166666666688"/>
    <x v="66"/>
    <x v="0"/>
  </r>
  <r>
    <n v="2112"/>
    <n v="259022"/>
    <x v="0"/>
    <x v="102"/>
    <n v="480"/>
    <m/>
    <m/>
    <n v="0"/>
    <s v="THUNDERBIRD PLASTICS LTD"/>
    <m/>
    <s v="Non-Container Audit"/>
    <d v="2021-07-05T00:00:00"/>
    <d v="2021-07-05T00:00:00"/>
    <s v="2112-21-0023-1"/>
    <n v="500"/>
    <n v="14050"/>
    <n v="4921.5600000000004"/>
    <n v="14056"/>
    <n v="2050.65"/>
    <n v="2870.9100000000003"/>
    <n v="574.17999999999995"/>
    <n v="54260"/>
    <n v="82.02"/>
    <s v="P"/>
    <m/>
    <n v="32525"/>
    <m/>
    <s v="Internal"/>
    <s v="A"/>
    <s v="SL"/>
    <m/>
    <s v="WCNX"/>
    <n v="0"/>
    <n v="0"/>
    <m/>
    <x v="0"/>
    <n v="7"/>
    <n v="2021"/>
    <n v="2026"/>
    <n v="2026.5833333333333"/>
    <n v="82.02600000000001"/>
    <n v="984.31200000000013"/>
    <n v="984.31200000000013"/>
    <n v="1066.3380000001489"/>
    <n v="2050.6500000001488"/>
    <x v="67"/>
    <x v="0"/>
  </r>
  <r>
    <n v="2112"/>
    <n v="254783"/>
    <x v="0"/>
    <x v="103"/>
    <m/>
    <s v="1P9CG504XYH401017"/>
    <s v="40026AG"/>
    <n v="2000"/>
    <s v="Panderra"/>
    <s v="X"/>
    <s v="Container Chassis"/>
    <d v="2021-06-11T00:00:00"/>
    <d v="2021-06-11T00:00:00"/>
    <s v="2112-21-0021-8"/>
    <n v="300"/>
    <n v="14040"/>
    <n v="19782"/>
    <n v="14046"/>
    <n v="14287"/>
    <n v="5495"/>
    <n v="3846.5"/>
    <n v="51260"/>
    <n v="549.5"/>
    <s v="P"/>
    <m/>
    <s v="M20947"/>
    <s v="OD8"/>
    <s v="Internal"/>
    <s v="A"/>
    <s v="SL"/>
    <m/>
    <s v="WCNX"/>
    <n v="0"/>
    <n v="0"/>
    <s v="OD8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782"/>
    <x v="0"/>
    <x v="103"/>
    <m/>
    <s v="1P9CG5044XH401013"/>
    <s v="40027AG"/>
    <n v="2000"/>
    <s v="Panderra"/>
    <s v="X"/>
    <s v="Container Chassis"/>
    <d v="2021-06-11T00:00:00"/>
    <d v="2021-06-11T00:00:00"/>
    <s v="2112-21-0021-7"/>
    <n v="300"/>
    <n v="14040"/>
    <n v="19782"/>
    <n v="14046"/>
    <n v="14287"/>
    <n v="5495"/>
    <n v="3846.5"/>
    <n v="51260"/>
    <n v="549.5"/>
    <s v="P"/>
    <m/>
    <s v="M20947"/>
    <s v="OD7"/>
    <s v="Internal"/>
    <s v="A"/>
    <s v="SL"/>
    <m/>
    <s v="WCNX"/>
    <n v="0"/>
    <n v="0"/>
    <s v="OD7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781"/>
    <x v="0"/>
    <x v="103"/>
    <m/>
    <s v="1P9CG5042XH401012"/>
    <s v="40028AG"/>
    <n v="2000"/>
    <s v="Panderra"/>
    <s v="X"/>
    <s v="Container Chassis"/>
    <d v="2021-06-11T00:00:00"/>
    <d v="2021-06-11T00:00:00"/>
    <s v="2112-21-0021-6"/>
    <n v="300"/>
    <n v="14040"/>
    <n v="19782"/>
    <n v="14046"/>
    <n v="14287"/>
    <n v="5495"/>
    <n v="3846.5"/>
    <n v="51260"/>
    <n v="549.5"/>
    <s v="P"/>
    <m/>
    <s v="M20947"/>
    <s v="OD6"/>
    <s v="Internal"/>
    <s v="A"/>
    <s v="SL"/>
    <m/>
    <s v="WCNX"/>
    <n v="0"/>
    <n v="0"/>
    <s v="OD6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780"/>
    <x v="0"/>
    <x v="103"/>
    <m/>
    <s v="1P9CG5049XH401010"/>
    <s v="40029AG"/>
    <n v="2000"/>
    <s v="Panderra"/>
    <s v="X"/>
    <s v="Container Chassis"/>
    <d v="2021-06-11T00:00:00"/>
    <d v="2021-06-11T00:00:00"/>
    <s v="2112-21-0021-5"/>
    <n v="300"/>
    <n v="14040"/>
    <n v="19782"/>
    <n v="14046"/>
    <n v="14287"/>
    <n v="5495"/>
    <n v="3846.5"/>
    <n v="51260"/>
    <n v="549.5"/>
    <s v="P"/>
    <m/>
    <s v="M20947"/>
    <s v="OD5"/>
    <s v="Internal"/>
    <s v="A"/>
    <s v="SL"/>
    <m/>
    <s v="WCNX"/>
    <n v="0"/>
    <n v="0"/>
    <s v="OD5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779"/>
    <x v="0"/>
    <x v="104"/>
    <m/>
    <s v="1S9CC53428T505312"/>
    <s v="40051AG"/>
    <n v="2008"/>
    <s v="Homemade"/>
    <s v="X"/>
    <s v="Container Chassis"/>
    <d v="2021-06-11T00:00:00"/>
    <d v="2021-06-11T00:00:00"/>
    <s v="2112-21-0021-4"/>
    <n v="300"/>
    <n v="14040"/>
    <n v="19782"/>
    <n v="14046"/>
    <n v="14287"/>
    <n v="5495"/>
    <n v="3846.5"/>
    <n v="51260"/>
    <n v="549.5"/>
    <s v="P"/>
    <m/>
    <s v="M20947"/>
    <s v="OD4"/>
    <s v="Internal"/>
    <s v="A"/>
    <s v="SL"/>
    <m/>
    <s v="WCNX"/>
    <n v="0"/>
    <n v="0"/>
    <s v="OD4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778"/>
    <x v="0"/>
    <x v="105"/>
    <m/>
    <s v="1H2P04835TW021827"/>
    <m/>
    <n v="1996"/>
    <s v="X"/>
    <s v="X"/>
    <s v="Container Chassis"/>
    <d v="2021-06-11T00:00:00"/>
    <d v="2021-06-11T00:00:00"/>
    <s v="2112-21-0021-3"/>
    <n v="300"/>
    <n v="14040"/>
    <n v="19782"/>
    <n v="14046"/>
    <n v="14287"/>
    <n v="5495"/>
    <n v="3846.5"/>
    <n v="51260"/>
    <n v="549.5"/>
    <s v="P"/>
    <m/>
    <s v="M20947"/>
    <s v="OD3"/>
    <s v="Internal"/>
    <s v="A"/>
    <s v="SL"/>
    <m/>
    <s v="WCNX"/>
    <n v="0"/>
    <n v="0"/>
    <s v="OD3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777"/>
    <x v="0"/>
    <x v="105"/>
    <m/>
    <s v="1H2P04831TW021825"/>
    <m/>
    <n v="1996"/>
    <s v="X"/>
    <s v="X"/>
    <s v="Container Chassis"/>
    <d v="2021-06-11T00:00:00"/>
    <d v="2021-06-11T00:00:00"/>
    <s v="2112-21-0021-2"/>
    <n v="300"/>
    <n v="14040"/>
    <n v="19782"/>
    <n v="14046"/>
    <n v="14287"/>
    <n v="5495"/>
    <n v="3846.5"/>
    <n v="51260"/>
    <n v="549.5"/>
    <s v="P"/>
    <m/>
    <s v="M20947"/>
    <s v="OD2"/>
    <s v="Internal"/>
    <s v="A"/>
    <s v="SL"/>
    <m/>
    <s v="WCNX"/>
    <n v="0"/>
    <n v="0"/>
    <s v="OD2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776"/>
    <x v="0"/>
    <x v="106"/>
    <m/>
    <s v="1H2P04839SW017827"/>
    <m/>
    <n v="1995"/>
    <s v="X"/>
    <s v="X"/>
    <s v="Container Chassis"/>
    <d v="2021-06-11T00:00:00"/>
    <d v="2021-06-11T00:00:00"/>
    <s v="2112-21-0021-1"/>
    <n v="300"/>
    <n v="14040"/>
    <n v="19782"/>
    <n v="14046"/>
    <n v="14287"/>
    <n v="5495"/>
    <n v="3846.5"/>
    <n v="51260"/>
    <n v="549.5"/>
    <s v="P"/>
    <m/>
    <s v="M20947"/>
    <s v="OD1"/>
    <s v="Internal"/>
    <s v="A"/>
    <s v="SL"/>
    <m/>
    <s v="WCNX"/>
    <n v="0"/>
    <n v="0"/>
    <s v="OD1"/>
    <x v="10"/>
    <n v="6"/>
    <n v="2021"/>
    <n v="2024"/>
    <n v="2024.5"/>
    <n v="549.5"/>
    <n v="6594"/>
    <n v="6594"/>
    <n v="7693.0000000005002"/>
    <n v="14287.0000000005"/>
    <x v="68"/>
    <x v="0"/>
  </r>
  <r>
    <n v="2112"/>
    <n v="254484"/>
    <x v="17"/>
    <x v="107"/>
    <n v="1"/>
    <m/>
    <m/>
    <n v="0"/>
    <s v="CDW"/>
    <m/>
    <m/>
    <d v="2021-06-07T00:00:00"/>
    <d v="2021-06-07T00:00:00"/>
    <s v="2112-21-0019-1"/>
    <n v="300"/>
    <n v="14110"/>
    <n v="103.71"/>
    <n v="14116"/>
    <n v="74.91"/>
    <n v="28.799999999999997"/>
    <n v="20.170000000000002"/>
    <n v="70260"/>
    <n v="2.88"/>
    <s v="P"/>
    <m/>
    <s v="F295034"/>
    <m/>
    <s v="Internal"/>
    <s v="A"/>
    <s v="SL"/>
    <m/>
    <s v="WCNX"/>
    <n v="0"/>
    <n v="0"/>
    <m/>
    <x v="2"/>
    <n v="6"/>
    <n v="2021"/>
    <n v="2024"/>
    <n v="2024.5"/>
    <n v="2.8808333333333334"/>
    <n v="34.57"/>
    <n v="34.57"/>
    <n v="40.331666666669278"/>
    <n v="74.901666666669286"/>
    <x v="69"/>
    <x v="0"/>
  </r>
  <r>
    <n v="2112"/>
    <n v="254483"/>
    <x v="0"/>
    <x v="108"/>
    <n v="1"/>
    <m/>
    <m/>
    <n v="0"/>
    <s v="CDW"/>
    <m/>
    <m/>
    <d v="2021-06-07T00:00:00"/>
    <d v="2021-06-07T00:00:00"/>
    <s v="2112-21-0019-1"/>
    <n v="300"/>
    <n v="14110"/>
    <n v="1040.6600000000001"/>
    <n v="14116"/>
    <n v="751.59"/>
    <n v="289.07000000000005"/>
    <n v="202.35"/>
    <n v="70260"/>
    <n v="28.9"/>
    <s v="P"/>
    <m/>
    <s v="F220465"/>
    <m/>
    <s v="Internal"/>
    <s v="A"/>
    <s v="SL"/>
    <m/>
    <s v="WCNX"/>
    <n v="0"/>
    <n v="0"/>
    <m/>
    <x v="2"/>
    <n v="6"/>
    <n v="2021"/>
    <n v="2024"/>
    <n v="2024.5"/>
    <n v="28.907222222222227"/>
    <n v="346.88666666666671"/>
    <n v="346.88666666666671"/>
    <n v="404.70111111113738"/>
    <n v="751.58777777780415"/>
    <x v="70"/>
    <x v="0"/>
  </r>
  <r>
    <n v="2112"/>
    <n v="254050"/>
    <x v="0"/>
    <x v="109"/>
    <n v="1"/>
    <m/>
    <m/>
    <n v="0"/>
    <m/>
    <m/>
    <m/>
    <d v="2008-11-03T00:00:00"/>
    <d v="2008-11-03T00:00:00"/>
    <m/>
    <n v="700"/>
    <n v="14050"/>
    <n v="87.05"/>
    <n v="14056"/>
    <n v="87.05"/>
    <n v="0"/>
    <n v="0"/>
    <n v="54260"/>
    <n v="0"/>
    <s v="A"/>
    <s v="LeMay Enterprises"/>
    <m/>
    <m/>
    <s v="Internal"/>
    <s v="A"/>
    <s v="SL"/>
    <d v="2021-05-31T00:00:00"/>
    <s v="WCNX"/>
    <n v="0"/>
    <n v="87.05"/>
    <m/>
    <x v="1"/>
    <n v="11"/>
    <n v="2008"/>
    <n v="2015"/>
    <n v="2015.9166666666667"/>
    <n v="1.0363095238095237"/>
    <n v="12.435714285714283"/>
    <n v="0"/>
    <n v="87.05"/>
    <n v="87.05"/>
    <x v="1"/>
    <x v="0"/>
  </r>
  <r>
    <n v="2112"/>
    <n v="254049"/>
    <x v="0"/>
    <x v="110"/>
    <n v="2"/>
    <m/>
    <m/>
    <n v="0"/>
    <m/>
    <m/>
    <m/>
    <d v="2008-11-03T00:00:00"/>
    <d v="2008-11-03T00:00:00"/>
    <m/>
    <n v="700"/>
    <n v="14050"/>
    <n v="174.1"/>
    <n v="14056"/>
    <n v="174.1"/>
    <n v="0"/>
    <n v="0"/>
    <n v="54260"/>
    <n v="0"/>
    <s v="A"/>
    <s v="LeMay Enterprises"/>
    <m/>
    <m/>
    <s v="Internal"/>
    <s v="A"/>
    <s v="SL"/>
    <d v="2021-05-31T00:00:00"/>
    <s v="WCNX"/>
    <n v="0"/>
    <n v="174.1"/>
    <m/>
    <x v="1"/>
    <n v="11"/>
    <n v="2008"/>
    <n v="2015"/>
    <n v="2015.9166666666667"/>
    <n v="2.0726190476190474"/>
    <n v="24.871428571428567"/>
    <n v="0"/>
    <n v="174.1"/>
    <n v="174.1"/>
    <x v="1"/>
    <x v="0"/>
  </r>
  <r>
    <n v="2112"/>
    <n v="254048"/>
    <x v="0"/>
    <x v="111"/>
    <n v="2"/>
    <m/>
    <m/>
    <n v="0"/>
    <m/>
    <m/>
    <m/>
    <d v="2008-11-03T00:00:00"/>
    <d v="2008-11-03T00:00:00"/>
    <m/>
    <n v="700"/>
    <n v="14050"/>
    <n v="174.1"/>
    <n v="14056"/>
    <n v="174.1"/>
    <n v="0"/>
    <n v="0"/>
    <n v="54260"/>
    <n v="0"/>
    <s v="A"/>
    <s v="LeMay Enterprises"/>
    <m/>
    <m/>
    <s v="Internal"/>
    <s v="A"/>
    <s v="SL"/>
    <d v="2021-05-31T00:00:00"/>
    <s v="WCNX"/>
    <n v="0"/>
    <n v="174.1"/>
    <m/>
    <x v="3"/>
    <n v="11"/>
    <n v="2008"/>
    <n v="2015"/>
    <n v="2015.9166666666667"/>
    <n v="2.0726190476190474"/>
    <n v="24.871428571428567"/>
    <n v="0"/>
    <n v="174.1"/>
    <n v="174.1"/>
    <x v="1"/>
    <x v="0"/>
  </r>
  <r>
    <n v="2112"/>
    <n v="254047"/>
    <x v="0"/>
    <x v="112"/>
    <n v="3"/>
    <m/>
    <m/>
    <n v="0"/>
    <m/>
    <m/>
    <m/>
    <d v="2008-11-03T00:00:00"/>
    <d v="2008-11-03T00:00:00"/>
    <m/>
    <n v="700"/>
    <n v="14050"/>
    <n v="261.14999999999998"/>
    <n v="14056"/>
    <n v="261.14999999999998"/>
    <n v="0"/>
    <n v="0"/>
    <n v="54260"/>
    <n v="0"/>
    <s v="A"/>
    <s v="LeMay Enterprises"/>
    <m/>
    <m/>
    <s v="Internal"/>
    <s v="A"/>
    <s v="SL"/>
    <d v="2021-05-31T00:00:00"/>
    <s v="WCNX"/>
    <n v="0"/>
    <n v="261.14999999999998"/>
    <m/>
    <x v="3"/>
    <n v="11"/>
    <n v="2008"/>
    <n v="2015"/>
    <n v="2015.9166666666667"/>
    <n v="3.1089285714285713"/>
    <n v="37.307142857142857"/>
    <n v="0"/>
    <n v="261.14999999999998"/>
    <n v="261.14999999999998"/>
    <x v="1"/>
    <x v="0"/>
  </r>
  <r>
    <n v="2112"/>
    <n v="254046"/>
    <x v="0"/>
    <x v="113"/>
    <n v="9"/>
    <m/>
    <m/>
    <n v="0"/>
    <m/>
    <m/>
    <m/>
    <d v="2008-11-03T00:00:00"/>
    <d v="2008-11-03T00:00:00"/>
    <m/>
    <n v="700"/>
    <n v="14050"/>
    <n v="783.46"/>
    <n v="14056"/>
    <n v="783.46"/>
    <n v="0"/>
    <n v="0"/>
    <n v="54260"/>
    <n v="0"/>
    <s v="A"/>
    <s v="LeMay Enterprises"/>
    <m/>
    <m/>
    <s v="Internal"/>
    <s v="A"/>
    <s v="SL"/>
    <d v="2021-05-31T00:00:00"/>
    <s v="WCNX"/>
    <n v="0"/>
    <n v="783.46"/>
    <m/>
    <x v="1"/>
    <n v="11"/>
    <n v="2008"/>
    <n v="2015"/>
    <n v="2015.9166666666667"/>
    <n v="9.3269047619047623"/>
    <n v="111.92285714285714"/>
    <n v="0"/>
    <n v="783.46"/>
    <n v="783.46"/>
    <x v="1"/>
    <x v="0"/>
  </r>
  <r>
    <n v="2112"/>
    <n v="254045"/>
    <x v="0"/>
    <x v="114"/>
    <n v="6"/>
    <m/>
    <m/>
    <n v="0"/>
    <m/>
    <m/>
    <m/>
    <d v="2008-11-03T00:00:00"/>
    <d v="2008-11-03T00:00:00"/>
    <m/>
    <n v="700"/>
    <n v="14050"/>
    <n v="522.30999999999995"/>
    <n v="14056"/>
    <n v="522.30999999999995"/>
    <n v="0"/>
    <n v="0"/>
    <n v="54260"/>
    <n v="0"/>
    <s v="A"/>
    <s v="LeMay Enterprises"/>
    <m/>
    <m/>
    <s v="Internal"/>
    <s v="A"/>
    <s v="SL"/>
    <d v="2021-05-31T00:00:00"/>
    <s v="WCNX"/>
    <n v="0"/>
    <n v="522.30999999999995"/>
    <m/>
    <x v="3"/>
    <n v="11"/>
    <n v="2008"/>
    <n v="2015"/>
    <n v="2015.9166666666667"/>
    <n v="6.2179761904761897"/>
    <n v="74.615714285714276"/>
    <n v="0"/>
    <n v="522.30999999999995"/>
    <n v="522.30999999999995"/>
    <x v="1"/>
    <x v="0"/>
  </r>
  <r>
    <n v="2112"/>
    <n v="254044"/>
    <x v="0"/>
    <x v="115"/>
    <n v="2"/>
    <m/>
    <m/>
    <n v="0"/>
    <m/>
    <m/>
    <m/>
    <d v="2008-11-03T00:00:00"/>
    <d v="2008-11-03T00:00:00"/>
    <m/>
    <n v="700"/>
    <n v="14050"/>
    <n v="174.1"/>
    <n v="14056"/>
    <n v="174.1"/>
    <n v="0"/>
    <n v="0"/>
    <n v="54260"/>
    <n v="0"/>
    <s v="A"/>
    <s v="LeMay Enterprises"/>
    <m/>
    <m/>
    <s v="Internal"/>
    <s v="A"/>
    <s v="SL"/>
    <d v="2021-05-31T00:00:00"/>
    <s v="WCNX"/>
    <n v="0"/>
    <n v="174.1"/>
    <m/>
    <x v="3"/>
    <n v="11"/>
    <n v="2008"/>
    <n v="2015"/>
    <n v="2015.9166666666667"/>
    <n v="2.0726190476190474"/>
    <n v="24.871428571428567"/>
    <n v="0"/>
    <n v="174.1"/>
    <n v="174.1"/>
    <x v="1"/>
    <x v="0"/>
  </r>
  <r>
    <n v="2112"/>
    <n v="254043"/>
    <x v="0"/>
    <x v="116"/>
    <n v="20"/>
    <m/>
    <m/>
    <n v="0"/>
    <m/>
    <m/>
    <m/>
    <d v="2008-11-03T00:00:00"/>
    <d v="2008-11-03T00:00:00"/>
    <m/>
    <n v="700"/>
    <n v="14050"/>
    <n v="1741.03"/>
    <n v="14056"/>
    <n v="1741.03"/>
    <n v="0"/>
    <n v="0"/>
    <n v="54260"/>
    <n v="0"/>
    <s v="A"/>
    <s v="LeMay Enterprises"/>
    <m/>
    <m/>
    <s v="Internal"/>
    <s v="A"/>
    <s v="SL"/>
    <d v="2022-04-30T00:00:00"/>
    <s v="WCNX"/>
    <n v="1"/>
    <n v="1741.03"/>
    <m/>
    <x v="3"/>
    <n v="11"/>
    <n v="2008"/>
    <n v="2015"/>
    <n v="2015.9166666666667"/>
    <n v="20.726547619047619"/>
    <n v="248.71857142857141"/>
    <n v="0"/>
    <n v="1741.03"/>
    <n v="1741.03"/>
    <x v="1"/>
    <x v="0"/>
  </r>
  <r>
    <n v="2112"/>
    <n v="254042"/>
    <x v="0"/>
    <x v="117"/>
    <n v="45"/>
    <m/>
    <m/>
    <n v="0"/>
    <m/>
    <m/>
    <m/>
    <d v="2008-11-03T00:00:00"/>
    <d v="2008-11-03T00:00:00"/>
    <m/>
    <n v="700"/>
    <n v="14050"/>
    <n v="3917.31"/>
    <n v="14056"/>
    <n v="3917.31"/>
    <n v="0"/>
    <n v="0"/>
    <n v="54260"/>
    <n v="0"/>
    <s v="A"/>
    <s v="LeMay Enterprises"/>
    <m/>
    <m/>
    <s v="Internal"/>
    <s v="A"/>
    <s v="SL"/>
    <d v="2021-05-31T00:00:00"/>
    <s v="WCNX"/>
    <n v="0"/>
    <n v="3917.31"/>
    <m/>
    <x v="1"/>
    <n v="11"/>
    <n v="2008"/>
    <n v="2015"/>
    <n v="2015.9166666666667"/>
    <n v="46.634642857142858"/>
    <n v="559.61571428571426"/>
    <n v="0"/>
    <n v="3917.31"/>
    <n v="3917.31"/>
    <x v="1"/>
    <x v="0"/>
  </r>
  <r>
    <n v="2112"/>
    <n v="253906"/>
    <x v="0"/>
    <x v="118"/>
    <n v="1"/>
    <m/>
    <m/>
    <n v="0"/>
    <s v="NOREGON SYSTEMS INC"/>
    <m/>
    <m/>
    <d v="2021-03-11T00:00:00"/>
    <d v="2021-03-11T00:00:00"/>
    <s v="2112-21-0018-1"/>
    <n v="200"/>
    <n v="14110"/>
    <n v="1842.79"/>
    <n v="14116"/>
    <n v="1842.79"/>
    <n v="0"/>
    <n v="153.56"/>
    <n v="70260"/>
    <n v="0"/>
    <s v="P"/>
    <m/>
    <s v="INV00075983"/>
    <m/>
    <s v="Internal"/>
    <s v="A"/>
    <s v="SL"/>
    <m/>
    <s v="WCNX"/>
    <n v="0"/>
    <n v="0"/>
    <m/>
    <x v="2"/>
    <n v="3"/>
    <n v="2021"/>
    <n v="2023"/>
    <n v="2023.25"/>
    <n v="76.782916666666665"/>
    <n v="921.39499999999998"/>
    <n v="0"/>
    <n v="1305.3095833334032"/>
    <n v="1842.79"/>
    <x v="1"/>
    <x v="0"/>
  </r>
  <r>
    <n v="2112"/>
    <n v="251580"/>
    <x v="18"/>
    <x v="119"/>
    <m/>
    <m/>
    <m/>
    <n v="0"/>
    <s v="Stoel Rives LLP"/>
    <m/>
    <m/>
    <d v="2021-01-21T00:00:00"/>
    <d v="2021-01-21T00:00:00"/>
    <s v="2112-21-0010-1"/>
    <n v="2000"/>
    <n v="14080"/>
    <n v="7870"/>
    <n v="14086"/>
    <n v="983.75"/>
    <n v="6886.25"/>
    <n v="229.54"/>
    <n v="57260"/>
    <n v="32.79"/>
    <s v="P"/>
    <m/>
    <n v="4246613"/>
    <m/>
    <s v="Internal"/>
    <s v="A"/>
    <s v="SL"/>
    <m/>
    <s v="WCNX"/>
    <n v="0"/>
    <n v="0"/>
    <m/>
    <x v="11"/>
    <n v="1"/>
    <n v="2021"/>
    <n v="2041"/>
    <n v="2041.0833333333333"/>
    <n v="32.791666666666664"/>
    <n v="393.5"/>
    <n v="393.5"/>
    <n v="623.041666666727"/>
    <n v="1016.541666666727"/>
    <x v="71"/>
    <x v="0"/>
  </r>
  <r>
    <n v="2112"/>
    <n v="250266"/>
    <x v="0"/>
    <x v="120"/>
    <n v="7"/>
    <m/>
    <m/>
    <n v="0"/>
    <s v="WASTEQUIP LLC"/>
    <m/>
    <s v="2 YD FEL/REL/SL Metal"/>
    <d v="2021-04-01T00:00:00"/>
    <d v="2021-04-01T00:00:00"/>
    <s v="2112-21-0016-2"/>
    <n v="1200"/>
    <n v="14050"/>
    <n v="5270.93"/>
    <n v="14056"/>
    <n v="1024.8900000000001"/>
    <n v="4246.04"/>
    <n v="256.23"/>
    <n v="54260"/>
    <n v="36.6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36.603680555555556"/>
    <n v="439.24416666666667"/>
    <n v="439.24416666666667"/>
    <n v="585.65888888895552"/>
    <n v="1024.9030555556221"/>
    <x v="72"/>
    <x v="0"/>
  </r>
  <r>
    <n v="2112"/>
    <n v="250265"/>
    <x v="0"/>
    <x v="121"/>
    <n v="7"/>
    <m/>
    <m/>
    <n v="0"/>
    <s v="WASTEQUIP LLC"/>
    <m/>
    <s v="1 YD FEL/REL/SL Metal"/>
    <d v="2021-04-01T00:00:00"/>
    <d v="2021-04-01T00:00:00"/>
    <s v="2112-21-0016-2"/>
    <n v="1200"/>
    <n v="14050"/>
    <n v="4351.9399999999996"/>
    <n v="14056"/>
    <n v="846.21"/>
    <n v="3505.7299999999996"/>
    <n v="211.55"/>
    <n v="54260"/>
    <n v="30.22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30.221805555555552"/>
    <n v="362.66166666666663"/>
    <n v="362.66166666666663"/>
    <n v="483.54888888894402"/>
    <n v="846.21055555561065"/>
    <x v="73"/>
    <x v="0"/>
  </r>
  <r>
    <n v="2112"/>
    <n v="250264"/>
    <x v="0"/>
    <x v="122"/>
    <n v="1"/>
    <m/>
    <m/>
    <n v="0"/>
    <s v="WASTEQUIP LLC"/>
    <m/>
    <s v="8 YD FEL/REL/SL Metal"/>
    <d v="2021-04-01T00:00:00"/>
    <d v="2021-04-01T00:00:00"/>
    <s v="2112-21-0016-1"/>
    <n v="1200"/>
    <n v="14050"/>
    <n v="1196.75"/>
    <n v="14056"/>
    <n v="232.7"/>
    <n v="964.05"/>
    <n v="58.18"/>
    <n v="54260"/>
    <n v="8.31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8.3107638888888893"/>
    <n v="99.729166666666671"/>
    <n v="99.729166666666671"/>
    <n v="132.97222222223718"/>
    <n v="232.70138888890386"/>
    <x v="74"/>
    <x v="0"/>
  </r>
  <r>
    <n v="2112"/>
    <n v="250263"/>
    <x v="0"/>
    <x v="123"/>
    <n v="3"/>
    <m/>
    <m/>
    <n v="0"/>
    <s v="WASTEQUIP LLC"/>
    <m/>
    <s v="6 YD FEL/REL/SL Metal"/>
    <d v="2021-04-01T00:00:00"/>
    <d v="2021-04-01T00:00:00"/>
    <s v="2112-21-0016-1"/>
    <n v="1200"/>
    <n v="14050"/>
    <n v="3082.48"/>
    <n v="14056"/>
    <n v="599.37"/>
    <n v="2483.11"/>
    <n v="149.84"/>
    <n v="54260"/>
    <n v="21.4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21.406111111111112"/>
    <n v="256.87333333333333"/>
    <n v="256.87333333333333"/>
    <n v="342.49777777781674"/>
    <n v="599.37111111115007"/>
    <x v="75"/>
    <x v="0"/>
  </r>
  <r>
    <n v="2112"/>
    <n v="250262"/>
    <x v="0"/>
    <x v="124"/>
    <n v="10"/>
    <m/>
    <m/>
    <n v="0"/>
    <s v="WASTEQUIP LLC"/>
    <m/>
    <s v="4 YD FEL/REL/SL Metal"/>
    <d v="2021-04-01T00:00:00"/>
    <d v="2021-04-01T00:00:00"/>
    <s v="2112-21-0016-1"/>
    <n v="1200"/>
    <n v="14050"/>
    <n v="7356.3"/>
    <n v="14056"/>
    <n v="1430.4"/>
    <n v="5925.9"/>
    <n v="357.6"/>
    <n v="54260"/>
    <n v="51.08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51.085416666666667"/>
    <n v="613.02499999999998"/>
    <n v="613.02499999999998"/>
    <n v="817.36666666675956"/>
    <n v="1430.3916666667596"/>
    <x v="76"/>
    <x v="0"/>
  </r>
  <r>
    <n v="2112"/>
    <n v="250261"/>
    <x v="0"/>
    <x v="125"/>
    <n v="2"/>
    <m/>
    <m/>
    <n v="0"/>
    <s v="WASTEQUIP LLC"/>
    <m/>
    <s v="3 YD FEL/REL/SL Metal"/>
    <d v="2021-04-01T00:00:00"/>
    <d v="2021-04-01T00:00:00"/>
    <s v="2112-21-0016-1"/>
    <n v="1200"/>
    <n v="14050"/>
    <n v="1297.6600000000001"/>
    <n v="14056"/>
    <n v="252.32"/>
    <n v="1045.3400000000001"/>
    <n v="63.08"/>
    <n v="54260"/>
    <n v="9.01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9.0115277777777774"/>
    <n v="108.13833333333332"/>
    <n v="108.13833333333332"/>
    <n v="144.18444444446095"/>
    <n v="252.32277777779427"/>
    <x v="77"/>
    <x v="0"/>
  </r>
  <r>
    <n v="2112"/>
    <n v="250260"/>
    <x v="0"/>
    <x v="126"/>
    <n v="15"/>
    <m/>
    <m/>
    <n v="0"/>
    <s v="WASTEQUIP LLC"/>
    <m/>
    <s v="2 YD FEL/REL/SL Metal"/>
    <d v="2021-04-01T00:00:00"/>
    <d v="2021-04-01T00:00:00"/>
    <s v="2112-21-0016-1"/>
    <n v="1200"/>
    <n v="14050"/>
    <n v="9211.65"/>
    <n v="14056"/>
    <n v="1791.16"/>
    <n v="7420.49"/>
    <n v="447.79"/>
    <n v="54260"/>
    <n v="63.97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63.969791666666659"/>
    <n v="767.63749999999993"/>
    <n v="767.63749999999993"/>
    <n v="1023.5166666667837"/>
    <n v="1791.1541666667836"/>
    <x v="78"/>
    <x v="0"/>
  </r>
  <r>
    <n v="2112"/>
    <n v="250259"/>
    <x v="0"/>
    <x v="127"/>
    <n v="6"/>
    <m/>
    <m/>
    <n v="0"/>
    <s v="WASTEQUIP LLC"/>
    <m/>
    <s v="1 YD FEL/REL/SL Metal"/>
    <d v="2021-04-01T00:00:00"/>
    <d v="2021-04-01T00:00:00"/>
    <s v="2112-21-0016-1"/>
    <n v="1200"/>
    <n v="14050"/>
    <n v="3105.27"/>
    <n v="14056"/>
    <n v="603.79999999999995"/>
    <n v="2501.4700000000003"/>
    <n v="150.94999999999999"/>
    <n v="54260"/>
    <n v="21.56"/>
    <s v="P"/>
    <m/>
    <s v="20INV000012850"/>
    <m/>
    <s v="Internal"/>
    <s v="A"/>
    <s v="SL"/>
    <m/>
    <s v="WCNX"/>
    <n v="0"/>
    <n v="0"/>
    <m/>
    <x v="1"/>
    <n v="4"/>
    <n v="2021"/>
    <n v="2033"/>
    <n v="2033.3333333333333"/>
    <n v="21.564374999999998"/>
    <n v="258.77249999999998"/>
    <n v="258.77249999999998"/>
    <n v="345.03000000003931"/>
    <n v="603.80250000003934"/>
    <x v="79"/>
    <x v="0"/>
  </r>
  <r>
    <n v="2112"/>
    <n v="248118"/>
    <x v="0"/>
    <x v="128"/>
    <n v="351"/>
    <m/>
    <s v="94-3283464"/>
    <n v="0"/>
    <s v="REHRIG PACIFIC COMPANY IN"/>
    <m/>
    <s v="Non-Container Audit "/>
    <d v="2021-03-22T00:00:00"/>
    <d v="2021-03-22T00:00:00"/>
    <s v="2112-21-0015-1"/>
    <n v="700"/>
    <n v="14050"/>
    <n v="16974.919999999998"/>
    <n v="14056"/>
    <n v="5658.31"/>
    <n v="11316.609999999997"/>
    <n v="1414.58"/>
    <n v="54260"/>
    <n v="202.08"/>
    <s v="P"/>
    <m/>
    <n v="50158176"/>
    <m/>
    <s v="Internal"/>
    <s v="A"/>
    <s v="SL"/>
    <m/>
    <s v="WCNX"/>
    <n v="0"/>
    <n v="0"/>
    <m/>
    <x v="4"/>
    <n v="3"/>
    <n v="2021"/>
    <n v="2028"/>
    <n v="2028.25"/>
    <n v="202.08238095238093"/>
    <n v="2424.988571428571"/>
    <n v="2424.988571428571"/>
    <n v="3435.4004761906599"/>
    <n v="5860.389047619231"/>
    <x v="80"/>
    <x v="0"/>
  </r>
  <r>
    <n v="2112"/>
    <n v="248117"/>
    <x v="0"/>
    <x v="129"/>
    <n v="351"/>
    <m/>
    <s v="94-3283464"/>
    <n v="0"/>
    <s v="REHRIG PACIFIC COMPANY IN"/>
    <m/>
    <s v="Non-Container Audit "/>
    <d v="2021-03-22T00:00:00"/>
    <d v="2021-03-22T00:00:00"/>
    <s v="2112-21-0015-1"/>
    <n v="700"/>
    <n v="14050"/>
    <n v="16974.919999999998"/>
    <n v="14056"/>
    <n v="5658.31"/>
    <n v="11316.609999999997"/>
    <n v="1414.58"/>
    <n v="54260"/>
    <n v="202.08"/>
    <s v="P"/>
    <m/>
    <n v="50158176"/>
    <m/>
    <s v="Internal"/>
    <s v="A"/>
    <s v="SL"/>
    <m/>
    <s v="WCNX"/>
    <n v="0"/>
    <n v="0"/>
    <m/>
    <x v="12"/>
    <n v="3"/>
    <n v="2021"/>
    <n v="2028"/>
    <n v="2028.25"/>
    <n v="202.08238095238093"/>
    <n v="2424.988571428571"/>
    <n v="2424.988571428571"/>
    <n v="3435.4004761906599"/>
    <n v="5860.389047619231"/>
    <x v="80"/>
    <x v="0"/>
  </r>
  <r>
    <n v="2112"/>
    <n v="247674"/>
    <x v="18"/>
    <x v="130"/>
    <m/>
    <m/>
    <m/>
    <n v="0"/>
    <s v="First American Title"/>
    <m/>
    <m/>
    <d v="2021-01-21T00:00:00"/>
    <d v="2021-01-21T00:00:00"/>
    <s v="2112-21-0010-1"/>
    <n v="2000"/>
    <n v="14080"/>
    <n v="36284.36"/>
    <n v="14086"/>
    <n v="4535.55"/>
    <n v="31748.81"/>
    <n v="1058.3"/>
    <n v="57260"/>
    <n v="151.19"/>
    <s v="P"/>
    <m/>
    <s v="Sequim Sales Agreement-3"/>
    <m/>
    <s v="Internal"/>
    <s v="A"/>
    <s v="SL"/>
    <m/>
    <s v="WCNX"/>
    <n v="0"/>
    <n v="0"/>
    <m/>
    <x v="11"/>
    <n v="1"/>
    <n v="2021"/>
    <n v="2041"/>
    <n v="2041.0833333333333"/>
    <n v="151.18483333333333"/>
    <n v="1814.2179999999998"/>
    <n v="1814.2179999999998"/>
    <n v="2872.5118333336068"/>
    <n v="4686.7298333336066"/>
    <x v="81"/>
    <x v="0"/>
  </r>
  <r>
    <n v="2112"/>
    <n v="246794"/>
    <x v="0"/>
    <x v="102"/>
    <n v="480"/>
    <m/>
    <m/>
    <n v="0"/>
    <s v="THUNDERBIRD PLASTICS LTD"/>
    <m/>
    <s v="Non-Container Audit"/>
    <d v="2021-01-19T00:00:00"/>
    <d v="2021-01-19T00:00:00"/>
    <s v="2112-21-0014-1"/>
    <n v="500"/>
    <n v="14050"/>
    <n v="4674.05"/>
    <n v="14056"/>
    <n v="2336.9699999999998"/>
    <n v="2337.0800000000004"/>
    <n v="545.29"/>
    <n v="54260"/>
    <n v="77.89"/>
    <s v="P"/>
    <m/>
    <n v="31875"/>
    <m/>
    <s v="Internal"/>
    <s v="A"/>
    <s v="SL"/>
    <m/>
    <s v="WCNX"/>
    <n v="0"/>
    <n v="0"/>
    <m/>
    <x v="0"/>
    <n v="1"/>
    <n v="2021"/>
    <n v="2026"/>
    <n v="2026.0833333333333"/>
    <n v="77.900833333333338"/>
    <n v="934.81000000000006"/>
    <n v="934.81000000000006"/>
    <n v="1480.1158333334752"/>
    <n v="2414.9258333334751"/>
    <x v="82"/>
    <x v="0"/>
  </r>
  <r>
    <n v="2112"/>
    <n v="246599"/>
    <x v="18"/>
    <x v="130"/>
    <m/>
    <m/>
    <m/>
    <n v="0"/>
    <s v="PARRISH PARRISH BARTEE LL"/>
    <m/>
    <m/>
    <d v="2021-01-21T00:00:00"/>
    <d v="2021-01-21T00:00:00"/>
    <s v="2112-21-0010-1"/>
    <n v="2000"/>
    <n v="14080"/>
    <n v="-22013.78"/>
    <n v="14086"/>
    <n v="-2751.73"/>
    <n v="-19262.05"/>
    <n v="-642.07000000000005"/>
    <n v="57260"/>
    <n v="-91.72"/>
    <s v="P"/>
    <m/>
    <s v="Sequim Sales Agreement-3"/>
    <m/>
    <s v="Internal"/>
    <s v="A"/>
    <s v="SL"/>
    <m/>
    <s v="WCNX"/>
    <n v="0"/>
    <n v="0"/>
    <m/>
    <x v="11"/>
    <n v="1"/>
    <n v="2021"/>
    <n v="2041"/>
    <n v="2041.0833333333333"/>
    <n v="-91.724083333333326"/>
    <n v="-1100.6889999999999"/>
    <n v="-1100.6889999999999"/>
    <n v="-1742.7575833334995"/>
    <n v="-2843.4465833334993"/>
    <x v="83"/>
    <x v="0"/>
  </r>
  <r>
    <n v="2112"/>
    <n v="246144"/>
    <x v="0"/>
    <x v="131"/>
    <n v="4"/>
    <m/>
    <m/>
    <n v="0"/>
    <s v="MATTHEW C LASHER III"/>
    <m/>
    <m/>
    <d v="2021-01-31T00:00:00"/>
    <d v="2021-01-31T00:00:00"/>
    <s v="2112-21-0006-1"/>
    <n v="500"/>
    <n v="14070"/>
    <n v="42005.78"/>
    <n v="14076"/>
    <n v="21002.9"/>
    <n v="21002.879999999997"/>
    <n v="4900.68"/>
    <n v="51260"/>
    <n v="700.1"/>
    <s v="P"/>
    <m/>
    <n v="115568"/>
    <m/>
    <s v="Internal"/>
    <s v="A"/>
    <s v="SL"/>
    <m/>
    <s v="WCNX"/>
    <n v="0"/>
    <n v="0"/>
    <m/>
    <x v="5"/>
    <n v="1"/>
    <n v="2021"/>
    <n v="2026"/>
    <n v="2026.0833333333333"/>
    <n v="700.09633333333329"/>
    <n v="8401.155999999999"/>
    <n v="8401.155999999999"/>
    <n v="13301.830333334608"/>
    <n v="21702.986333334607"/>
    <x v="84"/>
    <x v="0"/>
  </r>
  <r>
    <n v="2112"/>
    <n v="246088"/>
    <x v="0"/>
    <x v="132"/>
    <m/>
    <s v="1XPCP40X8HD435297"/>
    <s v="C18582T"/>
    <n v="2017"/>
    <s v="Peterbilt 567"/>
    <s v="N/A"/>
    <s v="Road Tractor"/>
    <d v="2016-11-02T00:00:00"/>
    <d v="2016-11-02T00:00:00"/>
    <s v="2113-16-0003-1"/>
    <n v="1000"/>
    <n v="14040"/>
    <n v="154776.29999999999"/>
    <n v="14046"/>
    <n v="104474.01"/>
    <n v="50302.289999999994"/>
    <n v="9028.6200000000008"/>
    <n v="51260"/>
    <n v="1289.8"/>
    <s v="P"/>
    <m/>
    <s v="P435297"/>
    <n v="159"/>
    <s v="Internal"/>
    <s v="A"/>
    <s v="SL"/>
    <d v="2020-12-31T00:00:00"/>
    <s v="WCNX"/>
    <n v="0"/>
    <n v="64490.13"/>
    <n v="159"/>
    <x v="10"/>
    <n v="11"/>
    <n v="2016"/>
    <n v="2026"/>
    <n v="2026.9166666666667"/>
    <n v="1289.8025"/>
    <n v="15477.630000000001"/>
    <n v="15477.630000000001"/>
    <n v="88996.372499999983"/>
    <n v="104474.00249999999"/>
    <x v="85"/>
    <x v="0"/>
  </r>
  <r>
    <n v="2112"/>
    <n v="246087"/>
    <x v="19"/>
    <x v="133"/>
    <m/>
    <m/>
    <m/>
    <n v="0"/>
    <s v="NC Machinery"/>
    <m/>
    <s v="Non-Rolling Stock"/>
    <d v="2015-01-01T00:00:00"/>
    <d v="2015-01-01T00:00:00"/>
    <s v="2113-14-0005-1"/>
    <n v="300"/>
    <n v="14040"/>
    <n v="20915"/>
    <n v="14046"/>
    <n v="20915"/>
    <n v="0"/>
    <n v="0"/>
    <n v="51260"/>
    <n v="0"/>
    <s v="P"/>
    <m/>
    <s v="PA13978"/>
    <m/>
    <s v="Internal"/>
    <s v="A"/>
    <s v="SL"/>
    <d v="2020-12-31T00:00:00"/>
    <s v="WCNX"/>
    <n v="0"/>
    <n v="20915"/>
    <n v="153"/>
    <x v="10"/>
    <n v="1"/>
    <n v="2015"/>
    <n v="2018"/>
    <n v="2018.0833333333333"/>
    <n v="580.97222222222229"/>
    <n v="6971.6666666666679"/>
    <n v="0"/>
    <n v="20915"/>
    <n v="20915"/>
    <x v="1"/>
    <x v="0"/>
  </r>
  <r>
    <n v="2112"/>
    <n v="246086"/>
    <x v="0"/>
    <x v="134"/>
    <n v="0"/>
    <s v="48XAR5320E1008685"/>
    <s v="63967AE"/>
    <n v="2014"/>
    <s v="Travis"/>
    <s v="N/A"/>
    <s v="Trailer"/>
    <d v="2013-08-10T00:00:00"/>
    <d v="2013-08-10T00:00:00"/>
    <s v="2113-13-0004-1"/>
    <n v="700"/>
    <n v="14040"/>
    <n v="92074.96"/>
    <n v="14046"/>
    <n v="92074.96"/>
    <n v="0"/>
    <n v="0"/>
    <n v="51260"/>
    <n v="0"/>
    <s v="P"/>
    <m/>
    <m/>
    <s v="CM1"/>
    <s v="Internal"/>
    <s v="A"/>
    <s v="SL"/>
    <d v="2020-12-31T00:00:00"/>
    <s v="WCNX"/>
    <n v="0"/>
    <n v="92074.96"/>
    <s v="CM1"/>
    <x v="13"/>
    <n v="8"/>
    <n v="2013"/>
    <n v="2020"/>
    <n v="2020.6666666666667"/>
    <n v="1096.1304761904762"/>
    <n v="13153.565714285714"/>
    <n v="0"/>
    <n v="92074.96"/>
    <n v="92074.96"/>
    <x v="1"/>
    <x v="0"/>
  </r>
  <r>
    <n v="2112"/>
    <n v="246085"/>
    <x v="19"/>
    <x v="135"/>
    <n v="0"/>
    <n v="831975"/>
    <m/>
    <n v="2006"/>
    <m/>
    <m/>
    <s v="Road Tractor"/>
    <d v="2006-08-17T00:00:00"/>
    <d v="2006-08-17T00:00:00"/>
    <s v="06-2113-033"/>
    <n v="700"/>
    <n v="14040"/>
    <n v="4036.7"/>
    <n v="14046"/>
    <n v="4036.7"/>
    <n v="0"/>
    <n v="0"/>
    <n v="51260"/>
    <n v="0"/>
    <s v="P"/>
    <m/>
    <s v="T-4721"/>
    <m/>
    <s v="Internal"/>
    <s v="A"/>
    <s v="SL"/>
    <d v="2020-12-31T00:00:00"/>
    <s v="WCNX"/>
    <n v="0"/>
    <n v="4036.7"/>
    <n v="153"/>
    <x v="10"/>
    <n v="8"/>
    <n v="2006"/>
    <n v="2013"/>
    <n v="2013.6666666666667"/>
    <n v="48.055952380952384"/>
    <n v="576.67142857142858"/>
    <n v="0"/>
    <n v="4036.7"/>
    <n v="4036.7"/>
    <x v="1"/>
    <x v="0"/>
  </r>
  <r>
    <n v="2112"/>
    <n v="246084"/>
    <x v="0"/>
    <x v="136"/>
    <n v="0"/>
    <s v="2XPFDB9X84M813975"/>
    <s v="C18583T"/>
    <n v="2004"/>
    <s v="Peterbilt 378"/>
    <s v="N/A"/>
    <s v="Road Tractor"/>
    <d v="2006-06-26T00:00:00"/>
    <d v="2006-06-26T00:00:00"/>
    <s v="06-2113-033"/>
    <n v="700"/>
    <n v="14040"/>
    <n v="99553.75"/>
    <n v="14046"/>
    <n v="99553.75"/>
    <n v="0"/>
    <n v="0"/>
    <n v="51260"/>
    <n v="0"/>
    <s v="P"/>
    <m/>
    <s v="915-0666"/>
    <n v="153"/>
    <s v="Internal"/>
    <s v="A"/>
    <s v="SL"/>
    <d v="2020-12-31T00:00:00"/>
    <s v="WCNX"/>
    <n v="0"/>
    <n v="99553.75"/>
    <n v="153"/>
    <x v="10"/>
    <n v="6"/>
    <n v="2006"/>
    <n v="2013"/>
    <n v="2013.5"/>
    <n v="1185.1636904761906"/>
    <n v="14221.964285714286"/>
    <n v="0"/>
    <n v="99553.75"/>
    <n v="99553.75"/>
    <x v="1"/>
    <x v="0"/>
  </r>
  <r>
    <n v="2112"/>
    <n v="246083"/>
    <x v="0"/>
    <x v="137"/>
    <n v="0"/>
    <s v="1C9RS22456R992020"/>
    <s v="63966AE"/>
    <n v="2006"/>
    <s v="Cascon Heavy Hauler pull"/>
    <s v="Cascon"/>
    <s v="R/O Trailer"/>
    <d v="2006-10-23T00:00:00"/>
    <d v="2006-10-23T00:00:00"/>
    <s v="06-2144-001"/>
    <n v="700"/>
    <n v="14040"/>
    <n v="49441.57"/>
    <n v="14046"/>
    <n v="49441.57"/>
    <n v="0"/>
    <n v="0"/>
    <n v="51260"/>
    <n v="0"/>
    <s v="P"/>
    <m/>
    <n v="2502680"/>
    <n v="5035"/>
    <s v="Internal"/>
    <s v="A"/>
    <s v="SL"/>
    <d v="2020-12-31T00:00:00"/>
    <s v="WCNX"/>
    <n v="0"/>
    <n v="49441.57"/>
    <n v="5035"/>
    <x v="8"/>
    <n v="10"/>
    <n v="2006"/>
    <n v="2013"/>
    <n v="2013.8333333333333"/>
    <n v="588.59011904761905"/>
    <n v="7063.0814285714287"/>
    <n v="0"/>
    <n v="49441.57"/>
    <n v="49441.57"/>
    <x v="1"/>
    <x v="0"/>
  </r>
  <r>
    <n v="2112"/>
    <n v="246082"/>
    <x v="0"/>
    <x v="138"/>
    <n v="0"/>
    <s v="1JJV533U8PL204715"/>
    <s v="48188AE"/>
    <n v="1993"/>
    <s v=" WABASH"/>
    <s v=" N/A"/>
    <s v="Trailer"/>
    <d v="2010-12-01T00:00:00"/>
    <d v="2010-12-01T00:00:00"/>
    <s v="2170-10-0006-1"/>
    <n v="300"/>
    <n v="14040"/>
    <n v="5902.2"/>
    <n v="14046"/>
    <n v="5902.2"/>
    <n v="0"/>
    <n v="0"/>
    <n v="51260"/>
    <n v="0"/>
    <s v="P"/>
    <m/>
    <s v="October 20 2010"/>
    <n v="9324"/>
    <s v="Internal"/>
    <s v="A"/>
    <s v="SL"/>
    <d v="2020-12-31T00:00:00"/>
    <s v="WCNX"/>
    <n v="0"/>
    <n v="5902.2"/>
    <n v="9324"/>
    <x v="13"/>
    <n v="12"/>
    <n v="2010"/>
    <n v="2013"/>
    <n v="2014"/>
    <n v="163.95"/>
    <n v="1967.3999999999999"/>
    <n v="0"/>
    <n v="5902.2"/>
    <n v="5902.2"/>
    <x v="1"/>
    <x v="0"/>
  </r>
  <r>
    <n v="2112"/>
    <n v="246027"/>
    <x v="0"/>
    <x v="130"/>
    <m/>
    <m/>
    <m/>
    <n v="0"/>
    <s v="PARRISH PARRISH BARTEE LL"/>
    <m/>
    <m/>
    <d v="2021-01-21T00:00:00"/>
    <d v="2021-01-21T00:00:00"/>
    <s v="2112-21-0010-1"/>
    <n v="2000"/>
    <n v="14080"/>
    <n v="709770"/>
    <n v="14086"/>
    <n v="88721.26"/>
    <n v="621048.74"/>
    <n v="20701.63"/>
    <n v="57260"/>
    <n v="2957.38"/>
    <s v="P"/>
    <m/>
    <s v="Sequim Sales Agreement-2"/>
    <m/>
    <s v="Internal"/>
    <s v="A"/>
    <s v="SL"/>
    <m/>
    <s v="WCNX"/>
    <n v="0"/>
    <n v="0"/>
    <m/>
    <x v="11"/>
    <n v="1"/>
    <n v="2021"/>
    <n v="2041"/>
    <n v="2041.0833333333333"/>
    <n v="2957.375"/>
    <n v="35488.5"/>
    <n v="35488.5"/>
    <n v="56190.125000005355"/>
    <n v="91678.625000005355"/>
    <x v="86"/>
    <x v="0"/>
  </r>
  <r>
    <n v="2112"/>
    <n v="245955"/>
    <x v="0"/>
    <x v="139"/>
    <m/>
    <m/>
    <m/>
    <n v="0"/>
    <s v="PARRISH PARRISH BARTEE LL"/>
    <m/>
    <m/>
    <d v="2021-01-20T00:00:00"/>
    <d v="2021-01-20T00:00:00"/>
    <s v="2112-21-0009-1"/>
    <n v="0"/>
    <n v="14000"/>
    <n v="184230"/>
    <n v="14016"/>
    <n v="0"/>
    <n v="184230"/>
    <n v="0"/>
    <n v="57260"/>
    <n v="0"/>
    <s v="P"/>
    <m/>
    <s v="Sequim Sales Agreement-1"/>
    <m/>
    <s v="Internal"/>
    <s v="A"/>
    <s v="NO"/>
    <m/>
    <s v="WCNX"/>
    <n v="0"/>
    <n v="0"/>
    <m/>
    <x v="14"/>
    <n v="1"/>
    <n v="2021"/>
    <n v="2021"/>
    <n v="2021.0833333333333"/>
    <n v="0"/>
    <n v="0"/>
    <n v="0"/>
    <m/>
    <m/>
    <x v="87"/>
    <x v="0"/>
  </r>
  <r>
    <n v="2112"/>
    <n v="245720"/>
    <x v="0"/>
    <x v="140"/>
    <n v="702"/>
    <m/>
    <m/>
    <n v="0"/>
    <s v="REHRIG PACIFIC COMPANY IN"/>
    <m/>
    <s v="Non-Container Audit"/>
    <d v="2021-01-01T00:00:00"/>
    <d v="2021-01-01T00:00:00"/>
    <s v="2112-20-0032-1"/>
    <n v="700"/>
    <n v="14050"/>
    <n v="31727.26"/>
    <n v="14056"/>
    <n v="11708.88"/>
    <n v="20018.379999999997"/>
    <n v="2643.94"/>
    <n v="54260"/>
    <n v="377.7"/>
    <s v="P"/>
    <m/>
    <n v="50135754"/>
    <m/>
    <s v="Internal"/>
    <s v="A"/>
    <s v="SL"/>
    <m/>
    <s v="WCNX"/>
    <n v="0"/>
    <n v="0"/>
    <m/>
    <x v="4"/>
    <n v="1"/>
    <n v="2021"/>
    <n v="2028"/>
    <n v="2028.0833333333333"/>
    <n v="377.70547619047619"/>
    <n v="4532.4657142857141"/>
    <n v="4532.4657142857141"/>
    <n v="7176.4040476197333"/>
    <n v="11708.869761905447"/>
    <x v="88"/>
    <x v="0"/>
  </r>
  <r>
    <n v="2112"/>
    <n v="243433"/>
    <x v="0"/>
    <x v="0"/>
    <n v="480"/>
    <m/>
    <m/>
    <n v="0"/>
    <s v="THUNDERBIRD PLASTICS LTD"/>
    <m/>
    <s v="Non-Container Audit"/>
    <d v="2020-09-08T00:00:00"/>
    <d v="2020-09-08T00:00:00"/>
    <s v="2112-20-0030-1"/>
    <n v="500"/>
    <n v="14050"/>
    <n v="4961.28"/>
    <n v="14056"/>
    <n v="2894.09"/>
    <n v="2067.1899999999996"/>
    <n v="578.82000000000005"/>
    <n v="54260"/>
    <n v="82.69"/>
    <s v="P"/>
    <m/>
    <n v="31459"/>
    <m/>
    <s v="Internal"/>
    <s v="A"/>
    <s v="SL"/>
    <m/>
    <s v="WCNX"/>
    <n v="0"/>
    <n v="0"/>
    <m/>
    <x v="15"/>
    <n v="9"/>
    <n v="2020"/>
    <n v="2025"/>
    <n v="2025.75"/>
    <n v="82.688000000000002"/>
    <n v="992.25600000000009"/>
    <n v="992.25600000000009"/>
    <n v="1901.8240000000746"/>
    <n v="2894.0800000000745"/>
    <x v="89"/>
    <x v="1"/>
  </r>
  <r>
    <n v="2112"/>
    <n v="243178"/>
    <x v="0"/>
    <x v="141"/>
    <n v="9"/>
    <m/>
    <s v="94-3283464"/>
    <n v="0"/>
    <m/>
    <m/>
    <s v="20 YD RO Box"/>
    <d v="2017-09-01T00:00:00"/>
    <d v="2017-09-01T00:00:00"/>
    <m/>
    <n v="700"/>
    <n v="14050"/>
    <n v="22500"/>
    <n v="14056"/>
    <n v="19017.87"/>
    <n v="3482.130000000001"/>
    <n v="1875"/>
    <n v="54260"/>
    <n v="267.85000000000002"/>
    <s v="A"/>
    <s v="RSG Swap"/>
    <m/>
    <m/>
    <s v="Internal"/>
    <s v="A"/>
    <s v="SL"/>
    <d v="2020-11-30T00:00:00"/>
    <s v="WCNX"/>
    <n v="0"/>
    <n v="10446.43"/>
    <m/>
    <x v="15"/>
    <n v="9"/>
    <n v="2017"/>
    <n v="2024"/>
    <n v="2024.75"/>
    <n v="267.85714285714283"/>
    <n v="3214.2857142857138"/>
    <n v="3214.2857142857138"/>
    <n v="15803.571428571673"/>
    <n v="19017.857142857385"/>
    <x v="90"/>
    <x v="1"/>
  </r>
  <r>
    <n v="2112"/>
    <n v="241724"/>
    <x v="0"/>
    <x v="142"/>
    <n v="2"/>
    <m/>
    <m/>
    <n v="0"/>
    <m/>
    <m/>
    <s v="10 YD RO Box"/>
    <d v="2009-07-31T00:00:00"/>
    <d v="2009-07-31T00:00:00"/>
    <s v="Sanipac"/>
    <n v="700"/>
    <n v="14050"/>
    <n v="3000.55"/>
    <n v="14056"/>
    <n v="3000.55"/>
    <n v="0"/>
    <n v="0"/>
    <n v="54260"/>
    <n v="0"/>
    <s v="A"/>
    <s v="Sanipac"/>
    <m/>
    <m/>
    <s v="Internal"/>
    <s v="A"/>
    <s v="SL"/>
    <d v="2021-07-31T00:00:00"/>
    <s v="WCNX"/>
    <n v="2"/>
    <n v="3000.55"/>
    <m/>
    <x v="15"/>
    <n v="7"/>
    <n v="2009"/>
    <n v="2016"/>
    <n v="2016.5833333333333"/>
    <n v="35.720833333333339"/>
    <n v="428.65000000000009"/>
    <n v="0"/>
    <n v="3000.55"/>
    <n v="3000.55"/>
    <x v="1"/>
    <x v="1"/>
  </r>
  <r>
    <n v="2112"/>
    <n v="240607"/>
    <x v="0"/>
    <x v="143"/>
    <n v="48"/>
    <m/>
    <m/>
    <n v="0"/>
    <s v="Lytx"/>
    <m/>
    <m/>
    <d v="2020-09-29T00:00:00"/>
    <d v="2020-09-29T00:00:00"/>
    <s v="2112-20-0031-1"/>
    <n v="500"/>
    <n v="14070"/>
    <n v="161.66999999999999"/>
    <n v="14076"/>
    <n v="91.6"/>
    <n v="70.069999999999993"/>
    <n v="18.86"/>
    <n v="51260"/>
    <n v="2.69"/>
    <s v="P"/>
    <m/>
    <n v="5314937"/>
    <m/>
    <s v="Internal"/>
    <s v="A"/>
    <s v="SL"/>
    <m/>
    <s v="WCNX"/>
    <n v="0"/>
    <n v="0"/>
    <m/>
    <x v="15"/>
    <n v="9"/>
    <n v="2020"/>
    <n v="2025"/>
    <n v="2025.75"/>
    <n v="2.6944999999999997"/>
    <n v="32.333999999999996"/>
    <n v="32.333999999999996"/>
    <n v="61.973500000002446"/>
    <n v="94.307500000002449"/>
    <x v="91"/>
    <x v="1"/>
  </r>
  <r>
    <n v="2112"/>
    <n v="239568"/>
    <x v="0"/>
    <x v="144"/>
    <n v="48"/>
    <m/>
    <m/>
    <n v="0"/>
    <s v="LYTX"/>
    <m/>
    <m/>
    <d v="2020-09-29T00:00:00"/>
    <d v="2020-09-29T00:00:00"/>
    <s v="2112-20-0031-1"/>
    <n v="500"/>
    <n v="14070"/>
    <n v="38576.639999999999"/>
    <n v="14076"/>
    <n v="21860.1"/>
    <n v="16716.54"/>
    <n v="4500.6099999999997"/>
    <n v="51260"/>
    <n v="642.94000000000005"/>
    <s v="P"/>
    <m/>
    <n v="5307480"/>
    <m/>
    <s v="Internal"/>
    <s v="A"/>
    <s v="SL"/>
    <m/>
    <s v="WCNX"/>
    <n v="0"/>
    <n v="0"/>
    <m/>
    <x v="15"/>
    <n v="9"/>
    <n v="2020"/>
    <n v="2025"/>
    <n v="2025.75"/>
    <n v="642.94399999999996"/>
    <n v="7715.3279999999995"/>
    <n v="7715.3279999999995"/>
    <n v="14787.712000000585"/>
    <n v="22503.040000000583"/>
    <x v="92"/>
    <x v="1"/>
  </r>
  <r>
    <n v="2112"/>
    <n v="238068"/>
    <x v="0"/>
    <x v="17"/>
    <n v="6"/>
    <m/>
    <m/>
    <n v="0"/>
    <m/>
    <m/>
    <s v="1.5 YD FEL/REL/SL Metal"/>
    <d v="2011-01-01T00:00:00"/>
    <d v="2011-01-01T00:00:00"/>
    <m/>
    <n v="300"/>
    <n v="14050"/>
    <n v="0.03"/>
    <n v="14056"/>
    <n v="0.03"/>
    <n v="0"/>
    <n v="0"/>
    <n v="54260"/>
    <n v="0"/>
    <s v="P"/>
    <m/>
    <m/>
    <m/>
    <s v="Internal"/>
    <s v="A"/>
    <s v="SL"/>
    <m/>
    <s v="WCNX"/>
    <n v="0"/>
    <n v="0"/>
    <m/>
    <x v="15"/>
    <n v="1"/>
    <n v="2011"/>
    <n v="2014"/>
    <n v="2014.0833333333333"/>
    <n v="8.3333333333333339E-4"/>
    <n v="0.01"/>
    <n v="0"/>
    <n v="0.03"/>
    <n v="0.03"/>
    <x v="1"/>
    <x v="1"/>
  </r>
  <r>
    <n v="2112"/>
    <n v="237926"/>
    <x v="0"/>
    <x v="145"/>
    <n v="6"/>
    <m/>
    <m/>
    <n v="0"/>
    <m/>
    <m/>
    <s v="3 YD FEL/REL/SL Metal"/>
    <d v="2008-11-03T00:00:00"/>
    <d v="2008-11-03T00:00:00"/>
    <m/>
    <n v="700"/>
    <n v="14050"/>
    <n v="1473.44"/>
    <n v="14056"/>
    <n v="1473.44"/>
    <n v="0"/>
    <n v="0"/>
    <n v="54260"/>
    <n v="0"/>
    <s v="A"/>
    <s v="LeMay Enterprises"/>
    <m/>
    <m/>
    <s v="Internal"/>
    <s v="A"/>
    <s v="SL"/>
    <d v="2020-08-31T00:00:00"/>
    <s v="WCNX"/>
    <n v="0"/>
    <n v="1473.44"/>
    <m/>
    <x v="15"/>
    <n v="11"/>
    <n v="2008"/>
    <n v="2015"/>
    <n v="2015.9166666666667"/>
    <n v="17.54095238095238"/>
    <n v="210.49142857142857"/>
    <n v="0"/>
    <n v="1473.44"/>
    <n v="1473.44"/>
    <x v="1"/>
    <x v="1"/>
  </r>
  <r>
    <n v="2112"/>
    <n v="237924"/>
    <x v="0"/>
    <x v="146"/>
    <n v="7"/>
    <m/>
    <m/>
    <n v="0"/>
    <m/>
    <m/>
    <s v="30 YD RO Box"/>
    <d v="2008-11-03T00:00:00"/>
    <d v="2008-11-03T00:00:00"/>
    <m/>
    <n v="700"/>
    <n v="14050"/>
    <n v="700"/>
    <n v="14056"/>
    <n v="700"/>
    <n v="0"/>
    <n v="0"/>
    <n v="54260"/>
    <n v="0"/>
    <s v="A"/>
    <s v="LeMay Enterprises"/>
    <m/>
    <m/>
    <s v="Internal"/>
    <s v="A"/>
    <s v="SL"/>
    <d v="2020-08-31T00:00:00"/>
    <s v="WCNX"/>
    <n v="0"/>
    <n v="700"/>
    <m/>
    <x v="15"/>
    <n v="11"/>
    <n v="2008"/>
    <n v="2015"/>
    <n v="2015.9166666666667"/>
    <n v="8.3333333333333339"/>
    <n v="100"/>
    <n v="0"/>
    <n v="700"/>
    <n v="700"/>
    <x v="1"/>
    <x v="1"/>
  </r>
  <r>
    <n v="2112"/>
    <n v="237923"/>
    <x v="0"/>
    <x v="147"/>
    <n v="12"/>
    <m/>
    <m/>
    <n v="0"/>
    <m/>
    <m/>
    <s v="6 YD FEL/REL/SL Metal"/>
    <d v="2008-11-03T00:00:00"/>
    <d v="2008-11-03T00:00:00"/>
    <m/>
    <n v="700"/>
    <n v="14050"/>
    <n v="378.52"/>
    <n v="14056"/>
    <n v="378.52"/>
    <n v="0"/>
    <n v="0"/>
    <n v="54260"/>
    <n v="0"/>
    <s v="A"/>
    <s v="LeMay Enterprises"/>
    <m/>
    <m/>
    <s v="Internal"/>
    <s v="A"/>
    <s v="SL"/>
    <d v="2020-08-31T00:00:00"/>
    <s v="WCNX"/>
    <n v="0"/>
    <n v="378.52"/>
    <m/>
    <x v="15"/>
    <n v="11"/>
    <n v="2008"/>
    <n v="2015"/>
    <n v="2015.9166666666667"/>
    <n v="4.5061904761904765"/>
    <n v="54.074285714285722"/>
    <n v="0"/>
    <n v="378.52"/>
    <n v="378.52"/>
    <x v="1"/>
    <x v="1"/>
  </r>
  <r>
    <n v="2112"/>
    <n v="237921"/>
    <x v="0"/>
    <x v="148"/>
    <n v="6"/>
    <m/>
    <m/>
    <n v="0"/>
    <m/>
    <m/>
    <s v="4 YD FEL/REL/SL Metal"/>
    <d v="2008-11-03T00:00:00"/>
    <d v="2008-11-03T00:00:00"/>
    <m/>
    <n v="1200"/>
    <n v="14050"/>
    <n v="1380"/>
    <n v="14056"/>
    <n v="1380"/>
    <n v="0"/>
    <n v="0"/>
    <n v="54260"/>
    <n v="0"/>
    <s v="A"/>
    <s v="LeMay Enterprises"/>
    <m/>
    <m/>
    <s v="Internal"/>
    <s v="A"/>
    <s v="SL"/>
    <d v="2020-08-31T00:00:00"/>
    <s v="WCNX"/>
    <n v="0"/>
    <n v="1360.83"/>
    <m/>
    <x v="15"/>
    <n v="11"/>
    <n v="2008"/>
    <n v="2020"/>
    <n v="2020.9166666666667"/>
    <n v="9.5833333333333339"/>
    <n v="115"/>
    <n v="0"/>
    <n v="1380"/>
    <n v="1380"/>
    <x v="1"/>
    <x v="1"/>
  </r>
  <r>
    <n v="2112"/>
    <n v="237920"/>
    <x v="0"/>
    <x v="74"/>
    <n v="16"/>
    <m/>
    <m/>
    <n v="0"/>
    <m/>
    <m/>
    <s v="4 YD FEL/REL/SL Metal"/>
    <d v="2008-11-03T00:00:00"/>
    <d v="2008-11-03T00:00:00"/>
    <m/>
    <n v="700"/>
    <n v="14050"/>
    <n v="1600"/>
    <n v="14056"/>
    <n v="1600"/>
    <n v="0"/>
    <n v="0"/>
    <n v="54260"/>
    <n v="0"/>
    <s v="A"/>
    <s v="LeMay Enterprises"/>
    <m/>
    <m/>
    <s v="Internal"/>
    <s v="A"/>
    <s v="SL"/>
    <d v="2020-08-31T00:00:00"/>
    <s v="WCNX"/>
    <n v="0"/>
    <n v="1600"/>
    <m/>
    <x v="15"/>
    <n v="11"/>
    <n v="2008"/>
    <n v="2015"/>
    <n v="2015.9166666666667"/>
    <n v="19.047619047619047"/>
    <n v="228.57142857142856"/>
    <n v="0"/>
    <n v="1600"/>
    <n v="1600"/>
    <x v="1"/>
    <x v="1"/>
  </r>
  <r>
    <n v="2112"/>
    <n v="237684"/>
    <x v="0"/>
    <x v="149"/>
    <n v="13"/>
    <n v="0"/>
    <m/>
    <n v="0"/>
    <s v="ENTERPRISE SALES, INC."/>
    <m/>
    <m/>
    <d v="2006-06-01T00:00:00"/>
    <d v="2006-06-01T00:00:00"/>
    <s v="06-2113-407"/>
    <n v="1200"/>
    <n v="14050"/>
    <n v="72827.460000000006"/>
    <n v="14056"/>
    <n v="72827.460000000006"/>
    <n v="0"/>
    <n v="0"/>
    <n v="54260"/>
    <n v="0"/>
    <s v="P"/>
    <m/>
    <n v="2973"/>
    <m/>
    <s v="Internal"/>
    <s v="A"/>
    <s v="SL"/>
    <d v="2020-08-31T00:00:00"/>
    <s v="WCNX"/>
    <n v="0"/>
    <n v="72827.460000000006"/>
    <m/>
    <x v="15"/>
    <n v="6"/>
    <n v="2006"/>
    <n v="2018"/>
    <n v="2018.5"/>
    <n v="505.74625000000009"/>
    <n v="6068.9550000000008"/>
    <n v="0"/>
    <n v="72827.460000000006"/>
    <n v="72827.460000000006"/>
    <x v="1"/>
    <x v="1"/>
  </r>
  <r>
    <n v="2112"/>
    <n v="236848"/>
    <x v="0"/>
    <x v="140"/>
    <n v="351"/>
    <m/>
    <m/>
    <n v="0"/>
    <s v="REHRIG PACIFIC COMPANY IN"/>
    <m/>
    <s v="Non-Container Audit"/>
    <d v="2020-07-30T00:00:00"/>
    <d v="2020-07-30T00:00:00"/>
    <s v="2112-20-0029-1"/>
    <n v="700"/>
    <n v="14050"/>
    <n v="14947.1"/>
    <n v="14056"/>
    <n v="6405.9"/>
    <n v="8541.2000000000007"/>
    <n v="1245.5899999999999"/>
    <n v="54260"/>
    <n v="177.94"/>
    <s v="P"/>
    <m/>
    <n v="50116997"/>
    <m/>
    <s v="Internal"/>
    <s v="A"/>
    <s v="SL"/>
    <m/>
    <s v="WCNX"/>
    <n v="0"/>
    <n v="0"/>
    <m/>
    <x v="15"/>
    <n v="7"/>
    <n v="2020"/>
    <n v="2027"/>
    <n v="2027.5833333333333"/>
    <n v="177.94166666666669"/>
    <n v="2135.3000000000002"/>
    <n v="2135.3000000000002"/>
    <n v="4448.5416666669898"/>
    <n v="6583.84166666699"/>
    <x v="93"/>
    <x v="1"/>
  </r>
  <r>
    <n v="2112"/>
    <n v="235327"/>
    <x v="0"/>
    <x v="150"/>
    <m/>
    <s v="1FTMF1CB1LKE26193"/>
    <s v="C18586T"/>
    <n v="2020"/>
    <s v="Ford F150"/>
    <s v="N/A"/>
    <s v="Pick Up Truck"/>
    <d v="2020-07-06T00:00:00"/>
    <d v="2020-07-06T00:00:00"/>
    <s v="2112-20-0010"/>
    <n v="500"/>
    <n v="14040"/>
    <n v="24681.4"/>
    <n v="14046"/>
    <n v="15220.2"/>
    <n v="9461.2000000000007"/>
    <n v="2879.5"/>
    <n v="51260"/>
    <n v="411.36"/>
    <s v="P"/>
    <m/>
    <m/>
    <s v="OPS3"/>
    <s v="Internal"/>
    <s v="A"/>
    <s v="SL"/>
    <m/>
    <s v="WCNX"/>
    <n v="0"/>
    <n v="0"/>
    <m/>
    <x v="15"/>
    <n v="7"/>
    <n v="2020"/>
    <n v="2025"/>
    <n v="2025.5833333333333"/>
    <n v="411.35666666666674"/>
    <n v="4936.2800000000007"/>
    <n v="4936.2800000000007"/>
    <n v="10283.916666667414"/>
    <n v="15220.196666667414"/>
    <x v="94"/>
    <x v="1"/>
  </r>
  <r>
    <n v="2112"/>
    <n v="235326"/>
    <x v="0"/>
    <x v="150"/>
    <m/>
    <s v="1FTMF1CBXLKE26192"/>
    <s v="C18585T"/>
    <n v="2020"/>
    <s v="Ford F150"/>
    <s v="N/A"/>
    <s v="Pick Up Truck"/>
    <d v="2020-07-06T00:00:00"/>
    <d v="2020-07-06T00:00:00"/>
    <s v="2112-20-0009"/>
    <n v="500"/>
    <n v="14040"/>
    <n v="24681.4"/>
    <n v="14046"/>
    <n v="15220.2"/>
    <n v="9461.2000000000007"/>
    <n v="2879.5"/>
    <n v="51260"/>
    <n v="411.36"/>
    <s v="P"/>
    <m/>
    <m/>
    <s v="OPS2"/>
    <s v="Internal"/>
    <s v="A"/>
    <s v="SL"/>
    <m/>
    <s v="WCNX"/>
    <n v="0"/>
    <n v="0"/>
    <m/>
    <x v="15"/>
    <n v="7"/>
    <n v="2020"/>
    <n v="2025"/>
    <n v="2025.5833333333333"/>
    <n v="411.35666666666674"/>
    <n v="4936.2800000000007"/>
    <n v="4936.2800000000007"/>
    <n v="10283.916666667414"/>
    <n v="15220.196666667414"/>
    <x v="94"/>
    <x v="1"/>
  </r>
  <r>
    <n v="2112"/>
    <n v="234186"/>
    <x v="0"/>
    <x v="140"/>
    <n v="2530"/>
    <m/>
    <m/>
    <n v="0"/>
    <s v="REHRIG PACIFIC COMPANY IN"/>
    <m/>
    <s v="Non-Container Audit"/>
    <d v="2020-03-25T00:00:00"/>
    <d v="2020-03-25T00:00:00"/>
    <s v="2112-20-0026-4"/>
    <n v="700"/>
    <n v="14050"/>
    <n v="9393.77"/>
    <n v="14056"/>
    <n v="4473.24"/>
    <n v="4920.5300000000007"/>
    <n v="782.82"/>
    <n v="54260"/>
    <n v="111.83"/>
    <s v="P"/>
    <m/>
    <n v="50088885"/>
    <m/>
    <s v="Internal"/>
    <s v="A"/>
    <s v="SL"/>
    <m/>
    <s v="WCNX"/>
    <n v="0"/>
    <n v="0"/>
    <m/>
    <x v="15"/>
    <n v="3"/>
    <n v="2020"/>
    <n v="2027"/>
    <n v="2027.25"/>
    <n v="111.83059523809526"/>
    <n v="1341.967142857143"/>
    <n v="1341.967142857143"/>
    <n v="3243.0872619048632"/>
    <n v="4585.054404762006"/>
    <x v="95"/>
    <x v="1"/>
  </r>
  <r>
    <n v="2112"/>
    <n v="234185"/>
    <x v="0"/>
    <x v="140"/>
    <n v="2965"/>
    <m/>
    <m/>
    <n v="0"/>
    <s v="REHRIG PACIFIC COMPANY IN"/>
    <m/>
    <s v="Non-Container Audit"/>
    <d v="2020-03-25T00:00:00"/>
    <d v="2020-03-25T00:00:00"/>
    <s v="2112-20-0026-3"/>
    <n v="700"/>
    <n v="14050"/>
    <n v="10915"/>
    <n v="14056"/>
    <n v="5197.6400000000003"/>
    <n v="5717.36"/>
    <n v="909.59"/>
    <n v="54260"/>
    <n v="129.94"/>
    <s v="P"/>
    <m/>
    <n v="50088885"/>
    <m/>
    <s v="Internal"/>
    <s v="A"/>
    <s v="SL"/>
    <m/>
    <s v="WCNX"/>
    <n v="0"/>
    <n v="0"/>
    <m/>
    <x v="15"/>
    <n v="3"/>
    <n v="2020"/>
    <n v="2027"/>
    <n v="2027.25"/>
    <n v="129.94047619047618"/>
    <n v="1559.2857142857142"/>
    <n v="1559.2857142857142"/>
    <n v="3768.2738095239283"/>
    <n v="5327.559523809643"/>
    <x v="96"/>
    <x v="1"/>
  </r>
  <r>
    <n v="2112"/>
    <n v="234184"/>
    <x v="0"/>
    <x v="151"/>
    <n v="615"/>
    <m/>
    <m/>
    <n v="0"/>
    <s v="REHRIG PACIFIC COMPANY IN"/>
    <m/>
    <s v="Non-Container Audit"/>
    <d v="2020-03-25T00:00:00"/>
    <d v="2020-03-25T00:00:00"/>
    <s v="2112-20-0026-2"/>
    <n v="700"/>
    <n v="14050"/>
    <n v="2277"/>
    <n v="14056"/>
    <n v="1084.3"/>
    <n v="1192.7"/>
    <n v="189.75"/>
    <n v="54260"/>
    <n v="27.1"/>
    <s v="P"/>
    <m/>
    <n v="50088885"/>
    <m/>
    <s v="Internal"/>
    <s v="A"/>
    <s v="SL"/>
    <m/>
    <s v="WCNX"/>
    <n v="0"/>
    <n v="0"/>
    <m/>
    <x v="15"/>
    <n v="3"/>
    <n v="2020"/>
    <n v="2027"/>
    <n v="2027.25"/>
    <n v="27.107142857142858"/>
    <n v="325.28571428571428"/>
    <n v="325.28571428571428"/>
    <n v="786.10714285716745"/>
    <n v="1111.3928571428817"/>
    <x v="97"/>
    <x v="1"/>
  </r>
  <r>
    <n v="2112"/>
    <n v="234183"/>
    <x v="0"/>
    <x v="152"/>
    <n v="2300"/>
    <m/>
    <m/>
    <n v="0"/>
    <s v="REHRIG PACIFIC COMPANY IN"/>
    <m/>
    <s v="Non-Container Audit"/>
    <d v="2020-03-25T00:00:00"/>
    <d v="2020-03-25T00:00:00"/>
    <s v="2112-20-0026-1"/>
    <n v="700"/>
    <n v="14050"/>
    <n v="8537"/>
    <n v="14056"/>
    <n v="4065.24"/>
    <n v="4471.76"/>
    <n v="711.42"/>
    <n v="54260"/>
    <n v="101.63"/>
    <s v="P"/>
    <m/>
    <n v="50088885"/>
    <m/>
    <s v="Internal"/>
    <s v="A"/>
    <s v="SL"/>
    <m/>
    <s v="WCNX"/>
    <n v="0"/>
    <n v="0"/>
    <m/>
    <x v="15"/>
    <n v="3"/>
    <n v="2020"/>
    <n v="2027"/>
    <n v="2027.25"/>
    <n v="101.63095238095239"/>
    <n v="1219.5714285714287"/>
    <n v="1219.5714285714287"/>
    <n v="2947.2976190477111"/>
    <n v="4166.8690476191396"/>
    <x v="98"/>
    <x v="1"/>
  </r>
  <r>
    <n v="2112"/>
    <n v="234108"/>
    <x v="0"/>
    <x v="153"/>
    <m/>
    <s v="3BPDLK0X9LF108673"/>
    <s v="C18477T"/>
    <n v="2020"/>
    <s v="Peterbilt 520"/>
    <s v="Labrie"/>
    <s v="Automated Sideload"/>
    <d v="2020-04-30T00:00:00"/>
    <d v="2020-04-30T00:00:00"/>
    <s v="2112-20-0018"/>
    <n v="1000"/>
    <n v="14040"/>
    <n v="379185.66"/>
    <n v="14046"/>
    <n v="123235.3"/>
    <n v="255950.36"/>
    <n v="22119.16"/>
    <n v="51260"/>
    <n v="3159.87"/>
    <s v="P"/>
    <m/>
    <m/>
    <n v="893"/>
    <s v="Internal"/>
    <s v="A"/>
    <s v="SL"/>
    <m/>
    <s v="WCNX"/>
    <n v="0"/>
    <n v="0"/>
    <m/>
    <x v="15"/>
    <n v="4"/>
    <n v="2020"/>
    <n v="2030"/>
    <n v="2030.3333333333333"/>
    <n v="3159.8804999999998"/>
    <n v="37918.565999999999"/>
    <n v="37918.565999999999"/>
    <n v="88476.654000005743"/>
    <n v="126395.22000000573"/>
    <x v="99"/>
    <x v="1"/>
  </r>
  <r>
    <n v="2112"/>
    <n v="234065"/>
    <x v="0"/>
    <x v="92"/>
    <n v="500"/>
    <m/>
    <m/>
    <n v="0"/>
    <s v="THUNDERBIRD PLASTICS LTD"/>
    <m/>
    <s v="Non-Container Audit"/>
    <d v="2020-05-01T00:00:00"/>
    <d v="2020-05-01T00:00:00"/>
    <s v="2112-20-0027-1"/>
    <n v="500"/>
    <n v="14050"/>
    <n v="4868.8"/>
    <n v="14056"/>
    <n v="3164.72"/>
    <n v="1704.0800000000004"/>
    <n v="568.03"/>
    <n v="54260"/>
    <n v="81.150000000000006"/>
    <s v="P"/>
    <m/>
    <n v="30931"/>
    <m/>
    <s v="Internal"/>
    <s v="A"/>
    <s v="SL"/>
    <m/>
    <s v="WCNX"/>
    <n v="0"/>
    <n v="0"/>
    <m/>
    <x v="15"/>
    <n v="5"/>
    <n v="2020"/>
    <n v="2025"/>
    <n v="2025.4166666666667"/>
    <n v="81.146666666666661"/>
    <n v="973.76"/>
    <n v="973.76"/>
    <n v="2190.9600000000005"/>
    <n v="3164.7200000000003"/>
    <x v="100"/>
    <x v="1"/>
  </r>
  <r>
    <n v="2112"/>
    <n v="233301"/>
    <x v="0"/>
    <x v="154"/>
    <n v="936"/>
    <m/>
    <m/>
    <n v="0"/>
    <s v="REHRIG PACIFIC COMPANY IN"/>
    <m/>
    <s v="Non-Container Audit"/>
    <d v="2020-03-25T00:00:00"/>
    <d v="2020-03-25T00:00:00"/>
    <s v="2112-20-0026-4"/>
    <n v="700"/>
    <n v="14050"/>
    <n v="37422.400000000001"/>
    <n v="14056"/>
    <n v="17820.2"/>
    <n v="19602.2"/>
    <n v="3118.54"/>
    <n v="54260"/>
    <n v="445.51"/>
    <s v="P"/>
    <m/>
    <n v="50084813"/>
    <m/>
    <s v="Internal"/>
    <s v="A"/>
    <s v="SL"/>
    <m/>
    <s v="WCNX"/>
    <n v="0"/>
    <n v="0"/>
    <m/>
    <x v="15"/>
    <n v="3"/>
    <n v="2020"/>
    <n v="2027"/>
    <n v="2027.25"/>
    <n v="445.50476190476189"/>
    <n v="5346.0571428571429"/>
    <n v="5346.0571428571429"/>
    <n v="12919.638095238504"/>
    <n v="18265.695238095646"/>
    <x v="101"/>
    <x v="1"/>
  </r>
  <r>
    <n v="2112"/>
    <n v="233300"/>
    <x v="0"/>
    <x v="140"/>
    <n v="2536"/>
    <m/>
    <m/>
    <n v="0"/>
    <s v="REHRIG PACIFIC COMPANY IN"/>
    <m/>
    <s v="Non-Container Audit"/>
    <d v="2020-03-25T00:00:00"/>
    <d v="2020-03-25T00:00:00"/>
    <s v="2112-20-0026-4"/>
    <n v="700"/>
    <n v="14050"/>
    <n v="116485.09"/>
    <n v="14056"/>
    <n v="55469.1"/>
    <n v="61015.99"/>
    <n v="9707.09"/>
    <n v="54260"/>
    <n v="1386.72"/>
    <s v="P"/>
    <m/>
    <n v="50084520"/>
    <m/>
    <s v="Internal"/>
    <s v="A"/>
    <s v="SL"/>
    <m/>
    <s v="WCNX"/>
    <n v="0"/>
    <n v="0"/>
    <m/>
    <x v="15"/>
    <n v="3"/>
    <n v="2020"/>
    <n v="2027"/>
    <n v="2027.25"/>
    <n v="1386.7272619047619"/>
    <n v="16640.727142857144"/>
    <n v="16640.727142857144"/>
    <n v="40215.090595239351"/>
    <n v="56855.817738096492"/>
    <x v="102"/>
    <x v="1"/>
  </r>
  <r>
    <n v="2112"/>
    <n v="233299"/>
    <x v="0"/>
    <x v="155"/>
    <n v="702"/>
    <m/>
    <m/>
    <n v="0"/>
    <s v="REHRIG PACIFIC COMPANY IN"/>
    <m/>
    <s v="Non-Container Audit"/>
    <d v="2020-03-25T00:00:00"/>
    <d v="2020-03-25T00:00:00"/>
    <s v="2112-20-0026-2"/>
    <n v="700"/>
    <n v="14050"/>
    <n v="32244.68"/>
    <n v="14056"/>
    <n v="15354.61"/>
    <n v="16890.07"/>
    <n v="2687.06"/>
    <n v="54260"/>
    <n v="383.87"/>
    <s v="P"/>
    <m/>
    <n v="50084813"/>
    <m/>
    <s v="Internal"/>
    <s v="A"/>
    <s v="SL"/>
    <m/>
    <s v="WCNX"/>
    <n v="0"/>
    <n v="0"/>
    <m/>
    <x v="15"/>
    <n v="3"/>
    <n v="2020"/>
    <n v="2027"/>
    <n v="2027.25"/>
    <n v="383.86523809523811"/>
    <n v="4606.3828571428576"/>
    <n v="4606.3828571428576"/>
    <n v="11132.091904762252"/>
    <n v="15738.474761905109"/>
    <x v="103"/>
    <x v="1"/>
  </r>
  <r>
    <n v="2112"/>
    <n v="233298"/>
    <x v="0"/>
    <x v="151"/>
    <n v="220"/>
    <m/>
    <m/>
    <n v="0"/>
    <s v="REHRIG PACIFIC COMPANY IN"/>
    <m/>
    <s v="Non-Container Audit"/>
    <d v="2020-03-25T00:00:00"/>
    <d v="2020-03-25T00:00:00"/>
    <s v="2112-20-0026-2"/>
    <n v="700"/>
    <n v="14050"/>
    <n v="10105.18"/>
    <n v="14056"/>
    <n v="4812"/>
    <n v="5293.18"/>
    <n v="842.1"/>
    <n v="54260"/>
    <n v="120.3"/>
    <s v="P"/>
    <m/>
    <n v="50084520"/>
    <m/>
    <s v="Internal"/>
    <s v="A"/>
    <s v="SL"/>
    <m/>
    <s v="WCNX"/>
    <n v="0"/>
    <n v="0"/>
    <m/>
    <x v="15"/>
    <n v="3"/>
    <n v="2020"/>
    <n v="2027"/>
    <n v="2027.25"/>
    <n v="120.29976190476191"/>
    <n v="1443.5971428571429"/>
    <n v="1443.5971428571429"/>
    <n v="3488.6930952382045"/>
    <n v="4932.2902380953474"/>
    <x v="104"/>
    <x v="1"/>
  </r>
  <r>
    <n v="2112"/>
    <n v="233297"/>
    <x v="0"/>
    <x v="152"/>
    <n v="2160"/>
    <m/>
    <m/>
    <n v="0"/>
    <s v="REHRIG PACIFIC COMPANY IN"/>
    <m/>
    <s v="Non-Container Audit"/>
    <d v="2020-03-25T00:00:00"/>
    <d v="2020-03-25T00:00:00"/>
    <s v="2112-20-0026-1"/>
    <n v="700"/>
    <n v="14050"/>
    <n v="72750.960000000006"/>
    <n v="14056"/>
    <n v="34643.33"/>
    <n v="38107.630000000005"/>
    <n v="6062.58"/>
    <n v="54260"/>
    <n v="866.08"/>
    <s v="P"/>
    <m/>
    <n v="50084520"/>
    <m/>
    <s v="Internal"/>
    <s v="A"/>
    <s v="SL"/>
    <m/>
    <s v="WCNX"/>
    <n v="0"/>
    <n v="0"/>
    <m/>
    <x v="15"/>
    <n v="3"/>
    <n v="2020"/>
    <n v="2027"/>
    <n v="2027.25"/>
    <n v="866.08285714285728"/>
    <n v="10392.994285714287"/>
    <n v="10392.994285714287"/>
    <n v="25116.402857143643"/>
    <n v="35509.397142857932"/>
    <x v="105"/>
    <x v="1"/>
  </r>
  <r>
    <n v="2112"/>
    <n v="233296"/>
    <x v="0"/>
    <x v="156"/>
    <n v="2"/>
    <m/>
    <m/>
    <n v="0"/>
    <s v="RULE STEEL TANKS INC"/>
    <m/>
    <s v="8 YD FEL/REL/SL Metal"/>
    <d v="2020-04-16T00:00:00"/>
    <d v="2020-04-16T00:00:00"/>
    <s v="2112-20-0024-1"/>
    <n v="1200"/>
    <n v="14050"/>
    <n v="2013.21"/>
    <n v="14056"/>
    <n v="545.19000000000005"/>
    <n v="1468.02"/>
    <n v="97.86"/>
    <n v="54260"/>
    <n v="13.97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13.980625000000002"/>
    <n v="167.76750000000001"/>
    <n v="167.76750000000001"/>
    <n v="391.45750000002522"/>
    <n v="559.22500000002526"/>
    <x v="106"/>
    <x v="1"/>
  </r>
  <r>
    <n v="2112"/>
    <n v="233295"/>
    <x v="0"/>
    <x v="157"/>
    <n v="16"/>
    <m/>
    <m/>
    <n v="0"/>
    <s v="RULE STEEL TANKS INC"/>
    <m/>
    <s v="6 YD FEL/REL/SL Metal"/>
    <d v="2020-04-16T00:00:00"/>
    <d v="2020-04-16T00:00:00"/>
    <s v="2112-20-0024-1"/>
    <n v="1200"/>
    <n v="14050"/>
    <n v="14359.98"/>
    <n v="14056"/>
    <n v="3889.18"/>
    <n v="10470.799999999999"/>
    <n v="698.06"/>
    <n v="54260"/>
    <n v="99.72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99.72208333333333"/>
    <n v="1196.665"/>
    <n v="1196.665"/>
    <n v="2792.2183333335142"/>
    <n v="3988.8833333335142"/>
    <x v="107"/>
    <x v="1"/>
  </r>
  <r>
    <n v="2112"/>
    <n v="233294"/>
    <x v="0"/>
    <x v="70"/>
    <n v="9"/>
    <m/>
    <m/>
    <n v="0"/>
    <s v="RULE STEEL TANKS INC"/>
    <m/>
    <s v="4 YD FEL/REL/SL Metal"/>
    <d v="2020-04-16T00:00:00"/>
    <d v="2020-04-16T00:00:00"/>
    <s v="2112-20-0024-1"/>
    <n v="1200"/>
    <n v="14050"/>
    <n v="6672.41"/>
    <n v="14056"/>
    <n v="1807.13"/>
    <n v="4865.28"/>
    <n v="324.36"/>
    <n v="54260"/>
    <n v="46.34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46.336180555555558"/>
    <n v="556.03416666666669"/>
    <n v="556.03416666666669"/>
    <n v="1297.4130555556394"/>
    <n v="1853.4472222223062"/>
    <x v="108"/>
    <x v="1"/>
  </r>
  <r>
    <n v="2112"/>
    <n v="233293"/>
    <x v="0"/>
    <x v="158"/>
    <n v="3"/>
    <m/>
    <m/>
    <n v="0"/>
    <s v="RULE STEEL TANKS INC"/>
    <m/>
    <s v="3 YD FEL/REL/SL Metal"/>
    <d v="2020-04-16T00:00:00"/>
    <d v="2020-04-16T00:00:00"/>
    <s v="2112-20-0024-1"/>
    <n v="1200"/>
    <n v="14050"/>
    <n v="2043.15"/>
    <n v="14056"/>
    <n v="553.35"/>
    <n v="1489.8000000000002"/>
    <n v="99.32"/>
    <n v="54260"/>
    <n v="14.19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14.188541666666667"/>
    <n v="170.26250000000002"/>
    <n v="170.26250000000002"/>
    <n v="397.27916666669239"/>
    <n v="567.54166666669244"/>
    <x v="109"/>
    <x v="1"/>
  </r>
  <r>
    <n v="2112"/>
    <n v="233292"/>
    <x v="0"/>
    <x v="159"/>
    <n v="20"/>
    <m/>
    <m/>
    <n v="0"/>
    <s v="RULE STEEL TANKS INC"/>
    <m/>
    <s v="2 YD FEL/REL/SL Metal"/>
    <d v="2020-04-16T00:00:00"/>
    <d v="2020-04-16T00:00:00"/>
    <s v="2112-20-0024-1"/>
    <n v="1200"/>
    <n v="14050"/>
    <n v="12451.39"/>
    <n v="14056"/>
    <n v="3372.26"/>
    <n v="9079.1299999999992"/>
    <n v="605.28"/>
    <n v="54260"/>
    <n v="86.47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86.467986111111102"/>
    <n v="1037.6158333333333"/>
    <n v="1037.6158333333333"/>
    <n v="2421.103611111268"/>
    <n v="3458.7194444446013"/>
    <x v="110"/>
    <x v="1"/>
  </r>
  <r>
    <n v="2112"/>
    <n v="233291"/>
    <x v="0"/>
    <x v="160"/>
    <n v="15"/>
    <m/>
    <m/>
    <n v="0"/>
    <s v="RULE STEEL TANKS INC"/>
    <m/>
    <s v="1.5 YD FEL/REL/SL Metal"/>
    <d v="2020-04-16T00:00:00"/>
    <d v="2020-04-16T00:00:00"/>
    <s v="2112-20-0024-1"/>
    <n v="1200"/>
    <n v="14050"/>
    <n v="8880.3700000000008"/>
    <n v="14056"/>
    <n v="2405.09"/>
    <n v="6475.2800000000007"/>
    <n v="431.68"/>
    <n v="54260"/>
    <n v="61.66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61.669236111111111"/>
    <n v="740.03083333333336"/>
    <n v="740.03083333333336"/>
    <n v="1726.7386111112237"/>
    <n v="2466.7694444445569"/>
    <x v="111"/>
    <x v="1"/>
  </r>
  <r>
    <n v="2112"/>
    <n v="233290"/>
    <x v="0"/>
    <x v="1"/>
    <n v="15"/>
    <m/>
    <m/>
    <n v="0"/>
    <s v="RULE STEEL TANKS INC"/>
    <m/>
    <s v="1 YD FEL/REL/SL Metal"/>
    <d v="2020-04-16T00:00:00"/>
    <d v="2020-04-16T00:00:00"/>
    <s v="2112-20-0024-1"/>
    <n v="1200"/>
    <n v="14050"/>
    <n v="8130.34"/>
    <n v="14056"/>
    <n v="2201.98"/>
    <n v="5928.3600000000006"/>
    <n v="395.23"/>
    <n v="54260"/>
    <n v="56.46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56.460694444444442"/>
    <n v="677.52833333333331"/>
    <n v="677.52833333333331"/>
    <n v="1580.899444444548"/>
    <n v="2258.4277777778811"/>
    <x v="112"/>
    <x v="1"/>
  </r>
  <r>
    <n v="2112"/>
    <n v="233289"/>
    <x v="0"/>
    <x v="75"/>
    <n v="6"/>
    <m/>
    <m/>
    <n v="0"/>
    <s v="RULE STEEL TANKS INC"/>
    <m/>
    <s v="2 YD FEL/REL/SL Metal"/>
    <d v="2020-04-16T00:00:00"/>
    <d v="2020-04-16T00:00:00"/>
    <s v="2112-20-0024-1"/>
    <n v="1200"/>
    <n v="14050"/>
    <n v="3567.8"/>
    <n v="14056"/>
    <n v="966.29"/>
    <n v="2601.5100000000002"/>
    <n v="173.44"/>
    <n v="54260"/>
    <n v="24.78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24.776388888888889"/>
    <n v="297.31666666666666"/>
    <n v="297.31666666666666"/>
    <n v="693.73888888893407"/>
    <n v="991.05555555560068"/>
    <x v="113"/>
    <x v="1"/>
  </r>
  <r>
    <n v="2112"/>
    <n v="233288"/>
    <x v="0"/>
    <x v="18"/>
    <n v="6"/>
    <m/>
    <m/>
    <n v="0"/>
    <s v="RULE STEEL TANKS INC"/>
    <m/>
    <s v="1.5 YD FEL/REL/SL Metal"/>
    <d v="2020-04-16T00:00:00"/>
    <d v="2020-04-16T00:00:00"/>
    <s v="2112-20-0024-1"/>
    <n v="1200"/>
    <n v="14050"/>
    <n v="3352.57"/>
    <n v="14056"/>
    <n v="907.95"/>
    <n v="2444.62"/>
    <n v="162.97"/>
    <n v="54260"/>
    <n v="23.28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23.281736111111112"/>
    <n v="279.38083333333333"/>
    <n v="279.38083333333333"/>
    <n v="651.88861111115375"/>
    <n v="931.26944444448714"/>
    <x v="114"/>
    <x v="1"/>
  </r>
  <r>
    <n v="2112"/>
    <n v="233287"/>
    <x v="0"/>
    <x v="161"/>
    <n v="6"/>
    <m/>
    <m/>
    <n v="0"/>
    <s v="RULE STEEL TANKS INC"/>
    <m/>
    <s v="1 YD FEL/REL/SL Metal"/>
    <d v="2020-04-16T00:00:00"/>
    <d v="2020-04-16T00:00:00"/>
    <s v="2112-20-0024-1"/>
    <n v="1200"/>
    <n v="14050"/>
    <n v="3117.78"/>
    <n v="14056"/>
    <n v="844.41"/>
    <n v="2273.3700000000003"/>
    <n v="151.56"/>
    <n v="54260"/>
    <n v="21.65"/>
    <s v="P"/>
    <m/>
    <s v="0037494-IN"/>
    <m/>
    <s v="Internal"/>
    <s v="A"/>
    <s v="SL"/>
    <m/>
    <s v="WCNX"/>
    <n v="0"/>
    <n v="0"/>
    <m/>
    <x v="15"/>
    <n v="4"/>
    <n v="2020"/>
    <n v="2032"/>
    <n v="2032.3333333333333"/>
    <n v="21.651250000000001"/>
    <n v="259.815"/>
    <n v="259.815"/>
    <n v="606.23500000003969"/>
    <n v="866.05000000003974"/>
    <x v="115"/>
    <x v="1"/>
  </r>
  <r>
    <n v="2112"/>
    <n v="233213"/>
    <x v="0"/>
    <x v="162"/>
    <m/>
    <m/>
    <m/>
    <n v="0"/>
    <s v="CDW"/>
    <m/>
    <m/>
    <d v="2020-04-29T00:00:00"/>
    <d v="2020-04-29T00:00:00"/>
    <s v="2112-20-0028-1"/>
    <n v="300"/>
    <n v="14110"/>
    <n v="1129.75"/>
    <n v="14116"/>
    <n v="1129.75"/>
    <n v="0"/>
    <n v="125.53"/>
    <n v="70260"/>
    <n v="0"/>
    <s v="P"/>
    <m/>
    <s v="XRZ6148"/>
    <m/>
    <s v="Internal"/>
    <s v="A"/>
    <s v="SL"/>
    <m/>
    <s v="WCNX"/>
    <n v="0"/>
    <n v="0"/>
    <m/>
    <x v="15"/>
    <n v="4"/>
    <n v="2020"/>
    <n v="2023"/>
    <n v="2023.3333333333333"/>
    <n v="31.381944444444443"/>
    <n v="376.58333333333331"/>
    <n v="0"/>
    <n v="878.69444444450153"/>
    <n v="1129.75"/>
    <x v="1"/>
    <x v="1"/>
  </r>
  <r>
    <n v="2112"/>
    <n v="232599"/>
    <x v="0"/>
    <x v="163"/>
    <m/>
    <s v="3BPDLK0X2LF107963"/>
    <s v="C18479T"/>
    <n v="2020"/>
    <s v="Peterbilt 520"/>
    <s v="Labrie"/>
    <s v="FEL Truck"/>
    <d v="2020-05-01T00:00:00"/>
    <d v="2020-05-01T00:00:00"/>
    <s v="2112-20-0023"/>
    <n v="1000"/>
    <n v="14040"/>
    <n v="334851.25"/>
    <n v="14046"/>
    <n v="108826.67"/>
    <n v="226024.58000000002"/>
    <n v="19532.990000000002"/>
    <n v="51260"/>
    <n v="2790.42"/>
    <s v="P"/>
    <m/>
    <m/>
    <n v="992"/>
    <s v="Internal"/>
    <s v="A"/>
    <s v="SL"/>
    <m/>
    <s v="WCNX"/>
    <n v="0"/>
    <n v="0"/>
    <m/>
    <x v="15"/>
    <n v="5"/>
    <n v="2020"/>
    <n v="2030"/>
    <n v="2030.4166666666667"/>
    <n v="2790.4270833333335"/>
    <n v="33485.125"/>
    <n v="33485.125"/>
    <n v="75341.53125"/>
    <n v="108826.65625"/>
    <x v="116"/>
    <x v="1"/>
  </r>
  <r>
    <n v="2112"/>
    <n v="232598"/>
    <x v="0"/>
    <x v="163"/>
    <m/>
    <s v="3BPDLK0X0LF107962"/>
    <s v="C18478T"/>
    <n v="2020"/>
    <s v="Peterbilt 520"/>
    <s v="Labrie"/>
    <s v="FEL Truck"/>
    <d v="2020-05-01T00:00:00"/>
    <d v="2020-05-01T00:00:00"/>
    <s v="2112-20-0022"/>
    <n v="1000"/>
    <n v="14040"/>
    <n v="334853.40999999997"/>
    <n v="14046"/>
    <n v="108827.36"/>
    <n v="226026.05"/>
    <n v="19533.12"/>
    <n v="51260"/>
    <n v="2790.45"/>
    <s v="P"/>
    <m/>
    <m/>
    <n v="991"/>
    <s v="Internal"/>
    <s v="A"/>
    <s v="SL"/>
    <m/>
    <s v="WCNX"/>
    <n v="0"/>
    <n v="0"/>
    <m/>
    <x v="15"/>
    <n v="5"/>
    <n v="2020"/>
    <n v="2030"/>
    <n v="2030.4166666666667"/>
    <n v="2790.4450833333335"/>
    <n v="33485.341"/>
    <n v="33485.341"/>
    <n v="75342.017249999946"/>
    <n v="108827.35824999995"/>
    <x v="117"/>
    <x v="1"/>
  </r>
  <r>
    <n v="2112"/>
    <n v="232597"/>
    <x v="0"/>
    <x v="164"/>
    <m/>
    <s v="3BPDLK0X3LF108684"/>
    <s v="C18584T"/>
    <n v="2020"/>
    <s v="Peterbilt 520"/>
    <s v="Kann"/>
    <s v="Recycle Truck"/>
    <d v="2020-05-01T00:00:00"/>
    <d v="2020-05-01T00:00:00"/>
    <s v="2112-20-0021"/>
    <n v="1000"/>
    <n v="14040"/>
    <n v="323706.52"/>
    <n v="14046"/>
    <n v="105204.62"/>
    <n v="218501.90000000002"/>
    <n v="18882.88"/>
    <n v="51260"/>
    <n v="2697.55"/>
    <s v="P"/>
    <m/>
    <m/>
    <n v="771"/>
    <s v="Internal"/>
    <s v="A"/>
    <s v="SL"/>
    <m/>
    <s v="WCNX"/>
    <n v="0"/>
    <n v="0"/>
    <m/>
    <x v="15"/>
    <n v="5"/>
    <n v="2020"/>
    <n v="2030"/>
    <n v="2030.4166666666667"/>
    <n v="2697.5543333333335"/>
    <n v="32370.652000000002"/>
    <n v="32370.652000000002"/>
    <n v="72833.967000000004"/>
    <n v="105204.61900000001"/>
    <x v="118"/>
    <x v="1"/>
  </r>
  <r>
    <n v="2112"/>
    <n v="231985"/>
    <x v="0"/>
    <x v="140"/>
    <n v="702"/>
    <m/>
    <m/>
    <n v="0"/>
    <s v="REHRIG PACIFIC COMPANY IN"/>
    <m/>
    <s v="Non-Container Audit"/>
    <d v="2020-03-25T00:00:00"/>
    <d v="2020-03-25T00:00:00"/>
    <s v="2112-20-0026-4"/>
    <n v="700"/>
    <n v="14050"/>
    <n v="32244.7"/>
    <n v="14056"/>
    <n v="15354.63"/>
    <n v="16890.07"/>
    <n v="2687.06"/>
    <n v="54260"/>
    <n v="383.86"/>
    <s v="P"/>
    <m/>
    <n v="50084960"/>
    <m/>
    <s v="Internal"/>
    <s v="A"/>
    <s v="SL"/>
    <m/>
    <s v="WCNX"/>
    <n v="0"/>
    <n v="0"/>
    <m/>
    <x v="15"/>
    <n v="3"/>
    <n v="2020"/>
    <n v="2027"/>
    <n v="2027.25"/>
    <n v="383.86547619047616"/>
    <n v="4606.3857142857141"/>
    <n v="4606.3857142857141"/>
    <n v="11132.098809524163"/>
    <n v="15738.484523809877"/>
    <x v="119"/>
    <x v="1"/>
  </r>
  <r>
    <n v="2112"/>
    <n v="231984"/>
    <x v="0"/>
    <x v="154"/>
    <n v="1014"/>
    <m/>
    <m/>
    <n v="0"/>
    <s v="REHRIG PACIFIC COMPANY IN"/>
    <m/>
    <s v="Non-Container Audit"/>
    <d v="2020-03-25T00:00:00"/>
    <d v="2020-03-25T00:00:00"/>
    <s v="2112-20-0026-2"/>
    <n v="700"/>
    <n v="14050"/>
    <n v="40540.9"/>
    <n v="14056"/>
    <n v="19305.2"/>
    <n v="21235.7"/>
    <n v="3378.41"/>
    <n v="54260"/>
    <n v="482.63"/>
    <s v="P"/>
    <m/>
    <n v="50084960"/>
    <m/>
    <s v="Internal"/>
    <s v="A"/>
    <s v="SL"/>
    <m/>
    <s v="WCNX"/>
    <n v="0"/>
    <n v="0"/>
    <m/>
    <x v="15"/>
    <n v="3"/>
    <n v="2020"/>
    <n v="2027"/>
    <n v="2027.25"/>
    <n v="482.62976190476189"/>
    <n v="5791.5571428571429"/>
    <n v="5791.5571428571429"/>
    <n v="13996.263095238537"/>
    <n v="19787.820238095679"/>
    <x v="120"/>
    <x v="1"/>
  </r>
  <r>
    <n v="2112"/>
    <n v="231983"/>
    <x v="0"/>
    <x v="152"/>
    <n v="140"/>
    <m/>
    <m/>
    <n v="0"/>
    <s v="REHRIG PACIFIC COMPANY IN"/>
    <m/>
    <s v="Non-Container Audit"/>
    <d v="2020-03-25T00:00:00"/>
    <d v="2020-03-25T00:00:00"/>
    <s v="2112-20-0026-1"/>
    <n v="700"/>
    <n v="14050"/>
    <n v="4715.3500000000004"/>
    <n v="14056"/>
    <n v="2245.41"/>
    <n v="2469.9400000000005"/>
    <n v="392.95"/>
    <n v="54260"/>
    <n v="56.14"/>
    <s v="P"/>
    <m/>
    <n v="50084960"/>
    <m/>
    <s v="Internal"/>
    <s v="A"/>
    <s v="SL"/>
    <m/>
    <s v="WCNX"/>
    <n v="0"/>
    <n v="0"/>
    <m/>
    <x v="15"/>
    <n v="3"/>
    <n v="2020"/>
    <n v="2027"/>
    <n v="2027.25"/>
    <n v="56.13511904761905"/>
    <n v="673.62142857142862"/>
    <n v="673.62142857142862"/>
    <n v="1627.9184523810036"/>
    <n v="2301.5398809524322"/>
    <x v="121"/>
    <x v="1"/>
  </r>
  <r>
    <n v="2112"/>
    <n v="231666"/>
    <x v="0"/>
    <x v="165"/>
    <m/>
    <s v="3BPDLK0X7LF108672"/>
    <s v="C18481T"/>
    <n v="2020"/>
    <s v="Peterbilt 520"/>
    <s v="Leach"/>
    <s v="REL Truck"/>
    <d v="2020-04-01T00:00:00"/>
    <d v="2020-04-01T00:00:00"/>
    <s v="2112-20-0020"/>
    <n v="1000"/>
    <n v="14040"/>
    <n v="307842.78999999998"/>
    <n v="14046"/>
    <n v="102614.27"/>
    <n v="205228.51999999996"/>
    <n v="17957.5"/>
    <n v="51260"/>
    <n v="2565.36"/>
    <s v="P"/>
    <m/>
    <m/>
    <n v="669"/>
    <s v="Internal"/>
    <s v="A"/>
    <s v="SL"/>
    <m/>
    <s v="WCNX"/>
    <n v="0"/>
    <n v="0"/>
    <m/>
    <x v="15"/>
    <n v="4"/>
    <n v="2020"/>
    <n v="2030"/>
    <n v="2030.3333333333333"/>
    <n v="2565.3565833333332"/>
    <n v="30784.278999999999"/>
    <n v="30784.278999999999"/>
    <n v="71829.984333337983"/>
    <n v="102614.26333333798"/>
    <x v="122"/>
    <x v="1"/>
  </r>
  <r>
    <n v="2112"/>
    <n v="231665"/>
    <x v="0"/>
    <x v="165"/>
    <m/>
    <s v="3BPDLK0X5LF108671"/>
    <s v="C18480T"/>
    <n v="2020"/>
    <s v="Peterbilt 520"/>
    <s v="Leach"/>
    <s v="REL Truck"/>
    <d v="2020-04-01T00:00:00"/>
    <d v="2020-04-01T00:00:00"/>
    <s v="2112-20-0019"/>
    <n v="1000"/>
    <n v="14040"/>
    <n v="307842.78999999998"/>
    <n v="14046"/>
    <n v="102614.27"/>
    <n v="205228.51999999996"/>
    <n v="17957.5"/>
    <n v="51260"/>
    <n v="2565.36"/>
    <s v="P"/>
    <m/>
    <m/>
    <n v="668"/>
    <s v="Internal"/>
    <s v="A"/>
    <s v="SL"/>
    <m/>
    <s v="WCNX"/>
    <n v="0"/>
    <n v="0"/>
    <m/>
    <x v="15"/>
    <n v="4"/>
    <n v="2020"/>
    <n v="2030"/>
    <n v="2030.3333333333333"/>
    <n v="2565.3565833333332"/>
    <n v="30784.278999999999"/>
    <n v="30784.278999999999"/>
    <n v="71829.984333337983"/>
    <n v="102614.26333333798"/>
    <x v="122"/>
    <x v="1"/>
  </r>
  <r>
    <n v="2112"/>
    <n v="231607"/>
    <x v="0"/>
    <x v="152"/>
    <n v="504"/>
    <m/>
    <m/>
    <n v="0"/>
    <s v="REHRIG PACIFIC COMPANY IN"/>
    <m/>
    <s v="Non-Container Audit"/>
    <d v="2020-03-21T00:00:00"/>
    <d v="2020-03-21T00:00:00"/>
    <s v="2112-20-0025-1"/>
    <n v="700"/>
    <n v="14050"/>
    <n v="16380.65"/>
    <n v="14056"/>
    <n v="7800.3"/>
    <n v="8580.3499999999985"/>
    <n v="1365.05"/>
    <n v="54260"/>
    <n v="195"/>
    <s v="P"/>
    <m/>
    <n v="50085676"/>
    <m/>
    <s v="Internal"/>
    <s v="A"/>
    <s v="SL"/>
    <m/>
    <s v="WCNX"/>
    <n v="0"/>
    <n v="0"/>
    <m/>
    <x v="15"/>
    <n v="3"/>
    <n v="2020"/>
    <n v="2027"/>
    <n v="2027.25"/>
    <n v="195.0077380952381"/>
    <n v="2340.0928571428572"/>
    <n v="2340.0928571428572"/>
    <n v="5655.2244047620825"/>
    <n v="7995.3172619049401"/>
    <x v="123"/>
    <x v="1"/>
  </r>
  <r>
    <n v="2112"/>
    <n v="231606"/>
    <x v="0"/>
    <x v="154"/>
    <n v="915"/>
    <m/>
    <m/>
    <n v="0"/>
    <s v="REHRIG PACIFIC COMPANY IN"/>
    <m/>
    <s v="Non-Container Audit"/>
    <d v="2020-03-21T00:00:00"/>
    <d v="2020-03-21T00:00:00"/>
    <s v="2112-20-0025-1"/>
    <n v="700"/>
    <n v="14050"/>
    <n v="35646.639999999999"/>
    <n v="14056"/>
    <n v="16974.599999999999"/>
    <n v="18672.04"/>
    <n v="2970.56"/>
    <n v="54260"/>
    <n v="424.37"/>
    <s v="P"/>
    <m/>
    <n v="50085676"/>
    <m/>
    <s v="Internal"/>
    <s v="A"/>
    <s v="SL"/>
    <m/>
    <s v="WCNX"/>
    <n v="0"/>
    <n v="0"/>
    <m/>
    <x v="15"/>
    <n v="3"/>
    <n v="2020"/>
    <n v="2027"/>
    <n v="2027.25"/>
    <n v="424.36476190476191"/>
    <n v="5092.3771428571426"/>
    <n v="5092.3771428571426"/>
    <n v="12306.578095238481"/>
    <n v="17398.955238095623"/>
    <x v="124"/>
    <x v="1"/>
  </r>
  <r>
    <n v="2112"/>
    <n v="231605"/>
    <x v="0"/>
    <x v="151"/>
    <n v="178"/>
    <m/>
    <m/>
    <n v="0"/>
    <s v="REHRIG PACIFIC COMPANY IN"/>
    <m/>
    <s v="Non-Container Audit"/>
    <d v="2020-03-21T00:00:00"/>
    <d v="2020-03-21T00:00:00"/>
    <s v="2112-20-0025-1"/>
    <n v="700"/>
    <n v="14050"/>
    <n v="7961.95"/>
    <n v="14056"/>
    <n v="3791.41"/>
    <n v="4170.54"/>
    <n v="663.5"/>
    <n v="54260"/>
    <n v="94.79"/>
    <s v="P"/>
    <m/>
    <n v="50085676"/>
    <m/>
    <s v="Internal"/>
    <s v="A"/>
    <s v="SL"/>
    <m/>
    <s v="WCNX"/>
    <n v="0"/>
    <n v="0"/>
    <m/>
    <x v="15"/>
    <n v="3"/>
    <n v="2020"/>
    <n v="2027"/>
    <n v="2027.25"/>
    <n v="94.785119047619048"/>
    <n v="1137.4214285714286"/>
    <n v="1137.4214285714286"/>
    <n v="2748.7684523810385"/>
    <n v="3886.1898809524673"/>
    <x v="125"/>
    <x v="1"/>
  </r>
  <r>
    <n v="2112"/>
    <n v="228654"/>
    <x v="20"/>
    <x v="166"/>
    <m/>
    <m/>
    <m/>
    <n v="0"/>
    <s v="NC Machinery"/>
    <m/>
    <s v="Non-Rolling Stock"/>
    <d v="2016-01-29T00:00:00"/>
    <d v="2016-01-29T00:00:00"/>
    <s v="2113-16-0006-1"/>
    <n v="300"/>
    <n v="14040"/>
    <n v="37704.67"/>
    <n v="14046"/>
    <n v="37704.67"/>
    <n v="0"/>
    <n v="0"/>
    <n v="51260"/>
    <n v="0"/>
    <s v="P"/>
    <m/>
    <s v="paw00019748"/>
    <m/>
    <s v="Internal"/>
    <s v="A"/>
    <s v="SL"/>
    <d v="2020-01-31T00:00:00"/>
    <s v="WCNX"/>
    <n v="0"/>
    <n v="37704.67"/>
    <m/>
    <x v="15"/>
    <n v="1"/>
    <n v="2016"/>
    <n v="2019"/>
    <n v="2019.0833333333333"/>
    <n v="1047.3519444444444"/>
    <n v="12568.223333333332"/>
    <n v="0"/>
    <n v="37704.67"/>
    <n v="37704.67"/>
    <x v="1"/>
    <x v="1"/>
  </r>
  <r>
    <n v="2112"/>
    <n v="227697"/>
    <x v="0"/>
    <x v="167"/>
    <n v="0"/>
    <s v="1FTPW12515KE71128"/>
    <s v="C18570T"/>
    <n v="2005"/>
    <s v="FORD F-150"/>
    <s v="Pickup"/>
    <s v="Pick Up Truck"/>
    <d v="2011-12-16T00:00:00"/>
    <d v="2011-12-16T00:00:00"/>
    <s v="2131-11-0003-1"/>
    <n v="300"/>
    <n v="14040"/>
    <n v="19878.099999999999"/>
    <n v="14046"/>
    <n v="19878.099999999999"/>
    <n v="0"/>
    <n v="0"/>
    <n v="51260"/>
    <n v="0"/>
    <s v="P"/>
    <m/>
    <n v="79305"/>
    <n v="12"/>
    <s v="Internal"/>
    <s v="A"/>
    <s v="SL"/>
    <d v="2019-12-31T00:00:00"/>
    <s v="WCNX"/>
    <n v="0"/>
    <n v="19878.099999999999"/>
    <m/>
    <x v="15"/>
    <n v="12"/>
    <n v="2011"/>
    <n v="2014"/>
    <n v="2015"/>
    <n v="552.16944444444437"/>
    <n v="6626.0333333333328"/>
    <n v="0"/>
    <n v="19878.099999999999"/>
    <n v="19878.099999999999"/>
    <x v="1"/>
    <x v="1"/>
  </r>
  <r>
    <n v="2112"/>
    <n v="226150"/>
    <x v="0"/>
    <x v="168"/>
    <n v="20"/>
    <m/>
    <m/>
    <n v="0"/>
    <s v="TOTER LLC"/>
    <m/>
    <s v="4 YD FEL/REL/SL Plastic"/>
    <d v="2019-12-09T00:00:00"/>
    <d v="2019-12-09T00:00:00"/>
    <s v="2112-19-0019-4"/>
    <n v="700"/>
    <n v="14050"/>
    <n v="16758"/>
    <n v="14056"/>
    <n v="8778"/>
    <n v="7980"/>
    <n v="1396.5"/>
    <n v="54260"/>
    <n v="199.5"/>
    <s v="P"/>
    <m/>
    <n v="65627573"/>
    <m/>
    <s v="Internal"/>
    <s v="A"/>
    <s v="SL"/>
    <m/>
    <s v="WCNX"/>
    <n v="0"/>
    <n v="0"/>
    <m/>
    <x v="15"/>
    <n v="12"/>
    <n v="2019"/>
    <n v="2026"/>
    <n v="2027"/>
    <n v="199.5"/>
    <n v="2394"/>
    <n v="2394"/>
    <n v="6384.0000000001819"/>
    <n v="8778.0000000001819"/>
    <x v="126"/>
    <x v="1"/>
  </r>
  <r>
    <n v="2112"/>
    <n v="226149"/>
    <x v="0"/>
    <x v="169"/>
    <n v="10"/>
    <m/>
    <m/>
    <n v="0"/>
    <s v="TOTER LLC"/>
    <m/>
    <s v="3 YD FEL/REL/SL Plastic"/>
    <d v="2019-12-09T00:00:00"/>
    <d v="2019-12-09T00:00:00"/>
    <s v="2112-19-0019-3"/>
    <n v="700"/>
    <n v="14050"/>
    <n v="7736.2"/>
    <n v="14056"/>
    <n v="4052.29"/>
    <n v="3683.91"/>
    <n v="644.67999999999995"/>
    <n v="54260"/>
    <n v="92.09"/>
    <s v="P"/>
    <m/>
    <n v="65627573"/>
    <m/>
    <s v="Internal"/>
    <s v="A"/>
    <s v="SL"/>
    <m/>
    <s v="WCNX"/>
    <n v="0"/>
    <n v="0"/>
    <m/>
    <x v="15"/>
    <n v="12"/>
    <n v="2019"/>
    <n v="2026"/>
    <n v="2027"/>
    <n v="92.097619047619048"/>
    <n v="1105.1714285714286"/>
    <n v="1105.1714285714286"/>
    <n v="2947.1238095238932"/>
    <n v="4052.295238095322"/>
    <x v="127"/>
    <x v="1"/>
  </r>
  <r>
    <n v="2112"/>
    <n v="226148"/>
    <x v="0"/>
    <x v="170"/>
    <n v="22"/>
    <m/>
    <m/>
    <n v="0"/>
    <s v="TOTER LLC"/>
    <m/>
    <s v="2 YD FEL/REL/SL Plastic"/>
    <d v="2019-12-09T00:00:00"/>
    <d v="2019-12-09T00:00:00"/>
    <s v="2112-19-0019-2"/>
    <n v="700"/>
    <n v="14050"/>
    <n v="11976"/>
    <n v="14056"/>
    <n v="6273.15"/>
    <n v="5702.85"/>
    <n v="998"/>
    <n v="54260"/>
    <n v="142.57"/>
    <s v="P"/>
    <m/>
    <n v="65628068"/>
    <m/>
    <s v="Internal"/>
    <s v="A"/>
    <s v="SL"/>
    <m/>
    <s v="WCNX"/>
    <n v="0"/>
    <n v="0"/>
    <m/>
    <x v="15"/>
    <n v="12"/>
    <n v="2019"/>
    <n v="2026"/>
    <n v="2027"/>
    <n v="142.57142857142858"/>
    <n v="1710.8571428571431"/>
    <n v="1710.8571428571431"/>
    <n v="4562.2857142858429"/>
    <n v="6273.142857142986"/>
    <x v="128"/>
    <x v="1"/>
  </r>
  <r>
    <n v="2112"/>
    <n v="226147"/>
    <x v="0"/>
    <x v="171"/>
    <n v="17"/>
    <m/>
    <m/>
    <n v="0"/>
    <s v="TOTER LLC"/>
    <m/>
    <s v="1 YD FEL/REL/SL Plastic"/>
    <d v="2019-12-09T00:00:00"/>
    <d v="2019-12-09T00:00:00"/>
    <s v="2112-19-0019-1"/>
    <n v="700"/>
    <n v="14050"/>
    <n v="9340"/>
    <n v="14056"/>
    <n v="4892.3999999999996"/>
    <n v="4447.6000000000004"/>
    <n v="778.34"/>
    <n v="54260"/>
    <n v="111.19"/>
    <s v="P"/>
    <m/>
    <n v="65627573"/>
    <m/>
    <s v="Internal"/>
    <s v="A"/>
    <s v="SL"/>
    <m/>
    <s v="WCNX"/>
    <n v="0"/>
    <n v="0"/>
    <m/>
    <x v="15"/>
    <n v="12"/>
    <n v="2019"/>
    <n v="2026"/>
    <n v="2027"/>
    <n v="111.19047619047619"/>
    <n v="1334.2857142857142"/>
    <n v="1334.2857142857142"/>
    <n v="3558.0952380953395"/>
    <n v="4892.3809523810542"/>
    <x v="129"/>
    <x v="1"/>
  </r>
  <r>
    <n v="2112"/>
    <n v="225891"/>
    <x v="0"/>
    <x v="172"/>
    <n v="624"/>
    <m/>
    <m/>
    <n v="0"/>
    <s v="TOTER LLC"/>
    <m/>
    <s v="Non-Container Audit"/>
    <d v="2019-08-05T00:00:00"/>
    <d v="2019-08-05T00:00:00"/>
    <s v="2112-19-0006-1"/>
    <n v="700"/>
    <n v="14050"/>
    <n v="31346.080000000002"/>
    <n v="14056"/>
    <n v="17912.04"/>
    <n v="13434.04"/>
    <n v="2612.17"/>
    <n v="54260"/>
    <n v="373.16"/>
    <s v="P"/>
    <m/>
    <n v="65610701"/>
    <m/>
    <s v="Internal"/>
    <s v="A"/>
    <s v="SL"/>
    <m/>
    <s v="WCNX"/>
    <n v="0"/>
    <n v="0"/>
    <m/>
    <x v="15"/>
    <n v="8"/>
    <n v="2019"/>
    <n v="2026"/>
    <n v="2026.6666666666667"/>
    <n v="373.1676190476191"/>
    <n v="4478.011428571429"/>
    <n v="4478.011428571429"/>
    <n v="13434.034285714286"/>
    <n v="17912.045714285716"/>
    <x v="130"/>
    <x v="1"/>
  </r>
  <r>
    <n v="2112"/>
    <n v="224643"/>
    <x v="0"/>
    <x v="173"/>
    <n v="2"/>
    <m/>
    <m/>
    <n v="0"/>
    <s v="ENTERPRISE SALES INC"/>
    <m/>
    <s v="50 YD RO Box"/>
    <d v="2019-11-08T00:00:00"/>
    <d v="2019-11-08T00:00:00"/>
    <s v="2112-19-0018-1"/>
    <n v="1200"/>
    <n v="14050"/>
    <n v="20239.59"/>
    <n v="14056"/>
    <n v="6324.87"/>
    <n v="13914.720000000001"/>
    <n v="983.87"/>
    <n v="54260"/>
    <n v="140.55000000000001"/>
    <s v="P"/>
    <m/>
    <n v="8631"/>
    <m/>
    <s v="Internal"/>
    <s v="A"/>
    <s v="SL"/>
    <m/>
    <s v="WCNX"/>
    <n v="0"/>
    <n v="0"/>
    <m/>
    <x v="15"/>
    <n v="11"/>
    <n v="2019"/>
    <n v="2031"/>
    <n v="2031.9166666666667"/>
    <n v="140.55270833333333"/>
    <n v="1686.6324999999999"/>
    <n v="1686.6324999999999"/>
    <n v="4638.239375000001"/>
    <n v="6324.8718750000007"/>
    <x v="131"/>
    <x v="1"/>
  </r>
  <r>
    <n v="2112"/>
    <n v="223825"/>
    <x v="0"/>
    <x v="174"/>
    <m/>
    <s v="3BPDLK0X8LF107319"/>
    <s v="C59410S"/>
    <n v="2020"/>
    <s v="Peterbilt 520"/>
    <s v="Labrie"/>
    <s v="Automated Sideload"/>
    <d v="2019-11-01T00:00:00"/>
    <d v="2019-11-01T00:00:00"/>
    <s v="2112-19-0008"/>
    <n v="1000"/>
    <n v="14040"/>
    <n v="378973.1"/>
    <n v="14046"/>
    <n v="142114.91"/>
    <n v="236858.18999999997"/>
    <n v="22106.76"/>
    <n v="51260"/>
    <n v="3158.1"/>
    <s v="P"/>
    <m/>
    <m/>
    <n v="892"/>
    <s v="Internal"/>
    <s v="A"/>
    <s v="SL"/>
    <m/>
    <s v="WCNX"/>
    <n v="0"/>
    <n v="0"/>
    <m/>
    <x v="15"/>
    <n v="11"/>
    <n v="2019"/>
    <n v="2029"/>
    <n v="2029.9166666666667"/>
    <n v="3158.1091666666666"/>
    <n v="37897.31"/>
    <n v="37897.31"/>
    <n v="104217.60249999998"/>
    <n v="142114.91249999998"/>
    <x v="132"/>
    <x v="1"/>
  </r>
  <r>
    <n v="2112"/>
    <n v="222833"/>
    <x v="21"/>
    <x v="175"/>
    <m/>
    <m/>
    <m/>
    <n v="0"/>
    <s v="SOLID WASTE SYSTEMS"/>
    <m/>
    <s v="Non-Rolling Stock"/>
    <d v="2019-09-16T00:00:00"/>
    <d v="2019-09-16T00:00:00"/>
    <s v="2112-19-0009-1"/>
    <n v="1000"/>
    <n v="14040"/>
    <n v="144864.10999999999"/>
    <n v="14046"/>
    <n v="55531.24"/>
    <n v="89332.87"/>
    <n v="8450.41"/>
    <n v="51260"/>
    <n v="1207.2"/>
    <s v="P"/>
    <m/>
    <n v="4103211"/>
    <m/>
    <s v="Internal"/>
    <s v="A"/>
    <s v="SL"/>
    <m/>
    <s v="WCNX"/>
    <n v="0"/>
    <n v="0"/>
    <m/>
    <x v="15"/>
    <n v="9"/>
    <n v="2019"/>
    <n v="2029"/>
    <n v="2029.75"/>
    <n v="1207.2009166666664"/>
    <n v="14486.410999999996"/>
    <n v="14486.410999999996"/>
    <n v="42252.03208333443"/>
    <n v="56738.443083334423"/>
    <x v="133"/>
    <x v="1"/>
  </r>
  <r>
    <n v="2112"/>
    <n v="222832"/>
    <x v="22"/>
    <x v="175"/>
    <m/>
    <m/>
    <m/>
    <n v="0"/>
    <s v="SOLID WASTE SYSTEMS"/>
    <m/>
    <s v="Non-Rolling Stock"/>
    <d v="2019-09-16T00:00:00"/>
    <d v="2019-09-16T00:00:00"/>
    <s v="2112-19-0002-1"/>
    <n v="1000"/>
    <n v="14040"/>
    <n v="144864.10999999999"/>
    <n v="14046"/>
    <n v="55531.24"/>
    <n v="89332.87"/>
    <n v="8450.41"/>
    <n v="51260"/>
    <n v="1207.2"/>
    <s v="P"/>
    <m/>
    <n v="4103210"/>
    <m/>
    <s v="Internal"/>
    <s v="A"/>
    <s v="SL"/>
    <m/>
    <s v="WCNX"/>
    <n v="0"/>
    <n v="0"/>
    <m/>
    <x v="15"/>
    <n v="9"/>
    <n v="2019"/>
    <n v="2029"/>
    <n v="2029.75"/>
    <n v="1207.2009166666664"/>
    <n v="14486.410999999996"/>
    <n v="14486.410999999996"/>
    <n v="42252.03208333443"/>
    <n v="56738.443083334423"/>
    <x v="133"/>
    <x v="1"/>
  </r>
  <r>
    <n v="2112"/>
    <n v="221747"/>
    <x v="0"/>
    <x v="153"/>
    <m/>
    <s v="3BPDLK0X6LF107318"/>
    <s v="C59409S"/>
    <n v="2020"/>
    <s v="Peterbilt 520"/>
    <s v="Labrie"/>
    <s v="Automated Sideload"/>
    <d v="2019-09-23T00:00:00"/>
    <d v="2019-09-23T00:00:00"/>
    <s v="2112-19-0001"/>
    <n v="1000"/>
    <n v="14040"/>
    <n v="378973.1"/>
    <n v="14046"/>
    <n v="145273.01999999999"/>
    <n v="233700.08"/>
    <n v="22106.76"/>
    <n v="51260"/>
    <n v="3158.1"/>
    <s v="P"/>
    <m/>
    <m/>
    <n v="891"/>
    <s v="Internal"/>
    <s v="A"/>
    <s v="SL"/>
    <m/>
    <s v="WCNX"/>
    <n v="0"/>
    <n v="0"/>
    <m/>
    <x v="15"/>
    <n v="9"/>
    <n v="2019"/>
    <n v="2029"/>
    <n v="2029.75"/>
    <n v="3158.1091666666666"/>
    <n v="37897.31"/>
    <n v="37897.31"/>
    <n v="110533.82083333621"/>
    <n v="148431.13083333621"/>
    <x v="134"/>
    <x v="1"/>
  </r>
  <r>
    <n v="2112"/>
    <n v="221735"/>
    <x v="23"/>
    <x v="176"/>
    <m/>
    <m/>
    <m/>
    <n v="0"/>
    <s v="SITTS &amp; HILL ENGINEERS IN"/>
    <m/>
    <m/>
    <d v="2019-08-31T00:00:00"/>
    <d v="2019-08-31T00:00:00"/>
    <s v="2112-19-0007-1"/>
    <n v="1000"/>
    <n v="14090"/>
    <n v="820.81"/>
    <n v="14096"/>
    <n v="321.48"/>
    <n v="499.32999999999993"/>
    <n v="47.88"/>
    <n v="57260"/>
    <n v="6.84"/>
    <s v="P"/>
    <m/>
    <s v="17789-14"/>
    <m/>
    <s v="Internal"/>
    <s v="A"/>
    <s v="SL"/>
    <m/>
    <s v="WCNX"/>
    <n v="0"/>
    <n v="0"/>
    <m/>
    <x v="15"/>
    <n v="8"/>
    <n v="2019"/>
    <n v="2029"/>
    <n v="2029.6666666666667"/>
    <n v="6.8400833333333324"/>
    <n v="82.080999999999989"/>
    <n v="82.080999999999989"/>
    <n v="246.24300000000005"/>
    <n v="328.32400000000007"/>
    <x v="135"/>
    <x v="1"/>
  </r>
  <r>
    <n v="2112"/>
    <n v="221106"/>
    <x v="23"/>
    <x v="177"/>
    <m/>
    <m/>
    <m/>
    <n v="0"/>
    <s v="SITTS &amp; HILL ENGINEERS IN"/>
    <m/>
    <m/>
    <d v="2019-10-10T00:00:00"/>
    <d v="2019-10-10T00:00:00"/>
    <s v="2112-19-0007-1"/>
    <n v="1000"/>
    <n v="14090"/>
    <n v="3102.1"/>
    <n v="14096"/>
    <n v="1189.1400000000001"/>
    <n v="1912.9599999999998"/>
    <n v="180.96"/>
    <n v="57260"/>
    <n v="25.85"/>
    <s v="P"/>
    <m/>
    <s v="17789-13"/>
    <m/>
    <s v="Internal"/>
    <s v="A"/>
    <s v="SL"/>
    <m/>
    <s v="WCNX"/>
    <n v="0"/>
    <n v="0"/>
    <m/>
    <x v="15"/>
    <n v="10"/>
    <n v="2019"/>
    <n v="2029"/>
    <n v="2029.8333333333333"/>
    <n v="25.85083333333333"/>
    <n v="310.20999999999998"/>
    <n v="310.20999999999998"/>
    <n v="878.92833333338058"/>
    <n v="1189.1383333333806"/>
    <x v="136"/>
    <x v="1"/>
  </r>
  <r>
    <n v="2112"/>
    <n v="220970"/>
    <x v="23"/>
    <x v="178"/>
    <m/>
    <m/>
    <m/>
    <n v="0"/>
    <s v="Stits &amp; Hill"/>
    <m/>
    <m/>
    <d v="2019-08-31T00:00:00"/>
    <d v="2019-08-31T00:00:00"/>
    <s v="2112-19-0007-1"/>
    <n v="1000"/>
    <n v="14090"/>
    <n v="-2588.4"/>
    <n v="14096"/>
    <n v="-1013.79"/>
    <n v="-1574.6100000000001"/>
    <n v="-150.99"/>
    <n v="57260"/>
    <n v="-21.57"/>
    <s v="P"/>
    <m/>
    <s v="PUD Refund"/>
    <m/>
    <s v="Internal"/>
    <s v="A"/>
    <s v="SL"/>
    <m/>
    <s v="WCNX"/>
    <n v="0"/>
    <n v="0"/>
    <m/>
    <x v="15"/>
    <n v="8"/>
    <n v="2019"/>
    <n v="2029"/>
    <n v="2029.6666666666667"/>
    <n v="-21.570000000000004"/>
    <n v="-258.84000000000003"/>
    <n v="-258.84000000000003"/>
    <n v="-776.51999999999975"/>
    <n v="-1035.3599999999997"/>
    <x v="137"/>
    <x v="1"/>
  </r>
  <r>
    <n v="2112"/>
    <n v="220969"/>
    <x v="23"/>
    <x v="179"/>
    <m/>
    <m/>
    <m/>
    <n v="0"/>
    <s v="PUD Clallam County"/>
    <m/>
    <m/>
    <d v="2019-08-31T00:00:00"/>
    <d v="2019-08-31T00:00:00"/>
    <s v="2112-19-0007-1"/>
    <n v="1000"/>
    <n v="14090"/>
    <n v="-1626.33"/>
    <n v="14096"/>
    <n v="-636.97"/>
    <n v="-989.3599999999999"/>
    <n v="-94.87"/>
    <n v="57260"/>
    <n v="-13.55"/>
    <s v="P"/>
    <m/>
    <s v="082019Murrays"/>
    <m/>
    <s v="Internal"/>
    <s v="A"/>
    <s v="SL"/>
    <m/>
    <s v="WCNX"/>
    <n v="0"/>
    <n v="0"/>
    <m/>
    <x v="15"/>
    <n v="8"/>
    <n v="2019"/>
    <n v="2029"/>
    <n v="2029.6666666666667"/>
    <n v="-13.552749999999998"/>
    <n v="-162.63299999999998"/>
    <n v="-162.63299999999998"/>
    <n v="-487.89900000000011"/>
    <n v="-650.53200000000015"/>
    <x v="138"/>
    <x v="1"/>
  </r>
  <r>
    <n v="2112"/>
    <n v="219749"/>
    <x v="0"/>
    <x v="180"/>
    <m/>
    <s v="3BPDLK0XXLF107421"/>
    <s v="C59362S"/>
    <n v="2020"/>
    <s v="Peterbilt 520"/>
    <s v="Labrie"/>
    <s v="FEL Truck"/>
    <d v="2019-09-16T00:00:00"/>
    <d v="2019-09-16T00:00:00"/>
    <s v="2112-19-0009"/>
    <n v="1000"/>
    <n v="14040"/>
    <n v="185828.24"/>
    <n v="14046"/>
    <n v="71234.149999999994"/>
    <n v="114594.09"/>
    <n v="10839.98"/>
    <n v="51260"/>
    <n v="1548.57"/>
    <s v="P"/>
    <m/>
    <m/>
    <n v="994"/>
    <s v="Internal"/>
    <s v="A"/>
    <s v="SL"/>
    <m/>
    <s v="WCNX"/>
    <n v="0"/>
    <n v="0"/>
    <m/>
    <x v="15"/>
    <n v="9"/>
    <n v="2019"/>
    <n v="2029"/>
    <n v="2029.75"/>
    <n v="1548.5686666666668"/>
    <n v="18582.824000000001"/>
    <n v="18582.824000000001"/>
    <n v="54199.903333334718"/>
    <n v="72782.727333334711"/>
    <x v="139"/>
    <x v="1"/>
  </r>
  <r>
    <n v="2112"/>
    <n v="219748"/>
    <x v="0"/>
    <x v="180"/>
    <m/>
    <s v="3BPDLK0X8LF107420"/>
    <s v="C59361S"/>
    <n v="2020"/>
    <s v="Peterbilt 520"/>
    <s v="Labrie"/>
    <s v="FEL Truck"/>
    <d v="2019-09-16T00:00:00"/>
    <d v="2019-09-16T00:00:00"/>
    <s v="2112-19-0002"/>
    <n v="1000"/>
    <n v="14040"/>
    <n v="185828.24"/>
    <n v="14046"/>
    <n v="71234.149999999994"/>
    <n v="114594.09"/>
    <n v="10839.98"/>
    <n v="51260"/>
    <n v="1548.57"/>
    <s v="P"/>
    <m/>
    <m/>
    <n v="993"/>
    <s v="Internal"/>
    <s v="A"/>
    <s v="SL"/>
    <m/>
    <s v="WCNX"/>
    <n v="0"/>
    <n v="0"/>
    <m/>
    <x v="15"/>
    <n v="9"/>
    <n v="2019"/>
    <n v="2029"/>
    <n v="2029.75"/>
    <n v="1548.5686666666668"/>
    <n v="18582.824000000001"/>
    <n v="18582.824000000001"/>
    <n v="54199.903333334718"/>
    <n v="72782.727333334711"/>
    <x v="139"/>
    <x v="1"/>
  </r>
  <r>
    <n v="2112"/>
    <n v="218617"/>
    <x v="0"/>
    <x v="181"/>
    <m/>
    <m/>
    <m/>
    <n v="0"/>
    <m/>
    <m/>
    <m/>
    <d v="2019-08-31T00:00:00"/>
    <d v="2019-08-31T00:00:00"/>
    <s v="2112-19-0017-1"/>
    <n v="300"/>
    <n v="14110"/>
    <n v="23188.7"/>
    <n v="14116"/>
    <n v="23188.7"/>
    <n v="0"/>
    <n v="0"/>
    <n v="70260"/>
    <n v="0"/>
    <s v="P"/>
    <m/>
    <m/>
    <m/>
    <s v="Internal"/>
    <s v="A"/>
    <s v="SL"/>
    <m/>
    <s v="WCNX"/>
    <n v="0"/>
    <n v="0"/>
    <m/>
    <x v="15"/>
    <n v="8"/>
    <n v="2019"/>
    <n v="2022"/>
    <n v="2022.6666666666667"/>
    <n v="644.13055555555559"/>
    <n v="7729.5666666666675"/>
    <n v="0"/>
    <n v="23188.7"/>
    <n v="23188.7"/>
    <x v="1"/>
    <x v="1"/>
  </r>
  <r>
    <n v="2112"/>
    <n v="218616"/>
    <x v="0"/>
    <x v="182"/>
    <m/>
    <m/>
    <m/>
    <n v="0"/>
    <m/>
    <m/>
    <m/>
    <d v="2019-08-31T00:00:00"/>
    <d v="2019-08-31T00:00:00"/>
    <s v="2112-19-0016-1"/>
    <n v="1000"/>
    <n v="14100"/>
    <n v="19784.97"/>
    <n v="14106"/>
    <n v="7749.13"/>
    <n v="12035.84"/>
    <n v="1154.1300000000001"/>
    <n v="70260"/>
    <n v="164.88"/>
    <s v="P"/>
    <m/>
    <m/>
    <m/>
    <s v="Internal"/>
    <s v="A"/>
    <s v="SL"/>
    <m/>
    <s v="WCNX"/>
    <n v="0"/>
    <n v="0"/>
    <m/>
    <x v="15"/>
    <n v="8"/>
    <n v="2019"/>
    <n v="2029"/>
    <n v="2029.6666666666667"/>
    <n v="164.87475000000001"/>
    <n v="1978.4970000000001"/>
    <n v="1978.4970000000001"/>
    <n v="5935.491"/>
    <n v="7913.9880000000003"/>
    <x v="140"/>
    <x v="1"/>
  </r>
  <r>
    <n v="2112"/>
    <n v="218615"/>
    <x v="0"/>
    <x v="183"/>
    <m/>
    <m/>
    <m/>
    <n v="0"/>
    <m/>
    <m/>
    <m/>
    <d v="2019-08-31T00:00:00"/>
    <d v="2019-08-31T00:00:00"/>
    <s v="2112-19-0007-1"/>
    <n v="1000"/>
    <n v="14090"/>
    <n v="1971280.37"/>
    <n v="14096"/>
    <n v="772084.83"/>
    <n v="1199195.54"/>
    <n v="114991.36"/>
    <n v="57260"/>
    <n v="16427.34"/>
    <s v="P"/>
    <m/>
    <m/>
    <m/>
    <s v="Internal"/>
    <s v="A"/>
    <s v="SL"/>
    <m/>
    <s v="WCNX"/>
    <n v="0"/>
    <n v="0"/>
    <m/>
    <x v="15"/>
    <n v="8"/>
    <n v="2019"/>
    <n v="2029"/>
    <n v="2029.6666666666667"/>
    <n v="16427.336416666669"/>
    <n v="197128.03700000001"/>
    <n v="197128.03700000001"/>
    <n v="591384.11100000003"/>
    <n v="788512.14800000004"/>
    <x v="141"/>
    <x v="1"/>
  </r>
  <r>
    <n v="2112"/>
    <n v="218614"/>
    <x v="0"/>
    <x v="184"/>
    <m/>
    <m/>
    <m/>
    <n v="0"/>
    <m/>
    <m/>
    <m/>
    <d v="2019-08-31T00:00:00"/>
    <d v="2019-08-31T00:00:00"/>
    <s v="2112-18-0007-1"/>
    <n v="1000"/>
    <n v="14090"/>
    <n v="456068.78"/>
    <n v="14096"/>
    <n v="178626.94"/>
    <n v="277441.84000000003"/>
    <n v="26604.01"/>
    <n v="57260"/>
    <n v="3800.57"/>
    <s v="P"/>
    <m/>
    <m/>
    <m/>
    <s v="Internal"/>
    <s v="A"/>
    <s v="SL"/>
    <m/>
    <s v="WCNX"/>
    <n v="0"/>
    <n v="0"/>
    <m/>
    <x v="15"/>
    <n v="8"/>
    <n v="2019"/>
    <n v="2029"/>
    <n v="2029.6666666666667"/>
    <n v="3800.573166666667"/>
    <n v="45606.878000000004"/>
    <n v="45606.878000000004"/>
    <n v="136820.63400000002"/>
    <n v="182427.51200000002"/>
    <x v="142"/>
    <x v="1"/>
  </r>
  <r>
    <n v="2112"/>
    <n v="217462"/>
    <x v="0"/>
    <x v="185"/>
    <m/>
    <s v="1NPCX4EX8KD628012"/>
    <s v="C59360S"/>
    <n v="2019"/>
    <s v="Peterbilt 567"/>
    <s v="AA Welding"/>
    <s v="R/O Truck"/>
    <d v="2019-06-30T00:00:00"/>
    <d v="2019-06-30T00:00:00"/>
    <s v="2112-19-0003-1"/>
    <n v="1000"/>
    <n v="14040"/>
    <n v="245096.07"/>
    <n v="14046"/>
    <n v="100080.9"/>
    <n v="145015.17000000001"/>
    <n v="14297.27"/>
    <n v="51260"/>
    <n v="2042.46"/>
    <s v="P"/>
    <m/>
    <m/>
    <n v="445"/>
    <s v="Internal"/>
    <s v="A"/>
    <s v="SL"/>
    <m/>
    <s v="WCNX"/>
    <n v="0"/>
    <n v="0"/>
    <m/>
    <x v="15"/>
    <n v="6"/>
    <n v="2019"/>
    <n v="2029"/>
    <n v="2029.5"/>
    <n v="2042.4672499999999"/>
    <n v="24509.607"/>
    <n v="24509.607"/>
    <n v="77613.755500001862"/>
    <n v="102123.36250000187"/>
    <x v="143"/>
    <x v="1"/>
  </r>
  <r>
    <n v="2112"/>
    <n v="216316"/>
    <x v="0"/>
    <x v="186"/>
    <n v="4"/>
    <m/>
    <m/>
    <n v="0"/>
    <s v="RULE STEEL TANKS INC"/>
    <m/>
    <s v="30 YD RO Box"/>
    <d v="2019-06-14T00:00:00"/>
    <d v="2019-06-14T00:00:00"/>
    <s v="2112-19-0012-2"/>
    <n v="1200"/>
    <n v="14050"/>
    <n v="30976"/>
    <n v="14056"/>
    <n v="10755.55"/>
    <n v="20220.45"/>
    <n v="1505.78"/>
    <n v="54260"/>
    <n v="215.11"/>
    <s v="P"/>
    <m/>
    <s v="0036135-IN"/>
    <m/>
    <s v="Internal"/>
    <s v="A"/>
    <s v="SL"/>
    <m/>
    <s v="WCNX"/>
    <n v="0"/>
    <n v="0"/>
    <m/>
    <x v="15"/>
    <n v="6"/>
    <n v="2019"/>
    <n v="2031"/>
    <n v="2031.5"/>
    <n v="215.11111111111111"/>
    <n v="2581.3333333333335"/>
    <n v="2581.3333333333335"/>
    <n v="8174.2222222224191"/>
    <n v="10755.555555555753"/>
    <x v="144"/>
    <x v="1"/>
  </r>
  <r>
    <n v="2112"/>
    <n v="216315"/>
    <x v="0"/>
    <x v="187"/>
    <n v="4"/>
    <m/>
    <m/>
    <n v="0"/>
    <s v="RULE STEEL TANKS INC"/>
    <m/>
    <s v="20 YD RO Box"/>
    <d v="2019-06-14T00:00:00"/>
    <d v="2019-06-14T00:00:00"/>
    <s v="2112-19-0012-1"/>
    <n v="1200"/>
    <n v="14050"/>
    <n v="27936"/>
    <n v="14056"/>
    <n v="9700"/>
    <n v="18236"/>
    <n v="1358"/>
    <n v="54260"/>
    <n v="194"/>
    <s v="P"/>
    <m/>
    <s v="0036135-IN"/>
    <m/>
    <s v="Internal"/>
    <s v="A"/>
    <s v="SL"/>
    <m/>
    <s v="WCNX"/>
    <n v="0"/>
    <n v="0"/>
    <m/>
    <x v="15"/>
    <n v="6"/>
    <n v="2019"/>
    <n v="2031"/>
    <n v="2031.5"/>
    <n v="194"/>
    <n v="2328"/>
    <n v="2328"/>
    <n v="7372.0000000001746"/>
    <n v="9700.0000000001746"/>
    <x v="145"/>
    <x v="1"/>
  </r>
  <r>
    <n v="2112"/>
    <n v="215133"/>
    <x v="0"/>
    <x v="188"/>
    <n v="980"/>
    <m/>
    <m/>
    <n v="0"/>
    <s v="THUNDERBIRD PLASTICS LTD"/>
    <m/>
    <m/>
    <d v="2019-05-29T00:00:00"/>
    <d v="2019-05-29T00:00:00"/>
    <s v="2112-19-0015-1"/>
    <n v="700"/>
    <n v="14050"/>
    <n v="8772.23"/>
    <n v="14056"/>
    <n v="5221.58"/>
    <n v="3550.6499999999996"/>
    <n v="731.02"/>
    <n v="54260"/>
    <n v="104.43"/>
    <s v="P"/>
    <m/>
    <n v="29776"/>
    <m/>
    <s v="Internal"/>
    <s v="A"/>
    <s v="SL"/>
    <m/>
    <s v="WCNX"/>
    <n v="0"/>
    <n v="0"/>
    <m/>
    <x v="15"/>
    <n v="5"/>
    <n v="2019"/>
    <n v="2026"/>
    <n v="2026.4166666666667"/>
    <n v="104.43130952380953"/>
    <n v="1253.1757142857143"/>
    <n v="1253.1757142857143"/>
    <n v="4072.8210714285706"/>
    <n v="5325.9967857142847"/>
    <x v="146"/>
    <x v="1"/>
  </r>
  <r>
    <n v="2112"/>
    <n v="212890"/>
    <x v="0"/>
    <x v="189"/>
    <m/>
    <m/>
    <m/>
    <n v="0"/>
    <s v="CDW"/>
    <m/>
    <m/>
    <d v="2019-04-30T00:00:00"/>
    <d v="2019-04-30T00:00:00"/>
    <s v="2112-19-0014-1"/>
    <n v="300"/>
    <n v="14110"/>
    <n v="1728.93"/>
    <n v="14116"/>
    <n v="1728.93"/>
    <n v="0"/>
    <n v="0"/>
    <n v="70260"/>
    <n v="0"/>
    <s v="P"/>
    <m/>
    <s v="RVQ5769"/>
    <m/>
    <s v="Internal"/>
    <s v="A"/>
    <s v="SL"/>
    <m/>
    <s v="WCNX"/>
    <n v="0"/>
    <n v="0"/>
    <m/>
    <x v="15"/>
    <n v="4"/>
    <n v="2019"/>
    <n v="2022"/>
    <n v="2022.3333333333333"/>
    <n v="48.025833333333338"/>
    <n v="576.31000000000006"/>
    <n v="0"/>
    <n v="1728.93"/>
    <n v="1728.93"/>
    <x v="1"/>
    <x v="1"/>
  </r>
  <r>
    <n v="2112"/>
    <n v="212681"/>
    <x v="0"/>
    <x v="190"/>
    <n v="588"/>
    <m/>
    <m/>
    <n v="0"/>
    <s v="TOTER LLC"/>
    <m/>
    <m/>
    <d v="2019-04-26T00:00:00"/>
    <d v="2019-04-26T00:00:00"/>
    <s v="2112-19-0013-2"/>
    <n v="700"/>
    <n v="14050"/>
    <n v="24978"/>
    <n v="14056"/>
    <n v="15165.23"/>
    <n v="9812.77"/>
    <n v="2081.5"/>
    <n v="54260"/>
    <n v="297.35000000000002"/>
    <s v="P"/>
    <m/>
    <n v="65589196"/>
    <m/>
    <s v="Internal"/>
    <s v="A"/>
    <s v="SL"/>
    <m/>
    <s v="WCNX"/>
    <n v="0"/>
    <n v="0"/>
    <m/>
    <x v="15"/>
    <n v="4"/>
    <n v="2019"/>
    <n v="2026"/>
    <n v="2026.3333333333333"/>
    <n v="297.35714285714283"/>
    <n v="3568.2857142857138"/>
    <n v="3568.2857142857138"/>
    <n v="11894.285714286256"/>
    <n v="15462.57142857197"/>
    <x v="147"/>
    <x v="1"/>
  </r>
  <r>
    <n v="2112"/>
    <n v="212680"/>
    <x v="0"/>
    <x v="191"/>
    <n v="300"/>
    <m/>
    <m/>
    <n v="0"/>
    <s v="TOTER LLC"/>
    <m/>
    <m/>
    <d v="2019-04-26T00:00:00"/>
    <d v="2019-04-26T00:00:00"/>
    <s v="2112-19-0013-1"/>
    <n v="700"/>
    <n v="14050"/>
    <n v="11165.88"/>
    <n v="14056"/>
    <n v="6779.3"/>
    <n v="4386.579999999999"/>
    <n v="930.49"/>
    <n v="54260"/>
    <n v="132.91999999999999"/>
    <s v="P"/>
    <m/>
    <n v="65589196"/>
    <m/>
    <s v="Internal"/>
    <s v="A"/>
    <s v="SL"/>
    <m/>
    <s v="WCNX"/>
    <n v="0"/>
    <n v="0"/>
    <m/>
    <x v="15"/>
    <n v="4"/>
    <n v="2019"/>
    <n v="2026"/>
    <n v="2026.3333333333333"/>
    <n v="132.92714285714285"/>
    <n v="1595.1257142857144"/>
    <n v="1595.1257142857144"/>
    <n v="5317.085714285955"/>
    <n v="6912.2114285716689"/>
    <x v="148"/>
    <x v="1"/>
  </r>
  <r>
    <n v="2112"/>
    <n v="212679"/>
    <x v="0"/>
    <x v="192"/>
    <n v="7"/>
    <m/>
    <m/>
    <n v="0"/>
    <s v="RULE STEEL TANKS INC"/>
    <m/>
    <s v="6 YD FEL/REL/SL Metal"/>
    <d v="2019-04-26T00:00:00"/>
    <d v="2019-04-26T00:00:00"/>
    <s v="2112-19-0011-7"/>
    <n v="1200"/>
    <n v="14050"/>
    <n v="6443.18"/>
    <n v="14056"/>
    <n v="2281.92"/>
    <n v="4161.26"/>
    <n v="313.20999999999998"/>
    <n v="54260"/>
    <n v="44.74"/>
    <s v="P"/>
    <m/>
    <s v="0036034-IN"/>
    <m/>
    <s v="Internal"/>
    <s v="A"/>
    <s v="SL"/>
    <m/>
    <s v="WCNX"/>
    <n v="0"/>
    <n v="0"/>
    <m/>
    <x v="15"/>
    <n v="4"/>
    <n v="2019"/>
    <n v="2031"/>
    <n v="2031.3333333333333"/>
    <n v="44.744305555555563"/>
    <n v="536.93166666666673"/>
    <n v="536.93166666666673"/>
    <n v="1789.7722222223028"/>
    <n v="2326.7038888889697"/>
    <x v="149"/>
    <x v="1"/>
  </r>
  <r>
    <n v="2112"/>
    <n v="212678"/>
    <x v="0"/>
    <x v="193"/>
    <n v="15"/>
    <m/>
    <m/>
    <n v="0"/>
    <s v="RULE STEEL TANKS INC"/>
    <m/>
    <s v="4 YD FEL/REL/SL Metal"/>
    <d v="2019-04-26T00:00:00"/>
    <d v="2019-04-26T00:00:00"/>
    <s v="2112-19-0011-6"/>
    <n v="1200"/>
    <n v="14050"/>
    <n v="11041.43"/>
    <n v="14056"/>
    <n v="3910.51"/>
    <n v="7130.92"/>
    <n v="536.74"/>
    <n v="54260"/>
    <n v="76.680000000000007"/>
    <s v="P"/>
    <m/>
    <s v="0036034-IN"/>
    <m/>
    <s v="Internal"/>
    <s v="A"/>
    <s v="SL"/>
    <m/>
    <s v="WCNX"/>
    <n v="0"/>
    <n v="0"/>
    <m/>
    <x v="15"/>
    <n v="4"/>
    <n v="2019"/>
    <n v="2031"/>
    <n v="2031.3333333333333"/>
    <n v="76.676597222222227"/>
    <n v="920.11916666666673"/>
    <n v="920.11916666666673"/>
    <n v="3067.063888889028"/>
    <n v="3987.1830555556949"/>
    <x v="150"/>
    <x v="1"/>
  </r>
  <r>
    <n v="2112"/>
    <n v="212677"/>
    <x v="0"/>
    <x v="194"/>
    <n v="15"/>
    <m/>
    <m/>
    <n v="0"/>
    <s v="RULE STEEL TANKS INC"/>
    <m/>
    <s v="3 YD FEL/REL/SL Metal"/>
    <d v="2019-04-26T00:00:00"/>
    <d v="2019-04-26T00:00:00"/>
    <s v="2112-19-0011-5"/>
    <n v="1200"/>
    <n v="14050"/>
    <n v="10162.58"/>
    <n v="14056"/>
    <n v="3599.24"/>
    <n v="6563.34"/>
    <n v="494.01"/>
    <n v="54260"/>
    <n v="70.569999999999993"/>
    <s v="P"/>
    <m/>
    <s v="0036034-IN"/>
    <m/>
    <s v="Internal"/>
    <s v="A"/>
    <s v="SL"/>
    <m/>
    <s v="WCNX"/>
    <n v="0"/>
    <n v="0"/>
    <m/>
    <x v="15"/>
    <n v="4"/>
    <n v="2019"/>
    <n v="2031"/>
    <n v="2031.3333333333333"/>
    <n v="70.573472222222222"/>
    <n v="846.88166666666666"/>
    <n v="846.88166666666666"/>
    <n v="2822.9388888890171"/>
    <n v="3669.8205555556838"/>
    <x v="151"/>
    <x v="1"/>
  </r>
  <r>
    <n v="2112"/>
    <n v="212676"/>
    <x v="0"/>
    <x v="195"/>
    <n v="15"/>
    <m/>
    <m/>
    <n v="0"/>
    <s v="RULE STEEL TANKS INC"/>
    <m/>
    <s v="2 YD FEL/REL/SL Metal"/>
    <d v="2019-04-26T00:00:00"/>
    <d v="2019-04-26T00:00:00"/>
    <s v="2112-19-0011-4"/>
    <n v="1200"/>
    <n v="14050"/>
    <n v="9153.5300000000007"/>
    <n v="14056"/>
    <n v="3241.9"/>
    <n v="5911.630000000001"/>
    <n v="444.97"/>
    <n v="54260"/>
    <n v="63.57"/>
    <s v="P"/>
    <m/>
    <s v="0036034-IN"/>
    <m/>
    <s v="Internal"/>
    <s v="A"/>
    <s v="SL"/>
    <m/>
    <s v="WCNX"/>
    <n v="0"/>
    <n v="0"/>
    <m/>
    <x v="15"/>
    <n v="4"/>
    <n v="2019"/>
    <n v="2031"/>
    <n v="2031.3333333333333"/>
    <n v="63.566180555555555"/>
    <n v="762.79416666666668"/>
    <n v="762.79416666666668"/>
    <n v="2542.6472222223383"/>
    <n v="3305.4413888890049"/>
    <x v="152"/>
    <x v="1"/>
  </r>
  <r>
    <n v="2112"/>
    <n v="212675"/>
    <x v="0"/>
    <x v="196"/>
    <n v="12"/>
    <m/>
    <m/>
    <n v="0"/>
    <s v="RULE STEEL TANKS INC"/>
    <m/>
    <s v="1 YD FEL/REL/SL Metal"/>
    <d v="2019-04-26T00:00:00"/>
    <d v="2019-04-26T00:00:00"/>
    <s v="2112-19-0011-3"/>
    <n v="1200"/>
    <n v="14050"/>
    <n v="6305.4"/>
    <n v="14056"/>
    <n v="2233.16"/>
    <n v="4072.24"/>
    <n v="306.51"/>
    <n v="54260"/>
    <n v="43.78"/>
    <s v="P"/>
    <m/>
    <s v="0036034-IN"/>
    <m/>
    <s v="Internal"/>
    <s v="A"/>
    <s v="SL"/>
    <m/>
    <s v="WCNX"/>
    <n v="0"/>
    <n v="0"/>
    <m/>
    <x v="15"/>
    <n v="4"/>
    <n v="2019"/>
    <n v="2031"/>
    <n v="2031.3333333333333"/>
    <n v="43.787499999999994"/>
    <n v="525.44999999999993"/>
    <n v="525.44999999999993"/>
    <n v="1751.50000000008"/>
    <n v="2276.9500000000799"/>
    <x v="153"/>
    <x v="1"/>
  </r>
  <r>
    <n v="2112"/>
    <n v="212674"/>
    <x v="0"/>
    <x v="197"/>
    <n v="10"/>
    <m/>
    <m/>
    <n v="0"/>
    <s v="RULE STEEL TANKS INC"/>
    <m/>
    <s v="2 YD FEL/REL/SL Metal"/>
    <d v="2019-04-26T00:00:00"/>
    <d v="2019-04-26T00:00:00"/>
    <s v="2112-19-0011-2"/>
    <n v="1200"/>
    <n v="14050"/>
    <n v="6348.8"/>
    <n v="14056"/>
    <n v="2248.54"/>
    <n v="4100.26"/>
    <n v="308.62"/>
    <n v="54260"/>
    <n v="44.08"/>
    <s v="P"/>
    <m/>
    <s v="0036034-IN"/>
    <m/>
    <s v="Internal"/>
    <s v="A"/>
    <s v="SL"/>
    <m/>
    <s v="WCNX"/>
    <n v="0"/>
    <n v="0"/>
    <m/>
    <x v="15"/>
    <n v="4"/>
    <n v="2019"/>
    <n v="2031"/>
    <n v="2031.3333333333333"/>
    <n v="44.088888888888896"/>
    <n v="529.06666666666672"/>
    <n v="529.06666666666672"/>
    <n v="1763.5555555556348"/>
    <n v="2292.6222222223014"/>
    <x v="154"/>
    <x v="1"/>
  </r>
  <r>
    <n v="2112"/>
    <n v="212673"/>
    <x v="0"/>
    <x v="198"/>
    <n v="15"/>
    <m/>
    <m/>
    <n v="0"/>
    <s v="RULE STEEL TANKS INC"/>
    <m/>
    <s v="1 YD FEL/REL/SL Metal"/>
    <d v="2019-04-26T00:00:00"/>
    <d v="2019-04-26T00:00:00"/>
    <s v="2112-19-0011-1"/>
    <n v="1200"/>
    <n v="14050"/>
    <n v="8030.55"/>
    <n v="14056"/>
    <n v="2844.14"/>
    <n v="5186.41"/>
    <n v="390.37"/>
    <n v="54260"/>
    <n v="55.76"/>
    <s v="P"/>
    <m/>
    <s v="0036034-IN"/>
    <m/>
    <s v="Internal"/>
    <s v="A"/>
    <s v="SL"/>
    <m/>
    <s v="WCNX"/>
    <n v="0"/>
    <n v="0"/>
    <m/>
    <x v="15"/>
    <n v="4"/>
    <n v="2019"/>
    <n v="2031"/>
    <n v="2031.3333333333333"/>
    <n v="55.767708333333331"/>
    <n v="669.21249999999998"/>
    <n v="669.21249999999998"/>
    <n v="2230.7083333334349"/>
    <n v="2899.920833333435"/>
    <x v="155"/>
    <x v="1"/>
  </r>
  <r>
    <n v="2112"/>
    <n v="210504"/>
    <x v="0"/>
    <x v="199"/>
    <n v="624"/>
    <m/>
    <m/>
    <n v="0"/>
    <s v="Wastequip Toter"/>
    <m/>
    <m/>
    <d v="2019-01-26T00:00:00"/>
    <d v="2019-01-26T00:00:00"/>
    <s v="2112-19-0010-1"/>
    <n v="700"/>
    <n v="14050"/>
    <n v="31533.31"/>
    <n v="14056"/>
    <n v="20271.419999999998"/>
    <n v="11261.890000000003"/>
    <n v="2627.78"/>
    <n v="54260"/>
    <n v="375.4"/>
    <s v="P"/>
    <m/>
    <n v="65574898"/>
    <m/>
    <s v="Internal"/>
    <s v="A"/>
    <s v="SL"/>
    <m/>
    <s v="WCNX"/>
    <n v="0"/>
    <n v="0"/>
    <m/>
    <x v="15"/>
    <n v="1"/>
    <n v="2019"/>
    <n v="2026"/>
    <n v="2026.0833333333333"/>
    <n v="375.39654761904762"/>
    <n v="4504.7585714285715"/>
    <n v="4504.7585714285715"/>
    <n v="16142.051547619732"/>
    <n v="20646.810119048303"/>
    <x v="156"/>
    <x v="1"/>
  </r>
  <r>
    <n v="2112"/>
    <n v="209508"/>
    <x v="0"/>
    <x v="200"/>
    <m/>
    <m/>
    <m/>
    <n v="0"/>
    <m/>
    <m/>
    <m/>
    <d v="2019-01-01T00:00:00"/>
    <d v="2019-01-01T00:00:00"/>
    <s v="2112-18-0038-1"/>
    <n v="500"/>
    <n v="14070"/>
    <n v="10778.78"/>
    <n v="14076"/>
    <n v="9880.57"/>
    <n v="898.21000000000095"/>
    <n v="1257.53"/>
    <n v="51260"/>
    <n v="179.65"/>
    <s v="P"/>
    <m/>
    <n v="2214"/>
    <m/>
    <s v="Internal"/>
    <s v="A"/>
    <s v="SL"/>
    <m/>
    <s v="WCNX"/>
    <n v="0"/>
    <n v="0"/>
    <m/>
    <x v="15"/>
    <n v="1"/>
    <n v="2019"/>
    <n v="2024"/>
    <n v="2024.0833333333333"/>
    <n v="179.64633333333336"/>
    <n v="2155.7560000000003"/>
    <n v="2155.7560000000003"/>
    <n v="7724.7923333336603"/>
    <n v="9880.5483333336597"/>
    <x v="157"/>
    <x v="1"/>
  </r>
  <r>
    <n v="2112"/>
    <n v="209507"/>
    <x v="0"/>
    <x v="201"/>
    <m/>
    <m/>
    <m/>
    <n v="0"/>
    <m/>
    <m/>
    <m/>
    <d v="2019-01-01T00:00:00"/>
    <d v="2019-01-01T00:00:00"/>
    <s v="2112-18-0035-1"/>
    <n v="500"/>
    <n v="14070"/>
    <n v="16244.62"/>
    <n v="14076"/>
    <n v="14890.89"/>
    <n v="1353.7300000000014"/>
    <n v="1895.21"/>
    <n v="51260"/>
    <n v="270.74"/>
    <s v="P"/>
    <m/>
    <n v="2214"/>
    <m/>
    <s v="Internal"/>
    <s v="A"/>
    <s v="SL"/>
    <m/>
    <s v="WCNX"/>
    <n v="0"/>
    <n v="0"/>
    <m/>
    <x v="15"/>
    <n v="1"/>
    <n v="2019"/>
    <n v="2024"/>
    <n v="2024.0833333333333"/>
    <n v="270.74366666666668"/>
    <n v="3248.924"/>
    <n v="3248.924"/>
    <n v="11641.977666667161"/>
    <n v="14890.90166666716"/>
    <x v="158"/>
    <x v="1"/>
  </r>
  <r>
    <n v="2112"/>
    <n v="207702"/>
    <x v="24"/>
    <x v="202"/>
    <m/>
    <m/>
    <m/>
    <n v="0"/>
    <s v="WA DOL LIC &amp; REG 39989"/>
    <m/>
    <s v="Non-Rolling Stock"/>
    <d v="2018-10-16T00:00:00"/>
    <d v="2018-10-16T00:00:00"/>
    <s v="2112-18-0001-1"/>
    <n v="1000"/>
    <n v="14040"/>
    <n v="973"/>
    <n v="14046"/>
    <n v="462.18"/>
    <n v="510.82"/>
    <n v="56.76"/>
    <n v="51260"/>
    <n v="8.11"/>
    <s v="P"/>
    <m/>
    <n v="71762"/>
    <m/>
    <s v="Internal"/>
    <s v="A"/>
    <s v="SL"/>
    <m/>
    <s v="WCNX"/>
    <n v="0"/>
    <n v="0"/>
    <m/>
    <x v="15"/>
    <n v="10"/>
    <n v="2018"/>
    <n v="2028"/>
    <n v="2028.8333333333333"/>
    <n v="8.1083333333333325"/>
    <n v="97.299999999999983"/>
    <n v="97.299999999999983"/>
    <n v="372.98333333334813"/>
    <n v="470.28333333334808"/>
    <x v="159"/>
    <x v="1"/>
  </r>
  <r>
    <n v="2112"/>
    <n v="207701"/>
    <x v="25"/>
    <x v="203"/>
    <m/>
    <m/>
    <m/>
    <n v="0"/>
    <s v="WA DOL LIC &amp; REG 39989"/>
    <m/>
    <s v="Non-Rolling Stock"/>
    <d v="2018-10-16T00:00:00"/>
    <d v="2018-10-16T00:00:00"/>
    <s v="2112-18-0002-1"/>
    <n v="1000"/>
    <n v="14040"/>
    <n v="973"/>
    <n v="14046"/>
    <n v="462.18"/>
    <n v="510.82"/>
    <n v="56.76"/>
    <n v="51260"/>
    <n v="8.11"/>
    <s v="P"/>
    <m/>
    <n v="71762"/>
    <m/>
    <s v="Internal"/>
    <s v="A"/>
    <s v="SL"/>
    <m/>
    <s v="WCNX"/>
    <n v="0"/>
    <n v="0"/>
    <m/>
    <x v="15"/>
    <n v="10"/>
    <n v="2018"/>
    <n v="2028"/>
    <n v="2028.8333333333333"/>
    <n v="8.1083333333333325"/>
    <n v="97.299999999999983"/>
    <n v="97.299999999999983"/>
    <n v="372.98333333334813"/>
    <n v="470.28333333334808"/>
    <x v="159"/>
    <x v="1"/>
  </r>
  <r>
    <n v="2112"/>
    <n v="206228"/>
    <x v="0"/>
    <x v="204"/>
    <m/>
    <m/>
    <m/>
    <n v="0"/>
    <s v="POWER EQUIP DIRECT"/>
    <m/>
    <m/>
    <d v="2018-11-30T00:00:00"/>
    <d v="2018-11-30T00:00:00"/>
    <s v="2112-18-0036-1"/>
    <n v="500"/>
    <n v="14070"/>
    <n v="4068.75"/>
    <n v="14076"/>
    <n v="3797.5"/>
    <n v="271.25"/>
    <n v="474.69"/>
    <n v="51260"/>
    <n v="67.81"/>
    <s v="P"/>
    <m/>
    <s v="PWD1987929"/>
    <m/>
    <s v="Internal"/>
    <s v="A"/>
    <s v="SL"/>
    <m/>
    <s v="WCNX"/>
    <n v="0"/>
    <n v="0"/>
    <m/>
    <x v="15"/>
    <n v="11"/>
    <n v="2018"/>
    <n v="2023"/>
    <n v="2023.9166666666667"/>
    <n v="67.8125"/>
    <n v="813.75"/>
    <n v="813.75"/>
    <n v="3051.5625"/>
    <n v="3865.3125"/>
    <x v="160"/>
    <x v="1"/>
  </r>
  <r>
    <n v="2112"/>
    <n v="204803"/>
    <x v="0"/>
    <x v="0"/>
    <n v="850"/>
    <m/>
    <m/>
    <n v="0"/>
    <s v="THUNDERBIRD PLASTICS LTD"/>
    <m/>
    <m/>
    <d v="2018-08-09T00:00:00"/>
    <d v="2018-08-09T00:00:00"/>
    <s v="2112-18-0032-1"/>
    <n v="500"/>
    <n v="14050"/>
    <n v="7590.12"/>
    <n v="14056"/>
    <n v="7590.12"/>
    <n v="0"/>
    <n v="885.53"/>
    <n v="54260"/>
    <n v="126.51"/>
    <s v="P"/>
    <m/>
    <n v="28798"/>
    <m/>
    <s v="Internal"/>
    <s v="A"/>
    <s v="SL"/>
    <m/>
    <s v="WCNX"/>
    <n v="0"/>
    <n v="0"/>
    <m/>
    <x v="15"/>
    <n v="8"/>
    <n v="2018"/>
    <n v="2023"/>
    <n v="2023.6666666666667"/>
    <n v="126.502"/>
    <n v="1518.0239999999999"/>
    <n v="1518.0239999999999"/>
    <n v="6072.0959999999995"/>
    <n v="7590.119999999999"/>
    <x v="1"/>
    <x v="1"/>
  </r>
  <r>
    <n v="2112"/>
    <n v="204562"/>
    <x v="26"/>
    <x v="205"/>
    <n v="0"/>
    <m/>
    <m/>
    <n v="0"/>
    <s v="D&amp;E Heavy Equipment Parts"/>
    <m/>
    <s v="Non-Rolling Stock"/>
    <d v="2011-07-20T00:00:00"/>
    <d v="2011-07-20T00:00:00"/>
    <s v="2113-11-0006-1"/>
    <n v="300"/>
    <n v="14030"/>
    <n v="12854.35"/>
    <n v="14036"/>
    <n v="12854.35"/>
    <n v="0"/>
    <n v="0"/>
    <n v="51260"/>
    <n v="0"/>
    <s v="P"/>
    <m/>
    <n v="2555"/>
    <m/>
    <s v="Internal"/>
    <s v="A"/>
    <s v="SL"/>
    <d v="2018-09-30T00:00:00"/>
    <s v="WCNX"/>
    <n v="0"/>
    <n v="12854.35"/>
    <m/>
    <x v="15"/>
    <n v="7"/>
    <n v="2011"/>
    <n v="2014"/>
    <n v="2014.5833333333333"/>
    <n v="357.06527777777779"/>
    <n v="4284.7833333333338"/>
    <n v="0"/>
    <n v="12854.35"/>
    <n v="12854.35"/>
    <x v="1"/>
    <x v="1"/>
  </r>
  <r>
    <n v="2112"/>
    <n v="204561"/>
    <x v="26"/>
    <x v="206"/>
    <n v="0"/>
    <m/>
    <m/>
    <n v="0"/>
    <s v="NC MACHINERY CO"/>
    <m/>
    <s v="Non-Rolling Stock"/>
    <d v="2011-07-20T00:00:00"/>
    <d v="2011-07-20T00:00:00"/>
    <s v="2113-11-0006-1"/>
    <n v="300"/>
    <n v="14030"/>
    <n v="4246.0200000000004"/>
    <n v="14036"/>
    <n v="4246.0200000000004"/>
    <n v="0"/>
    <n v="0"/>
    <n v="51260"/>
    <n v="0"/>
    <s v="P"/>
    <m/>
    <s v="PA12468"/>
    <m/>
    <s v="Internal"/>
    <s v="A"/>
    <s v="SL"/>
    <d v="2018-09-30T00:00:00"/>
    <s v="WCNX"/>
    <n v="0"/>
    <n v="4246.0200000000004"/>
    <m/>
    <x v="15"/>
    <n v="7"/>
    <n v="2011"/>
    <n v="2014"/>
    <n v="2014.5833333333333"/>
    <n v="117.94500000000001"/>
    <n v="1415.3400000000001"/>
    <n v="0"/>
    <n v="4246.0200000000004"/>
    <n v="4246.0200000000004"/>
    <x v="1"/>
    <x v="1"/>
  </r>
  <r>
    <n v="2112"/>
    <n v="204187"/>
    <x v="0"/>
    <x v="207"/>
    <m/>
    <s v="3BPDL70X7KF103953"/>
    <s v="C98588N"/>
    <n v="2019"/>
    <s v="PeterBilt 520"/>
    <s v="Labrie"/>
    <s v="Automated Sideload"/>
    <d v="2018-10-16T00:00:00"/>
    <d v="2018-10-16T00:00:00"/>
    <s v="2112-18-0002-1"/>
    <n v="1000"/>
    <n v="14040"/>
    <n v="345399.69"/>
    <n v="14046"/>
    <n v="164064.85999999999"/>
    <n v="181334.83000000002"/>
    <n v="20148.32"/>
    <n v="51260"/>
    <n v="2878.33"/>
    <s v="P"/>
    <m/>
    <n v="9934"/>
    <n v="890"/>
    <s v="Internal"/>
    <s v="A"/>
    <s v="SL"/>
    <m/>
    <s v="WCNX"/>
    <n v="0"/>
    <n v="0"/>
    <m/>
    <x v="15"/>
    <n v="10"/>
    <n v="2018"/>
    <n v="2028"/>
    <n v="2028.8333333333333"/>
    <n v="2878.3307499999996"/>
    <n v="34539.968999999997"/>
    <n v="34539.968999999997"/>
    <n v="132403.21450000527"/>
    <n v="166943.18350000528"/>
    <x v="161"/>
    <x v="1"/>
  </r>
  <r>
    <n v="2112"/>
    <n v="204184"/>
    <x v="0"/>
    <x v="207"/>
    <m/>
    <s v="3BPDL70X5KF103952"/>
    <s v="C98589N"/>
    <n v="2019"/>
    <s v="PeterBilt 520"/>
    <s v="Labrie"/>
    <s v="Automated Sideload"/>
    <d v="2018-10-16T00:00:00"/>
    <d v="2018-10-16T00:00:00"/>
    <s v="2112-18-0001-1"/>
    <n v="1000"/>
    <n v="14040"/>
    <n v="345399.69"/>
    <n v="14046"/>
    <n v="164064.85999999999"/>
    <n v="181334.83000000002"/>
    <n v="20148.32"/>
    <n v="51260"/>
    <n v="2878.33"/>
    <s v="P"/>
    <m/>
    <n v="9934"/>
    <n v="889"/>
    <s v="Internal"/>
    <s v="A"/>
    <s v="SL"/>
    <m/>
    <s v="WCNX"/>
    <n v="0"/>
    <n v="0"/>
    <m/>
    <x v="15"/>
    <n v="10"/>
    <n v="2018"/>
    <n v="2028"/>
    <n v="2028.8333333333333"/>
    <n v="2878.3307499999996"/>
    <n v="34539.968999999997"/>
    <n v="34539.968999999997"/>
    <n v="132403.21450000527"/>
    <n v="166943.18350000528"/>
    <x v="161"/>
    <x v="1"/>
  </r>
  <r>
    <n v="2112"/>
    <n v="203680"/>
    <x v="27"/>
    <x v="208"/>
    <m/>
    <s v="1FDRF3G61JEB66657"/>
    <m/>
    <n v="2018"/>
    <s v="Titus Will/Ford"/>
    <s v="Ford"/>
    <s v="Non-Rolling Stock"/>
    <d v="2018-06-15T00:00:00"/>
    <d v="2018-06-15T00:00:00"/>
    <s v="2112-18-0029-1"/>
    <n v="1000"/>
    <n v="14040"/>
    <n v="2806.82"/>
    <n v="14046"/>
    <n v="1450.18"/>
    <n v="1356.64"/>
    <n v="163.72999999999999"/>
    <n v="51260"/>
    <n v="23.39"/>
    <s v="P"/>
    <m/>
    <s v="ACD1934663"/>
    <m/>
    <s v="Internal"/>
    <s v="A"/>
    <s v="SL"/>
    <m/>
    <s v="WCNX"/>
    <n v="0"/>
    <n v="0"/>
    <m/>
    <x v="15"/>
    <n v="6"/>
    <n v="2018"/>
    <n v="2028"/>
    <n v="2028.5"/>
    <n v="23.390166666666669"/>
    <n v="280.68200000000002"/>
    <n v="280.68200000000002"/>
    <n v="1169.5083333333546"/>
    <n v="1450.1903333333546"/>
    <x v="162"/>
    <x v="1"/>
  </r>
  <r>
    <n v="2112"/>
    <n v="203609"/>
    <x v="0"/>
    <x v="209"/>
    <n v="864"/>
    <m/>
    <m/>
    <n v="0"/>
    <s v="WASTEQUIP TOTER"/>
    <m/>
    <m/>
    <d v="2018-08-25T00:00:00"/>
    <d v="2018-08-25T00:00:00"/>
    <s v="2112-18-0034-1"/>
    <n v="700"/>
    <n v="14050"/>
    <n v="39724.550000000003"/>
    <n v="14056"/>
    <n v="27901.79"/>
    <n v="11822.760000000002"/>
    <n v="3310.38"/>
    <n v="54260"/>
    <n v="472.91"/>
    <s v="P"/>
    <m/>
    <n v="65551310"/>
    <m/>
    <s v="Internal"/>
    <s v="A"/>
    <s v="SL"/>
    <m/>
    <s v="WCNX"/>
    <n v="0"/>
    <n v="0"/>
    <m/>
    <x v="15"/>
    <n v="8"/>
    <n v="2018"/>
    <n v="2025"/>
    <n v="2025.6666666666667"/>
    <n v="472.91130952380951"/>
    <n v="5674.9357142857143"/>
    <n v="5674.9357142857143"/>
    <n v="22699.742857142861"/>
    <n v="28374.678571428576"/>
    <x v="163"/>
    <x v="1"/>
  </r>
  <r>
    <n v="2112"/>
    <n v="203588"/>
    <x v="27"/>
    <x v="210"/>
    <m/>
    <m/>
    <m/>
    <n v="0"/>
    <s v="Titus Will/Ford"/>
    <m/>
    <s v="Non-Rolling Stock"/>
    <d v="2018-06-15T00:00:00"/>
    <d v="2018-06-15T00:00:00"/>
    <s v="2112-18-0029-1"/>
    <n v="300"/>
    <n v="14040"/>
    <n v="557.66"/>
    <n v="14046"/>
    <n v="557.66"/>
    <n v="0"/>
    <n v="0"/>
    <n v="51260"/>
    <n v="0"/>
    <s v="P"/>
    <m/>
    <n v="80025303"/>
    <m/>
    <s v="Internal"/>
    <s v="A"/>
    <s v="SL"/>
    <m/>
    <s v="WCNX"/>
    <n v="0"/>
    <n v="0"/>
    <m/>
    <x v="15"/>
    <n v="6"/>
    <n v="2018"/>
    <n v="2021"/>
    <n v="2021.5"/>
    <n v="15.490555555555554"/>
    <n v="185.88666666666666"/>
    <n v="0"/>
    <n v="557.66"/>
    <n v="557.66"/>
    <x v="1"/>
    <x v="1"/>
  </r>
  <r>
    <n v="2112"/>
    <n v="203587"/>
    <x v="27"/>
    <x v="211"/>
    <m/>
    <m/>
    <m/>
    <n v="0"/>
    <s v="Titus Will/Ford"/>
    <m/>
    <s v="Non-Rolling Stock"/>
    <d v="2018-06-15T00:00:00"/>
    <d v="2018-06-15T00:00:00"/>
    <s v="2112-18-0029-1"/>
    <n v="300"/>
    <n v="14040"/>
    <n v="2398.5"/>
    <n v="14046"/>
    <n v="2398.5"/>
    <n v="0"/>
    <n v="0"/>
    <n v="51260"/>
    <n v="0"/>
    <s v="P"/>
    <m/>
    <s v="79U76390RR660431L"/>
    <m/>
    <s v="Internal"/>
    <s v="A"/>
    <s v="SL"/>
    <m/>
    <s v="WCNX"/>
    <n v="0"/>
    <n v="0"/>
    <m/>
    <x v="15"/>
    <n v="6"/>
    <n v="2018"/>
    <n v="2021"/>
    <n v="2021.5"/>
    <n v="66.625"/>
    <n v="799.5"/>
    <n v="0"/>
    <n v="2398.5"/>
    <n v="2398.5"/>
    <x v="1"/>
    <x v="1"/>
  </r>
  <r>
    <n v="2112"/>
    <n v="203584"/>
    <x v="0"/>
    <x v="212"/>
    <m/>
    <s v="HHL05HD0000115"/>
    <m/>
    <n v="2013"/>
    <s v="N/A"/>
    <s v="N/A"/>
    <s v="Forklift"/>
    <d v="2018-08-14T00:00:00"/>
    <d v="2018-08-14T00:00:00"/>
    <s v="2112-18-0031-1"/>
    <n v="400"/>
    <n v="14030"/>
    <n v="31165.759999999998"/>
    <n v="14036"/>
    <n v="31165.759999999998"/>
    <n v="0"/>
    <n v="0"/>
    <n v="51260"/>
    <n v="0"/>
    <s v="P"/>
    <m/>
    <s v="160213110-001"/>
    <s v="FL1"/>
    <s v="Internal"/>
    <s v="A"/>
    <s v="SL"/>
    <m/>
    <s v="WCNX"/>
    <n v="0"/>
    <n v="0"/>
    <m/>
    <x v="15"/>
    <n v="8"/>
    <n v="2018"/>
    <n v="2022"/>
    <n v="2022.6666666666667"/>
    <n v="649.28666666666663"/>
    <n v="7791.44"/>
    <n v="0"/>
    <n v="31165.759999999998"/>
    <n v="31165.759999999998"/>
    <x v="1"/>
    <x v="1"/>
  </r>
  <r>
    <n v="2112"/>
    <n v="202995"/>
    <x v="0"/>
    <x v="213"/>
    <m/>
    <m/>
    <m/>
    <n v="0"/>
    <s v="HOCH CONSTRUCTION"/>
    <m/>
    <m/>
    <d v="2018-06-30T00:00:00"/>
    <d v="2018-06-30T00:00:00"/>
    <s v="2112-18-0037-1"/>
    <n v="300"/>
    <n v="14090"/>
    <n v="27671.439999999999"/>
    <n v="14096"/>
    <n v="27671.439999999999"/>
    <n v="0"/>
    <n v="0"/>
    <n v="57260"/>
    <n v="0"/>
    <s v="P"/>
    <m/>
    <n v="9"/>
    <m/>
    <s v="Internal"/>
    <s v="A"/>
    <s v="SL"/>
    <m/>
    <s v="WCNX"/>
    <n v="0"/>
    <n v="0"/>
    <m/>
    <x v="15"/>
    <n v="6"/>
    <n v="2018"/>
    <n v="2021"/>
    <n v="2021.5"/>
    <n v="768.65111111111116"/>
    <n v="9223.8133333333335"/>
    <n v="0"/>
    <n v="27671.439999999999"/>
    <n v="27671.439999999999"/>
    <x v="1"/>
    <x v="1"/>
  </r>
  <r>
    <n v="2112"/>
    <n v="202834"/>
    <x v="0"/>
    <x v="207"/>
    <m/>
    <s v="3BPDL70X9KF103954"/>
    <s v="C99007N"/>
    <n v="2019"/>
    <s v="PeterBilt 520"/>
    <s v="Labrie"/>
    <s v="Automated Sideload"/>
    <d v="2018-09-30T00:00:00"/>
    <d v="2018-09-30T00:00:00"/>
    <s v="2112-18-0003-1"/>
    <n v="1000"/>
    <n v="14040"/>
    <n v="345671.26"/>
    <n v="14046"/>
    <n v="167074.41"/>
    <n v="178596.85"/>
    <n v="20164.16"/>
    <n v="51260"/>
    <n v="2880.59"/>
    <s v="P"/>
    <m/>
    <n v="9740"/>
    <n v="888"/>
    <s v="Internal"/>
    <s v="A"/>
    <s v="SL"/>
    <m/>
    <s v="WCNX"/>
    <n v="0"/>
    <n v="0"/>
    <m/>
    <x v="15"/>
    <n v="9"/>
    <n v="2018"/>
    <n v="2028"/>
    <n v="2028.75"/>
    <n v="2880.5938333333338"/>
    <n v="34567.126000000004"/>
    <n v="34567.126000000004"/>
    <n v="135387.91016666926"/>
    <n v="169955.03616666928"/>
    <x v="164"/>
    <x v="1"/>
  </r>
  <r>
    <n v="2112"/>
    <n v="202084"/>
    <x v="0"/>
    <x v="214"/>
    <m/>
    <m/>
    <m/>
    <n v="0"/>
    <m/>
    <m/>
    <m/>
    <d v="2018-07-11T00:00:00"/>
    <d v="2018-07-11T00:00:00"/>
    <s v="2112-17-0035-1"/>
    <n v="1000"/>
    <n v="14010"/>
    <n v="172177.85"/>
    <n v="14016"/>
    <n v="87523.76"/>
    <n v="84654.090000000011"/>
    <n v="10043.709999999999"/>
    <n v="57260"/>
    <n v="1434.81"/>
    <s v="P"/>
    <m/>
    <n v="191716"/>
    <m/>
    <s v="Internal"/>
    <s v="A"/>
    <s v="SL"/>
    <m/>
    <s v="WCNX"/>
    <n v="0"/>
    <n v="0"/>
    <m/>
    <x v="15"/>
    <n v="7"/>
    <n v="2018"/>
    <n v="2028"/>
    <n v="2028.5833333333333"/>
    <n v="1434.8154166666666"/>
    <n v="17217.785"/>
    <n v="17217.785"/>
    <n v="70305.955416669283"/>
    <n v="87523.740416669287"/>
    <x v="165"/>
    <x v="1"/>
  </r>
  <r>
    <n v="2112"/>
    <n v="201756"/>
    <x v="0"/>
    <x v="215"/>
    <n v="15"/>
    <m/>
    <m/>
    <n v="0"/>
    <s v="WASTEQUIP LLC"/>
    <m/>
    <s v="4 YD FEL/REL/SL Metal"/>
    <d v="2018-04-06T00:00:00"/>
    <d v="2018-04-06T00:00:00"/>
    <s v="2112-18-0026-1"/>
    <n v="1200"/>
    <n v="14050"/>
    <n v="9195.76"/>
    <n v="14056"/>
    <n v="4086.99"/>
    <n v="5108.7700000000004"/>
    <n v="447.01"/>
    <n v="54260"/>
    <n v="63.85"/>
    <s v="P"/>
    <m/>
    <n v="37216497"/>
    <m/>
    <s v="Internal"/>
    <s v="A"/>
    <s v="SL"/>
    <m/>
    <s v="WCNX"/>
    <n v="0"/>
    <n v="0"/>
    <m/>
    <x v="15"/>
    <n v="4"/>
    <n v="2018"/>
    <n v="2030"/>
    <n v="2030.3333333333333"/>
    <n v="63.859444444444449"/>
    <n v="766.31333333333339"/>
    <n v="766.31333333333339"/>
    <n v="3320.6911111112267"/>
    <n v="4087.0044444445602"/>
    <x v="166"/>
    <x v="1"/>
  </r>
  <r>
    <n v="2112"/>
    <n v="201755"/>
    <x v="0"/>
    <x v="216"/>
    <n v="23"/>
    <m/>
    <m/>
    <n v="0"/>
    <s v="WASTEQUIP LLC"/>
    <m/>
    <s v="2 YD FEL/REL/SL Metal"/>
    <d v="2018-04-06T00:00:00"/>
    <d v="2018-04-06T00:00:00"/>
    <s v="2112-18-0026-1"/>
    <n v="1200"/>
    <n v="14050"/>
    <n v="14724.04"/>
    <n v="14056"/>
    <n v="6544"/>
    <n v="8180.0400000000009"/>
    <n v="715.75"/>
    <n v="54260"/>
    <n v="102.25"/>
    <s v="P"/>
    <m/>
    <n v="37216497"/>
    <m/>
    <s v="Internal"/>
    <s v="A"/>
    <s v="SL"/>
    <m/>
    <s v="WCNX"/>
    <n v="0"/>
    <n v="0"/>
    <m/>
    <x v="15"/>
    <n v="4"/>
    <n v="2018"/>
    <n v="2030"/>
    <n v="2030.3333333333333"/>
    <n v="102.25027777777778"/>
    <n v="1227.0033333333333"/>
    <n v="1227.0033333333333"/>
    <n v="5317.0144444446305"/>
    <n v="6544.0177777779636"/>
    <x v="167"/>
    <x v="1"/>
  </r>
  <r>
    <n v="2112"/>
    <n v="201754"/>
    <x v="0"/>
    <x v="217"/>
    <n v="21"/>
    <m/>
    <m/>
    <n v="0"/>
    <s v="WASTEQUIP LLC"/>
    <m/>
    <s v="1.5 YD FEL/REL/SL Metal"/>
    <d v="2018-04-06T00:00:00"/>
    <d v="2018-04-06T00:00:00"/>
    <s v="2112-18-0026-1"/>
    <n v="1200"/>
    <n v="14050"/>
    <n v="11734.82"/>
    <n v="14056"/>
    <n v="5215.37"/>
    <n v="6519.45"/>
    <n v="570.44000000000005"/>
    <n v="54260"/>
    <n v="81.489999999999995"/>
    <s v="P"/>
    <m/>
    <n v="37216497"/>
    <m/>
    <s v="Internal"/>
    <s v="A"/>
    <s v="SL"/>
    <m/>
    <s v="WCNX"/>
    <n v="0"/>
    <n v="0"/>
    <m/>
    <x v="15"/>
    <n v="4"/>
    <n v="2018"/>
    <n v="2030"/>
    <n v="2030.3333333333333"/>
    <n v="81.491805555555558"/>
    <n v="977.90166666666664"/>
    <n v="977.90166666666664"/>
    <n v="4237.5738888890364"/>
    <n v="5215.4755555557031"/>
    <x v="168"/>
    <x v="1"/>
  </r>
  <r>
    <n v="2112"/>
    <n v="201753"/>
    <x v="0"/>
    <x v="218"/>
    <n v="24"/>
    <m/>
    <m/>
    <n v="0"/>
    <s v="WASTEQUIP LLC"/>
    <m/>
    <s v="1.5 YD FEL/REL/SL Metal"/>
    <d v="2018-04-06T00:00:00"/>
    <d v="2018-04-06T00:00:00"/>
    <s v="2112-18-0026-1"/>
    <n v="1200"/>
    <n v="14050"/>
    <n v="11770.7"/>
    <n v="14056"/>
    <n v="5231.18"/>
    <n v="6539.52"/>
    <n v="572.17999999999995"/>
    <n v="54260"/>
    <n v="81.73"/>
    <s v="P"/>
    <m/>
    <n v="37216497"/>
    <m/>
    <s v="Internal"/>
    <s v="A"/>
    <s v="SL"/>
    <m/>
    <s v="WCNX"/>
    <n v="0"/>
    <n v="0"/>
    <m/>
    <x v="15"/>
    <n v="4"/>
    <n v="2018"/>
    <n v="2030"/>
    <n v="2030.3333333333333"/>
    <n v="81.740972222222226"/>
    <n v="980.89166666666665"/>
    <n v="980.89166666666665"/>
    <n v="4250.5305555557043"/>
    <n v="5231.4222222223707"/>
    <x v="169"/>
    <x v="1"/>
  </r>
  <r>
    <n v="2112"/>
    <n v="201752"/>
    <x v="0"/>
    <x v="219"/>
    <n v="30"/>
    <m/>
    <m/>
    <n v="0"/>
    <s v="WASTEQUIP LLC"/>
    <m/>
    <s v="2 YD FEL/REL/SL Metal"/>
    <d v="2018-04-06T00:00:00"/>
    <d v="2018-04-06T00:00:00"/>
    <s v="2112-18-0026-1"/>
    <n v="1200"/>
    <n v="14050"/>
    <n v="15038.88"/>
    <n v="14056"/>
    <n v="6683.95"/>
    <n v="8354.93"/>
    <n v="731.06"/>
    <n v="54260"/>
    <n v="104.44"/>
    <s v="P"/>
    <m/>
    <n v="37216497"/>
    <m/>
    <s v="Internal"/>
    <s v="A"/>
    <s v="SL"/>
    <m/>
    <s v="WCNX"/>
    <n v="0"/>
    <n v="0"/>
    <m/>
    <x v="15"/>
    <n v="4"/>
    <n v="2018"/>
    <n v="2030"/>
    <n v="2030.3333333333333"/>
    <n v="104.43666666666667"/>
    <n v="1253.24"/>
    <n v="1253.24"/>
    <n v="5430.7066666668561"/>
    <n v="6683.9466666668559"/>
    <x v="170"/>
    <x v="1"/>
  </r>
  <r>
    <n v="2112"/>
    <n v="201751"/>
    <x v="0"/>
    <x v="220"/>
    <n v="13"/>
    <m/>
    <m/>
    <n v="0"/>
    <s v="WASTEQUIP LLC"/>
    <m/>
    <s v="6 YD FEL/REL/SL Metal"/>
    <d v="2018-04-06T00:00:00"/>
    <d v="2018-04-06T00:00:00"/>
    <s v="2112-18-0026-1"/>
    <n v="1200"/>
    <n v="14050"/>
    <n v="10579.08"/>
    <n v="14056"/>
    <n v="4701.8100000000004"/>
    <n v="5877.2699999999995"/>
    <n v="514.26"/>
    <n v="54260"/>
    <n v="73.459999999999994"/>
    <s v="P"/>
    <m/>
    <n v="37216497"/>
    <m/>
    <s v="Internal"/>
    <s v="A"/>
    <s v="SL"/>
    <m/>
    <s v="WCNX"/>
    <n v="0"/>
    <n v="0"/>
    <m/>
    <x v="15"/>
    <n v="4"/>
    <n v="2018"/>
    <n v="2030"/>
    <n v="2030.3333333333333"/>
    <n v="73.465833333333336"/>
    <n v="881.59"/>
    <n v="881.59"/>
    <n v="3820.2233333334671"/>
    <n v="4701.8133333334672"/>
    <x v="171"/>
    <x v="1"/>
  </r>
  <r>
    <n v="2112"/>
    <n v="201020"/>
    <x v="0"/>
    <x v="221"/>
    <n v="188"/>
    <m/>
    <m/>
    <n v="0"/>
    <s v="WASTEQUIP TOTER"/>
    <m/>
    <m/>
    <d v="2018-04-01T00:00:00"/>
    <d v="2018-04-01T00:00:00"/>
    <s v="2112-18-0024-1"/>
    <n v="700"/>
    <n v="14050"/>
    <n v="10037.219999999999"/>
    <n v="14056"/>
    <n v="7647.42"/>
    <n v="2389.7999999999993"/>
    <n v="836.44"/>
    <n v="54260"/>
    <n v="119.49"/>
    <s v="P"/>
    <m/>
    <s v="655 -25033, -41604, -2564"/>
    <m/>
    <s v="Internal"/>
    <s v="A"/>
    <s v="SL"/>
    <m/>
    <s v="WCNX"/>
    <n v="0"/>
    <n v="0"/>
    <m/>
    <x v="15"/>
    <n v="4"/>
    <n v="2018"/>
    <n v="2025"/>
    <n v="2025.3333333333333"/>
    <n v="119.49071428571428"/>
    <n v="1433.8885714285714"/>
    <n v="1433.8885714285714"/>
    <n v="6213.5171428573594"/>
    <n v="7647.405714285931"/>
    <x v="172"/>
    <x v="1"/>
  </r>
  <r>
    <n v="2112"/>
    <n v="201019"/>
    <x v="0"/>
    <x v="222"/>
    <n v="312"/>
    <m/>
    <m/>
    <n v="0"/>
    <s v="WASTEQUIP TOTER"/>
    <m/>
    <m/>
    <d v="2018-04-01T00:00:00"/>
    <d v="2018-04-01T00:00:00"/>
    <s v="2112-18-0024-1"/>
    <n v="700"/>
    <n v="14050"/>
    <n v="14797.35"/>
    <n v="14056"/>
    <n v="11274.18"/>
    <n v="3523.17"/>
    <n v="1233.1099999999999"/>
    <n v="54260"/>
    <n v="176.15"/>
    <s v="P"/>
    <m/>
    <s v="655 -25033, -41604, -2564"/>
    <m/>
    <s v="Internal"/>
    <s v="A"/>
    <s v="SL"/>
    <m/>
    <s v="WCNX"/>
    <n v="0"/>
    <n v="0"/>
    <m/>
    <x v="15"/>
    <n v="4"/>
    <n v="2018"/>
    <n v="2025"/>
    <n v="2025.3333333333333"/>
    <n v="176.15892857142856"/>
    <n v="2113.9071428571428"/>
    <n v="2113.9071428571428"/>
    <n v="9160.2642857146056"/>
    <n v="11274.171428571748"/>
    <x v="173"/>
    <x v="1"/>
  </r>
  <r>
    <n v="2112"/>
    <n v="201018"/>
    <x v="0"/>
    <x v="223"/>
    <n v="2000"/>
    <m/>
    <m/>
    <n v="0"/>
    <s v="WASTEQUIP TOTER"/>
    <m/>
    <m/>
    <d v="2018-04-01T00:00:00"/>
    <d v="2018-04-01T00:00:00"/>
    <s v="2112-18-0024-1"/>
    <n v="700"/>
    <n v="14050"/>
    <n v="81647.44"/>
    <n v="14056"/>
    <n v="62207.57"/>
    <n v="19439.870000000003"/>
    <n v="6803.95"/>
    <n v="54260"/>
    <n v="971.99"/>
    <s v="P"/>
    <m/>
    <s v="655 -25033, -41604, -2564"/>
    <m/>
    <s v="Internal"/>
    <s v="A"/>
    <s v="SL"/>
    <m/>
    <s v="WCNX"/>
    <n v="0"/>
    <n v="0"/>
    <m/>
    <x v="15"/>
    <n v="4"/>
    <n v="2018"/>
    <n v="2025"/>
    <n v="2025.3333333333333"/>
    <n v="971.99333333333334"/>
    <n v="11663.92"/>
    <n v="11663.92"/>
    <n v="50543.653333335104"/>
    <n v="62207.573333335102"/>
    <x v="174"/>
    <x v="1"/>
  </r>
  <r>
    <n v="2112"/>
    <n v="200628"/>
    <x v="0"/>
    <x v="224"/>
    <n v="10"/>
    <m/>
    <m/>
    <n v="0"/>
    <s v="WASTEQUIP LLC"/>
    <m/>
    <s v="30 YD RO Box"/>
    <d v="2018-06-01T00:00:00"/>
    <d v="2018-06-01T00:00:00"/>
    <s v="2112-18-0025-2"/>
    <n v="1200"/>
    <n v="14050"/>
    <n v="45425"/>
    <n v="14056"/>
    <n v="19558"/>
    <n v="25867"/>
    <n v="2208.16"/>
    <n v="54260"/>
    <n v="315.45"/>
    <s v="P"/>
    <m/>
    <n v="37216929"/>
    <m/>
    <s v="Internal"/>
    <s v="A"/>
    <s v="SL"/>
    <m/>
    <s v="WCNX"/>
    <n v="0"/>
    <n v="0"/>
    <m/>
    <x v="15"/>
    <n v="6"/>
    <n v="2018"/>
    <n v="2030"/>
    <n v="2030.5"/>
    <n v="315.45138888888886"/>
    <n v="3785.4166666666661"/>
    <n v="3785.4166666666661"/>
    <n v="15772.569444444733"/>
    <n v="19557.986111111401"/>
    <x v="175"/>
    <x v="1"/>
  </r>
  <r>
    <n v="2112"/>
    <n v="200627"/>
    <x v="0"/>
    <x v="225"/>
    <n v="10"/>
    <m/>
    <m/>
    <n v="0"/>
    <s v="WASTEQUIP LLC"/>
    <m/>
    <s v="20 YD RO Box"/>
    <d v="2018-04-06T00:00:00"/>
    <d v="2018-04-06T00:00:00"/>
    <s v="2112-18-0025-1"/>
    <n v="1200"/>
    <n v="14050"/>
    <n v="39485"/>
    <n v="14056"/>
    <n v="17548.900000000001"/>
    <n v="21936.1"/>
    <n v="1919.41"/>
    <n v="54260"/>
    <n v="274.2"/>
    <s v="P"/>
    <m/>
    <n v="37216493"/>
    <m/>
    <s v="Internal"/>
    <s v="A"/>
    <s v="SL"/>
    <m/>
    <s v="WCNX"/>
    <n v="0"/>
    <n v="0"/>
    <m/>
    <x v="15"/>
    <n v="4"/>
    <n v="2018"/>
    <n v="2030"/>
    <n v="2030.3333333333333"/>
    <n v="274.20138888888886"/>
    <n v="3290.4166666666661"/>
    <n v="3290.4166666666661"/>
    <n v="14258.472222222725"/>
    <n v="17548.888888889393"/>
    <x v="176"/>
    <x v="1"/>
  </r>
  <r>
    <n v="2112"/>
    <n v="197999"/>
    <x v="0"/>
    <x v="226"/>
    <n v="1"/>
    <m/>
    <m/>
    <n v="0"/>
    <m/>
    <m/>
    <s v="50 YD RO Box"/>
    <d v="2018-06-01T00:00:00"/>
    <d v="2018-06-01T00:00:00"/>
    <s v="Container Audit"/>
    <n v="0"/>
    <n v="14050"/>
    <n v="0"/>
    <n v="14056"/>
    <n v="0"/>
    <n v="0"/>
    <n v="0"/>
    <n v="54260"/>
    <n v="0"/>
    <s v="P"/>
    <m/>
    <m/>
    <m/>
    <s v="Internal"/>
    <s v="A"/>
    <s v="NO"/>
    <m/>
    <s v="WCNX"/>
    <n v="0"/>
    <n v="0"/>
    <m/>
    <x v="15"/>
    <n v="6"/>
    <n v="2018"/>
    <n v="2018"/>
    <n v="2018.5"/>
    <n v="0"/>
    <n v="0"/>
    <n v="0"/>
    <n v="0"/>
    <n v="0"/>
    <x v="1"/>
    <x v="1"/>
  </r>
  <r>
    <n v="2112"/>
    <n v="197994"/>
    <x v="0"/>
    <x v="227"/>
    <n v="27"/>
    <m/>
    <m/>
    <n v="0"/>
    <m/>
    <m/>
    <s v="2 YD FEL/REL/SL Metal"/>
    <d v="2018-06-01T00:00:00"/>
    <d v="2018-06-01T00:00:00"/>
    <s v="Container Audit"/>
    <n v="0"/>
    <n v="14050"/>
    <n v="0"/>
    <n v="14056"/>
    <n v="0"/>
    <n v="0"/>
    <n v="0"/>
    <n v="54260"/>
    <n v="0"/>
    <s v="P"/>
    <m/>
    <m/>
    <m/>
    <s v="Internal"/>
    <s v="A"/>
    <s v="NO"/>
    <m/>
    <s v="WCNX"/>
    <n v="0"/>
    <n v="0"/>
    <m/>
    <x v="15"/>
    <n v="6"/>
    <n v="2018"/>
    <n v="2018"/>
    <n v="2018.5"/>
    <n v="0"/>
    <n v="0"/>
    <n v="0"/>
    <n v="0"/>
    <n v="0"/>
    <x v="1"/>
    <x v="1"/>
  </r>
  <r>
    <n v="2112"/>
    <n v="197993"/>
    <x v="0"/>
    <x v="228"/>
    <n v="28"/>
    <m/>
    <m/>
    <n v="0"/>
    <m/>
    <m/>
    <s v="1.5 YD FEL/REL/SL Metal"/>
    <d v="2018-06-01T00:00:00"/>
    <d v="2018-06-01T00:00:00"/>
    <s v="Container Audit"/>
    <n v="0"/>
    <n v="14050"/>
    <n v="0"/>
    <n v="14056"/>
    <n v="0"/>
    <n v="0"/>
    <n v="0"/>
    <n v="54260"/>
    <n v="0"/>
    <s v="P"/>
    <m/>
    <m/>
    <m/>
    <s v="Internal"/>
    <s v="A"/>
    <s v="NO"/>
    <m/>
    <s v="WCNX"/>
    <n v="0"/>
    <n v="0"/>
    <m/>
    <x v="15"/>
    <n v="6"/>
    <n v="2018"/>
    <n v="2018"/>
    <n v="2018.5"/>
    <n v="0"/>
    <n v="0"/>
    <n v="0"/>
    <n v="0"/>
    <n v="0"/>
    <x v="1"/>
    <x v="1"/>
  </r>
  <r>
    <n v="2112"/>
    <n v="197793"/>
    <x v="0"/>
    <x v="229"/>
    <m/>
    <s v="1FDRF3G61JEB66657"/>
    <s v="C18575T"/>
    <n v="2018"/>
    <s v="Titus Will/Ford"/>
    <s v="Ford"/>
    <s v="Service Truck"/>
    <d v="2018-06-15T00:00:00"/>
    <d v="2018-06-15T00:00:00"/>
    <s v="2112-18-0029-1"/>
    <n v="1000"/>
    <n v="14040"/>
    <n v="48480.12"/>
    <n v="14046"/>
    <n v="25048.06"/>
    <n v="23432.06"/>
    <n v="2828.01"/>
    <n v="51260"/>
    <n v="404"/>
    <s v="P"/>
    <m/>
    <n v="307104"/>
    <n v="738"/>
    <s v="Internal"/>
    <s v="A"/>
    <s v="SL"/>
    <m/>
    <s v="WCNX"/>
    <n v="0"/>
    <n v="0"/>
    <m/>
    <x v="15"/>
    <n v="6"/>
    <n v="2018"/>
    <n v="2028"/>
    <n v="2028.5"/>
    <n v="404.00100000000003"/>
    <n v="4848.0120000000006"/>
    <n v="4848.0120000000006"/>
    <n v="20200.050000000367"/>
    <n v="25048.062000000369"/>
    <x v="177"/>
    <x v="1"/>
  </r>
  <r>
    <n v="2112"/>
    <n v="196591"/>
    <x v="0"/>
    <x v="230"/>
    <m/>
    <m/>
    <s v="94-3283464"/>
    <n v="0"/>
    <s v="CDW"/>
    <m/>
    <m/>
    <d v="2018-03-22T00:00:00"/>
    <d v="2018-03-22T00:00:00"/>
    <s v="2112-18-0027-1"/>
    <n v="300"/>
    <n v="14110"/>
    <n v="76.3"/>
    <n v="14116"/>
    <n v="76.3"/>
    <n v="0"/>
    <n v="0"/>
    <n v="70260"/>
    <n v="0"/>
    <s v="P"/>
    <m/>
    <s v="MGV1291"/>
    <m/>
    <s v="Internal"/>
    <s v="A"/>
    <s v="SL"/>
    <m/>
    <s v="WCNX"/>
    <n v="0"/>
    <n v="0"/>
    <m/>
    <x v="15"/>
    <n v="3"/>
    <n v="2018"/>
    <n v="2021"/>
    <n v="2021.25"/>
    <n v="2.1194444444444445"/>
    <n v="25.433333333333334"/>
    <n v="0"/>
    <n v="76.3"/>
    <n v="76.3"/>
    <x v="1"/>
    <x v="1"/>
  </r>
  <r>
    <n v="2112"/>
    <n v="195618"/>
    <x v="0"/>
    <x v="231"/>
    <m/>
    <s v="1B9PP3339JT260194"/>
    <s v="63965AE"/>
    <n v="2018"/>
    <s v="SOLID WASTE SYSTEMS"/>
    <s v="Better Weigh"/>
    <s v="R/O Trailer"/>
    <d v="2018-04-01T00:00:00"/>
    <d v="2018-04-01T00:00:00"/>
    <s v="2112-18-0023-1"/>
    <n v="700"/>
    <n v="14040"/>
    <n v="123835.04"/>
    <n v="14046"/>
    <n v="94350.51"/>
    <n v="29484.53"/>
    <n v="10319.59"/>
    <n v="51260"/>
    <n v="1474.23"/>
    <s v="P"/>
    <m/>
    <s v="0103885-IN"/>
    <s v="PT-15"/>
    <s v="Internal"/>
    <s v="A"/>
    <s v="SL"/>
    <m/>
    <s v="WCNX"/>
    <n v="0"/>
    <n v="0"/>
    <m/>
    <x v="15"/>
    <n v="4"/>
    <n v="2018"/>
    <n v="2025"/>
    <n v="2025.3333333333333"/>
    <n v="1474.2266666666665"/>
    <n v="17690.719999999998"/>
    <n v="17690.719999999998"/>
    <n v="76659.786666669359"/>
    <n v="94350.50666666936"/>
    <x v="178"/>
    <x v="1"/>
  </r>
  <r>
    <n v="2112"/>
    <n v="194954"/>
    <x v="0"/>
    <x v="232"/>
    <m/>
    <m/>
    <s v="94-3283464"/>
    <n v="0"/>
    <s v="CDW DIR #PWSP-3463"/>
    <m/>
    <m/>
    <d v="2018-03-22T00:00:00"/>
    <d v="2018-03-22T00:00:00"/>
    <s v="2112-18-0027-1"/>
    <n v="300"/>
    <n v="14110"/>
    <n v="935.1"/>
    <n v="14116"/>
    <n v="935.1"/>
    <n v="0"/>
    <n v="0"/>
    <n v="70260"/>
    <n v="0"/>
    <s v="P"/>
    <m/>
    <s v="MCK7279"/>
    <m/>
    <s v="Internal"/>
    <s v="A"/>
    <s v="SL"/>
    <m/>
    <s v="WCNX"/>
    <n v="0"/>
    <n v="0"/>
    <m/>
    <x v="15"/>
    <n v="3"/>
    <n v="2018"/>
    <n v="2021"/>
    <n v="2021.25"/>
    <n v="25.974999999999998"/>
    <n v="311.7"/>
    <n v="0"/>
    <n v="935.1"/>
    <n v="935.1"/>
    <x v="1"/>
    <x v="1"/>
  </r>
  <r>
    <n v="2112"/>
    <n v="194952"/>
    <x v="0"/>
    <x v="233"/>
    <m/>
    <m/>
    <s v="94-3283464"/>
    <n v="0"/>
    <s v="Zenovic &amp; Associates Inco"/>
    <m/>
    <m/>
    <d v="2018-01-01T00:00:00"/>
    <d v="2018-01-01T00:00:00"/>
    <s v="2112-17-0021-1"/>
    <n v="209"/>
    <n v="14090"/>
    <n v="5129.8"/>
    <n v="14096"/>
    <n v="5129.8"/>
    <n v="0"/>
    <n v="0"/>
    <n v="57260"/>
    <n v="0"/>
    <s v="P"/>
    <m/>
    <n v="15814"/>
    <m/>
    <s v="Internal"/>
    <s v="A"/>
    <s v="SL"/>
    <m/>
    <s v="WCNX"/>
    <n v="0"/>
    <n v="0"/>
    <m/>
    <x v="15"/>
    <n v="1"/>
    <n v="2018"/>
    <n v="2020.09"/>
    <n v="2020.1733333333332"/>
    <n v="204.53748006379587"/>
    <n v="2454.4497607655503"/>
    <n v="0"/>
    <n v="5129.8"/>
    <n v="5129.8"/>
    <x v="1"/>
    <x v="1"/>
  </r>
  <r>
    <n v="2112"/>
    <n v="194814"/>
    <x v="0"/>
    <x v="234"/>
    <m/>
    <m/>
    <s v="94-3283464"/>
    <n v="0"/>
    <s v="CDW DIR #PWSP-3463 211"/>
    <m/>
    <m/>
    <d v="2018-03-20T00:00:00"/>
    <d v="2018-03-20T00:00:00"/>
    <s v="2112-18-0027-1"/>
    <n v="300"/>
    <n v="14110"/>
    <n v="1118.2"/>
    <n v="14116"/>
    <n v="1118.2"/>
    <n v="0"/>
    <n v="0"/>
    <n v="70260"/>
    <n v="0"/>
    <s v="P"/>
    <m/>
    <s v="MCW2532"/>
    <m/>
    <s v="Internal"/>
    <s v="A"/>
    <s v="SL"/>
    <m/>
    <s v="WCNX"/>
    <n v="0"/>
    <n v="0"/>
    <m/>
    <x v="15"/>
    <n v="3"/>
    <n v="2018"/>
    <n v="2021"/>
    <n v="2021.25"/>
    <n v="31.061111111111114"/>
    <n v="372.73333333333335"/>
    <n v="0"/>
    <n v="1118.2"/>
    <n v="1118.2"/>
    <x v="1"/>
    <x v="1"/>
  </r>
  <r>
    <n v="2112"/>
    <n v="194634"/>
    <x v="0"/>
    <x v="235"/>
    <m/>
    <m/>
    <s v="94-3283464"/>
    <n v="0"/>
    <s v="HOCH CONSTRUCTION"/>
    <m/>
    <m/>
    <d v="2018-01-01T00:00:00"/>
    <d v="2018-01-01T00:00:00"/>
    <s v="2112-17-0036-1"/>
    <n v="300"/>
    <n v="14090"/>
    <n v="98486.82"/>
    <n v="14096"/>
    <n v="98486.82"/>
    <n v="0"/>
    <n v="0"/>
    <n v="57260"/>
    <n v="0"/>
    <s v="P"/>
    <m/>
    <n v="10"/>
    <m/>
    <s v="Internal"/>
    <s v="A"/>
    <s v="SL"/>
    <m/>
    <s v="WCNX"/>
    <n v="0"/>
    <n v="0"/>
    <m/>
    <x v="15"/>
    <n v="1"/>
    <n v="2018"/>
    <n v="2021"/>
    <n v="2021.0833333333333"/>
    <n v="2735.7450000000003"/>
    <n v="32828.94"/>
    <n v="0"/>
    <n v="98486.82"/>
    <n v="98486.82"/>
    <x v="1"/>
    <x v="1"/>
  </r>
  <r>
    <n v="2112"/>
    <n v="190224"/>
    <x v="0"/>
    <x v="236"/>
    <m/>
    <m/>
    <m/>
    <n v="0"/>
    <s v="TREND SERVICES INC"/>
    <m/>
    <m/>
    <d v="2017-12-31T00:00:00"/>
    <d v="2017-12-31T00:00:00"/>
    <s v="2112-17-0035-1"/>
    <n v="1000"/>
    <n v="14010"/>
    <n v="107611.16"/>
    <n v="14016"/>
    <n v="60082.92"/>
    <n v="47528.240000000005"/>
    <n v="6277.32"/>
    <n v="57260"/>
    <n v="896.76"/>
    <s v="P"/>
    <m/>
    <s v="11012017-5"/>
    <m/>
    <s v="Internal"/>
    <s v="A"/>
    <s v="SL"/>
    <m/>
    <s v="WCNX"/>
    <n v="0"/>
    <n v="0"/>
    <m/>
    <x v="15"/>
    <n v="12"/>
    <n v="2017"/>
    <n v="2027"/>
    <n v="2028"/>
    <n v="896.7596666666667"/>
    <n v="10761.116"/>
    <n v="10761.116"/>
    <n v="50218.541333334149"/>
    <n v="60979.657333334151"/>
    <x v="179"/>
    <x v="1"/>
  </r>
  <r>
    <n v="2112"/>
    <n v="190223"/>
    <x v="0"/>
    <x v="237"/>
    <m/>
    <m/>
    <m/>
    <n v="0"/>
    <s v="TREND SERVICES INC"/>
    <m/>
    <m/>
    <d v="2017-12-31T00:00:00"/>
    <d v="2017-12-31T00:00:00"/>
    <s v="2112-17-0021-2"/>
    <n v="1000"/>
    <n v="14080"/>
    <n v="49999.44"/>
    <n v="14086"/>
    <n v="27916.33"/>
    <n v="22083.11"/>
    <n v="2916.63"/>
    <n v="57260"/>
    <n v="416.66"/>
    <s v="P"/>
    <m/>
    <s v="HOCHCC*912N4"/>
    <m/>
    <s v="Internal"/>
    <s v="A"/>
    <s v="SL"/>
    <m/>
    <s v="WCNX"/>
    <n v="0"/>
    <n v="0"/>
    <m/>
    <x v="15"/>
    <n v="12"/>
    <n v="2017"/>
    <n v="2027"/>
    <n v="2028"/>
    <n v="416.66200000000003"/>
    <n v="4999.9440000000004"/>
    <n v="4999.9440000000004"/>
    <n v="23333.072000000378"/>
    <n v="28333.016000000378"/>
    <x v="180"/>
    <x v="1"/>
  </r>
  <r>
    <n v="2112"/>
    <n v="190222"/>
    <x v="0"/>
    <x v="238"/>
    <m/>
    <m/>
    <m/>
    <n v="0"/>
    <s v="TREND SERVICES INC"/>
    <m/>
    <m/>
    <d v="2017-12-15T00:00:00"/>
    <d v="2017-12-15T00:00:00"/>
    <s v="2112-17-0021-1"/>
    <n v="1000"/>
    <n v="14010"/>
    <n v="16010.54"/>
    <n v="14016"/>
    <n v="9072.41"/>
    <n v="6938.130000000001"/>
    <n v="933.94"/>
    <n v="57260"/>
    <n v="133.41"/>
    <s v="P"/>
    <m/>
    <n v="2"/>
    <m/>
    <s v="Internal"/>
    <s v="A"/>
    <s v="SL"/>
    <m/>
    <s v="WCNX"/>
    <n v="0"/>
    <n v="0"/>
    <m/>
    <x v="15"/>
    <n v="12"/>
    <n v="2017"/>
    <n v="2027"/>
    <n v="2028"/>
    <n v="133.42116666666666"/>
    <n v="1601.0540000000001"/>
    <n v="1601.0540000000001"/>
    <n v="7471.5853333334562"/>
    <n v="9072.6393333334563"/>
    <x v="181"/>
    <x v="1"/>
  </r>
  <r>
    <n v="2112"/>
    <n v="188448"/>
    <x v="28"/>
    <x v="239"/>
    <n v="0"/>
    <s v="1HTWCAANX9J126605"/>
    <m/>
    <n v="2009"/>
    <s v="International 7400"/>
    <s v="Heil"/>
    <s v="REL Truck"/>
    <d v="2009-09-29T00:00:00"/>
    <d v="2009-09-29T00:00:00"/>
    <s v="2149-9-0040-1"/>
    <n v="1000"/>
    <n v="14040"/>
    <n v="11461.55"/>
    <n v="14046"/>
    <n v="11461.55"/>
    <n v="0"/>
    <n v="0"/>
    <n v="51260"/>
    <n v="0"/>
    <s v="P"/>
    <m/>
    <s v="01/0803 #31"/>
    <m/>
    <s v="Internal"/>
    <s v="A"/>
    <s v="SL"/>
    <d v="2017-10-31T00:00:00"/>
    <s v="WCNX"/>
    <n v="0"/>
    <n v="9264.7900000000009"/>
    <m/>
    <x v="15"/>
    <n v="9"/>
    <n v="2009"/>
    <n v="2019"/>
    <n v="2019.75"/>
    <n v="95.512916666666669"/>
    <n v="1146.155"/>
    <n v="0"/>
    <n v="11461.55"/>
    <n v="11461.55"/>
    <x v="1"/>
    <x v="1"/>
  </r>
  <r>
    <n v="2112"/>
    <n v="186694"/>
    <x v="0"/>
    <x v="240"/>
    <m/>
    <m/>
    <s v="94-3283464"/>
    <n v="0"/>
    <s v="CDW"/>
    <m/>
    <m/>
    <d v="2017-09-07T00:00:00"/>
    <d v="2017-09-07T00:00:00"/>
    <s v="2112-17-0032-1"/>
    <n v="300"/>
    <n v="14110"/>
    <n v="196.51"/>
    <n v="14116"/>
    <n v="196.51"/>
    <n v="0"/>
    <n v="0"/>
    <n v="70260"/>
    <n v="0"/>
    <s v="P"/>
    <m/>
    <s v="KBP7608"/>
    <m/>
    <s v="Internal"/>
    <s v="A"/>
    <s v="SL"/>
    <m/>
    <s v="WCNX"/>
    <n v="0"/>
    <n v="0"/>
    <m/>
    <x v="15"/>
    <n v="9"/>
    <n v="2017"/>
    <n v="2020"/>
    <n v="2020.75"/>
    <n v="5.4586111111111109"/>
    <n v="65.50333333333333"/>
    <n v="0"/>
    <n v="196.51"/>
    <n v="196.51"/>
    <x v="1"/>
    <x v="1"/>
  </r>
  <r>
    <n v="2112"/>
    <n v="186692"/>
    <x v="0"/>
    <x v="241"/>
    <m/>
    <m/>
    <s v="94-3283464"/>
    <n v="0"/>
    <s v="Creative Office"/>
    <m/>
    <m/>
    <d v="2017-09-30T00:00:00"/>
    <d v="2017-09-30T00:00:00"/>
    <s v="2112-17-0034-1"/>
    <n v="1000"/>
    <n v="14100"/>
    <n v="10189.6"/>
    <n v="14106"/>
    <n v="5943.93"/>
    <n v="4245.67"/>
    <n v="594.39"/>
    <n v="70260"/>
    <n v="84.91"/>
    <s v="P"/>
    <m/>
    <s v="144727-0"/>
    <m/>
    <s v="Internal"/>
    <s v="A"/>
    <s v="SL"/>
    <m/>
    <s v="WCNX"/>
    <n v="0"/>
    <n v="0"/>
    <m/>
    <x v="15"/>
    <n v="9"/>
    <n v="2017"/>
    <n v="2027"/>
    <n v="2027.75"/>
    <n v="84.913333333333341"/>
    <n v="1018.96"/>
    <n v="1018.96"/>
    <n v="5009.8866666667436"/>
    <n v="6028.8466666667437"/>
    <x v="182"/>
    <x v="1"/>
  </r>
  <r>
    <n v="2112"/>
    <n v="186565"/>
    <x v="0"/>
    <x v="242"/>
    <m/>
    <m/>
    <s v="94-3283464"/>
    <n v="0"/>
    <s v="CDW"/>
    <m/>
    <m/>
    <d v="2017-09-07T00:00:00"/>
    <d v="2017-09-07T00:00:00"/>
    <s v="2112-17-0032-1"/>
    <n v="300"/>
    <n v="14110"/>
    <n v="1011.73"/>
    <n v="14116"/>
    <n v="1011.73"/>
    <n v="0"/>
    <n v="0"/>
    <n v="70260"/>
    <n v="0"/>
    <s v="P"/>
    <m/>
    <s v="KCB0250"/>
    <m/>
    <s v="Internal"/>
    <s v="A"/>
    <s v="SL"/>
    <m/>
    <s v="WCNX"/>
    <n v="0"/>
    <n v="0"/>
    <m/>
    <x v="15"/>
    <n v="9"/>
    <n v="2017"/>
    <n v="2020"/>
    <n v="2020.75"/>
    <n v="28.10361111111111"/>
    <n v="337.24333333333334"/>
    <n v="0"/>
    <n v="1011.73"/>
    <n v="1011.73"/>
    <x v="1"/>
    <x v="1"/>
  </r>
  <r>
    <n v="2112"/>
    <n v="186110"/>
    <x v="0"/>
    <x v="243"/>
    <m/>
    <m/>
    <s v="94-3283464"/>
    <n v="0"/>
    <s v="BRAMSTEDT SALES"/>
    <m/>
    <m/>
    <d v="2017-09-18T00:00:00"/>
    <d v="2017-09-18T00:00:00"/>
    <s v="2112-17-0033-1"/>
    <n v="500"/>
    <n v="14070"/>
    <n v="9103.43"/>
    <n v="14076"/>
    <n v="9103.43"/>
    <n v="0"/>
    <n v="0"/>
    <n v="51260"/>
    <n v="0"/>
    <s v="P"/>
    <m/>
    <n v="106261"/>
    <m/>
    <s v="Internal"/>
    <s v="A"/>
    <s v="SL"/>
    <m/>
    <s v="WCNX"/>
    <n v="0"/>
    <n v="0"/>
    <m/>
    <x v="15"/>
    <n v="9"/>
    <n v="2017"/>
    <n v="2022"/>
    <n v="2022.75"/>
    <n v="151.72383333333335"/>
    <n v="1820.6860000000001"/>
    <n v="0"/>
    <n v="8951.7061666668051"/>
    <n v="9103.43"/>
    <x v="1"/>
    <x v="1"/>
  </r>
  <r>
    <n v="2112"/>
    <n v="185161"/>
    <x v="0"/>
    <x v="244"/>
    <m/>
    <s v="0MWD07125"/>
    <m/>
    <n v="2014"/>
    <s v="Integrated Rental"/>
    <s v="Caterpillar"/>
    <s v="Bucket Loader"/>
    <d v="2017-06-29T00:00:00"/>
    <d v="2017-06-29T00:00:00"/>
    <s v="2112-17-0029-1"/>
    <n v="700"/>
    <n v="14030"/>
    <n v="25365.599999999999"/>
    <n v="14036"/>
    <n v="22043.87"/>
    <n v="3321.7299999999996"/>
    <n v="2113.8000000000002"/>
    <n v="51260"/>
    <n v="301.97000000000003"/>
    <s v="P"/>
    <m/>
    <s v="T2391501"/>
    <m/>
    <s v="Internal"/>
    <s v="A"/>
    <s v="SL"/>
    <m/>
    <s v="WCNX"/>
    <n v="0"/>
    <n v="0"/>
    <m/>
    <x v="15"/>
    <n v="6"/>
    <n v="2017"/>
    <n v="2024"/>
    <n v="2024.5"/>
    <n v="301.97142857142859"/>
    <n v="3623.6571428571433"/>
    <n v="3623.6571428571433"/>
    <n v="18722.228571428845"/>
    <n v="22345.885714285989"/>
    <x v="183"/>
    <x v="1"/>
  </r>
  <r>
    <n v="2112"/>
    <n v="184561"/>
    <x v="29"/>
    <x v="245"/>
    <m/>
    <m/>
    <m/>
    <n v="0"/>
    <s v="WA St DOL"/>
    <m/>
    <s v="Non-Rolling Stock"/>
    <d v="2017-07-15T00:00:00"/>
    <d v="2017-07-15T00:00:00"/>
    <s v="2112-17-0017-1"/>
    <n v="1000"/>
    <n v="14040"/>
    <n v="692"/>
    <n v="14046"/>
    <n v="420.97"/>
    <n v="271.02999999999997"/>
    <n v="40.369999999999997"/>
    <n v="51260"/>
    <n v="5.77"/>
    <s v="P"/>
    <m/>
    <n v="69171606"/>
    <m/>
    <s v="Internal"/>
    <s v="A"/>
    <s v="SL"/>
    <m/>
    <s v="WCNX"/>
    <n v="0"/>
    <n v="0"/>
    <m/>
    <x v="15"/>
    <n v="7"/>
    <n v="2017"/>
    <n v="2027"/>
    <n v="2027.5833333333333"/>
    <n v="5.7666666666666666"/>
    <n v="69.2"/>
    <n v="69.2"/>
    <n v="351.76666666667717"/>
    <n v="420.96666666667716"/>
    <x v="184"/>
    <x v="1"/>
  </r>
  <r>
    <n v="2112"/>
    <n v="184362"/>
    <x v="0"/>
    <x v="246"/>
    <m/>
    <s v="3BPDLJ0X3JF186843"/>
    <s v="C63962J"/>
    <n v="2018"/>
    <s v="PeterBilt 520"/>
    <s v="Labrie"/>
    <s v="Automated Sideload"/>
    <d v="2017-07-15T00:00:00"/>
    <d v="2017-07-15T00:00:00"/>
    <s v="2112-17-0017-1"/>
    <n v="1000"/>
    <n v="14040"/>
    <n v="328375.48"/>
    <n v="14046"/>
    <n v="199761.7"/>
    <n v="128613.77999999997"/>
    <n v="19155.240000000002"/>
    <n v="51260"/>
    <n v="2736.46"/>
    <s v="P"/>
    <m/>
    <s v="P186843"/>
    <n v="887"/>
    <s v="Internal"/>
    <s v="A"/>
    <s v="SL"/>
    <m/>
    <s v="WCNX"/>
    <n v="0"/>
    <n v="0"/>
    <m/>
    <x v="15"/>
    <n v="7"/>
    <n v="2017"/>
    <n v="2027"/>
    <n v="2027.5833333333333"/>
    <n v="2736.4623333333329"/>
    <n v="32837.547999999995"/>
    <n v="32837.547999999995"/>
    <n v="166924.20233333833"/>
    <n v="199761.75033333834"/>
    <x v="185"/>
    <x v="1"/>
  </r>
  <r>
    <n v="2112"/>
    <n v="183718"/>
    <x v="0"/>
    <x v="247"/>
    <m/>
    <m/>
    <m/>
    <n v="0"/>
    <s v="Washington State DOL Clal"/>
    <m/>
    <s v="Non-Rolling Stock"/>
    <d v="2017-06-14T00:00:00"/>
    <d v="2017-06-14T00:00:00"/>
    <s v="2112-17-0015-1"/>
    <n v="1000"/>
    <n v="14040"/>
    <n v="1169.5"/>
    <n v="14046"/>
    <n v="721.19"/>
    <n v="448.30999999999995"/>
    <n v="68.22"/>
    <n v="51260"/>
    <n v="9.74"/>
    <s v="P"/>
    <m/>
    <n v="68473716"/>
    <m/>
    <s v="Internal"/>
    <s v="A"/>
    <s v="SL"/>
    <m/>
    <s v="WCNX"/>
    <n v="0"/>
    <n v="0"/>
    <m/>
    <x v="15"/>
    <n v="6"/>
    <n v="2017"/>
    <n v="2027"/>
    <n v="2027.5"/>
    <n v="9.7458333333333336"/>
    <n v="116.95"/>
    <n v="116.95"/>
    <n v="604.24166666667554"/>
    <n v="721.19166666667559"/>
    <x v="186"/>
    <x v="1"/>
  </r>
  <r>
    <n v="2112"/>
    <n v="183543"/>
    <x v="0"/>
    <x v="248"/>
    <m/>
    <m/>
    <m/>
    <n v="0"/>
    <s v="Snap-On"/>
    <m/>
    <m/>
    <d v="2017-04-30T00:00:00"/>
    <d v="2017-04-30T00:00:00"/>
    <s v="2112-17-0027-2"/>
    <n v="300"/>
    <n v="14110"/>
    <n v="6347"/>
    <n v="14116"/>
    <n v="6347"/>
    <n v="0"/>
    <n v="0"/>
    <n v="70260"/>
    <n v="0"/>
    <s v="P"/>
    <m/>
    <s v="1V0241329"/>
    <m/>
    <s v="Internal"/>
    <s v="A"/>
    <s v="SL"/>
    <m/>
    <s v="WCNX"/>
    <n v="0"/>
    <n v="0"/>
    <m/>
    <x v="15"/>
    <n v="4"/>
    <n v="2017"/>
    <n v="2020"/>
    <n v="2020.3333333333333"/>
    <n v="176.30555555555554"/>
    <n v="2115.6666666666665"/>
    <n v="0"/>
    <n v="6347"/>
    <n v="6347"/>
    <x v="1"/>
    <x v="1"/>
  </r>
  <r>
    <n v="2112"/>
    <n v="183527"/>
    <x v="0"/>
    <x v="249"/>
    <n v="624"/>
    <m/>
    <m/>
    <n v="0"/>
    <s v="Toter (Wastequip)"/>
    <m/>
    <m/>
    <d v="2017-06-10T00:00:00"/>
    <d v="2017-06-10T00:00:00"/>
    <s v="2112-17-0030-1"/>
    <n v="700"/>
    <n v="14050"/>
    <n v="32732.59"/>
    <n v="14056"/>
    <n v="28835.89"/>
    <n v="3896.7000000000007"/>
    <n v="2727.72"/>
    <n v="54260"/>
    <n v="389.67"/>
    <s v="P"/>
    <m/>
    <n v="65471400"/>
    <m/>
    <s v="Internal"/>
    <s v="A"/>
    <s v="SL"/>
    <m/>
    <s v="WCNX"/>
    <n v="0"/>
    <n v="0"/>
    <m/>
    <x v="15"/>
    <n v="6"/>
    <n v="2017"/>
    <n v="2024"/>
    <n v="2024.5"/>
    <n v="389.67369047619053"/>
    <n v="4676.0842857142861"/>
    <n v="4676.0842857142861"/>
    <n v="24159.768809524161"/>
    <n v="28835.853095238446"/>
    <x v="187"/>
    <x v="1"/>
  </r>
  <r>
    <n v="2112"/>
    <n v="183526"/>
    <x v="0"/>
    <x v="249"/>
    <n v="624"/>
    <m/>
    <m/>
    <n v="0"/>
    <s v="Toter (Wastequip)"/>
    <m/>
    <m/>
    <d v="2017-06-13T00:00:00"/>
    <d v="2017-06-13T00:00:00"/>
    <s v="2112-17-0030-1"/>
    <n v="700"/>
    <n v="14050"/>
    <n v="32732.59"/>
    <n v="14056"/>
    <n v="28835.89"/>
    <n v="3896.7000000000007"/>
    <n v="2727.72"/>
    <n v="54260"/>
    <n v="389.67"/>
    <s v="P"/>
    <m/>
    <n v="65471761"/>
    <m/>
    <s v="Internal"/>
    <s v="A"/>
    <s v="SL"/>
    <m/>
    <s v="WCNX"/>
    <n v="0"/>
    <n v="0"/>
    <m/>
    <x v="15"/>
    <n v="6"/>
    <n v="2017"/>
    <n v="2024"/>
    <n v="2024.5"/>
    <n v="389.67369047619053"/>
    <n v="4676.0842857142861"/>
    <n v="4676.0842857142861"/>
    <n v="24159.768809524161"/>
    <n v="28835.853095238446"/>
    <x v="187"/>
    <x v="1"/>
  </r>
  <r>
    <n v="2112"/>
    <n v="183280"/>
    <x v="0"/>
    <x v="250"/>
    <m/>
    <s v="1NPCX4EX1JD460289"/>
    <s v="C64235J"/>
    <n v="2018"/>
    <s v="PeterBilt 567"/>
    <s v="AA Welding"/>
    <s v="R/O Truck"/>
    <d v="2017-06-20T00:00:00"/>
    <d v="2017-06-20T00:00:00"/>
    <s v="2112-17-0015-1"/>
    <n v="1000"/>
    <n v="14040"/>
    <n v="233606.21"/>
    <n v="14046"/>
    <n v="142110.44"/>
    <n v="91495.76999999999"/>
    <n v="13627.03"/>
    <n v="51260"/>
    <n v="1946.72"/>
    <s v="P"/>
    <m/>
    <n v="96021"/>
    <n v="443"/>
    <s v="Internal"/>
    <s v="A"/>
    <s v="SL"/>
    <m/>
    <s v="WCNX"/>
    <n v="0"/>
    <n v="0"/>
    <m/>
    <x v="15"/>
    <n v="6"/>
    <n v="2017"/>
    <n v="2027"/>
    <n v="2027.5"/>
    <n v="1946.7184166666666"/>
    <n v="23360.620999999999"/>
    <n v="23360.620999999999"/>
    <n v="120696.5418333351"/>
    <n v="144057.16283333511"/>
    <x v="188"/>
    <x v="1"/>
  </r>
  <r>
    <n v="2112"/>
    <n v="181671"/>
    <x v="0"/>
    <x v="251"/>
    <n v="5"/>
    <m/>
    <m/>
    <n v="0"/>
    <s v="WASTEQUIP LLC"/>
    <m/>
    <s v="30 YD RO Box"/>
    <d v="2017-04-03T00:00:00"/>
    <d v="2017-04-03T00:00:00"/>
    <s v="2112-17-0024-1"/>
    <n v="1200"/>
    <n v="14050"/>
    <n v="30650"/>
    <n v="14056"/>
    <n v="16176.41"/>
    <n v="14473.59"/>
    <n v="1489.93"/>
    <n v="54260"/>
    <n v="212.84"/>
    <s v="P"/>
    <m/>
    <n v="37213993"/>
    <m/>
    <s v="Internal"/>
    <s v="A"/>
    <s v="SL"/>
    <m/>
    <s v="WCNX"/>
    <n v="0"/>
    <n v="0"/>
    <m/>
    <x v="15"/>
    <n v="4"/>
    <n v="2017"/>
    <n v="2029"/>
    <n v="2029.3333333333333"/>
    <n v="212.8472222222222"/>
    <n v="2554.1666666666665"/>
    <n v="2554.1666666666665"/>
    <n v="13622.222222222612"/>
    <n v="16176.388888889278"/>
    <x v="189"/>
    <x v="1"/>
  </r>
  <r>
    <n v="2112"/>
    <n v="181670"/>
    <x v="0"/>
    <x v="252"/>
    <n v="5"/>
    <m/>
    <m/>
    <n v="0"/>
    <s v="WASTEQUIP LLC"/>
    <m/>
    <s v="20 YD RO Box"/>
    <d v="2017-04-03T00:00:00"/>
    <d v="2017-04-03T00:00:00"/>
    <s v="2112-17-0024-1"/>
    <n v="1200"/>
    <n v="14050"/>
    <n v="27760"/>
    <n v="14056"/>
    <n v="14651.09"/>
    <n v="13108.91"/>
    <n v="1349.44"/>
    <n v="54260"/>
    <n v="192.77"/>
    <s v="P"/>
    <m/>
    <n v="37213979"/>
    <m/>
    <s v="Internal"/>
    <s v="A"/>
    <s v="SL"/>
    <m/>
    <s v="WCNX"/>
    <n v="0"/>
    <n v="0"/>
    <m/>
    <x v="15"/>
    <n v="4"/>
    <n v="2017"/>
    <n v="2029"/>
    <n v="2029.3333333333333"/>
    <n v="192.7777777777778"/>
    <n v="2313.3333333333335"/>
    <n v="2313.3333333333335"/>
    <n v="12337.777777778127"/>
    <n v="14651.111111111461"/>
    <x v="190"/>
    <x v="1"/>
  </r>
  <r>
    <n v="2112"/>
    <n v="181057"/>
    <x v="0"/>
    <x v="253"/>
    <n v="624"/>
    <m/>
    <m/>
    <n v="0"/>
    <s v="WASTEQUIP LLC"/>
    <m/>
    <m/>
    <d v="2017-04-07T00:00:00"/>
    <d v="2017-04-07T00:00:00"/>
    <s v="2112-17-0025-1"/>
    <n v="700"/>
    <n v="14050"/>
    <n v="32539.06"/>
    <n v="14056"/>
    <n v="29440.12"/>
    <n v="3098.9400000000023"/>
    <n v="2711.59"/>
    <n v="54260"/>
    <n v="387.37"/>
    <s v="P"/>
    <m/>
    <n v="65452226"/>
    <m/>
    <s v="Internal"/>
    <s v="A"/>
    <s v="SL"/>
    <m/>
    <s v="WCNX"/>
    <n v="0"/>
    <n v="0"/>
    <m/>
    <x v="15"/>
    <n v="4"/>
    <n v="2017"/>
    <n v="2024"/>
    <n v="2024.3333333333333"/>
    <n v="387.3697619047619"/>
    <n v="4648.437142857143"/>
    <n v="4648.437142857143"/>
    <n v="24791.664761905467"/>
    <n v="29440.101904762611"/>
    <x v="191"/>
    <x v="1"/>
  </r>
  <r>
    <n v="2112"/>
    <n v="180542"/>
    <x v="0"/>
    <x v="254"/>
    <m/>
    <m/>
    <m/>
    <n v="0"/>
    <s v="CDW"/>
    <m/>
    <m/>
    <d v="2017-04-30T00:00:00"/>
    <d v="2017-04-30T00:00:00"/>
    <s v="2112-17-0027-2"/>
    <n v="300"/>
    <n v="14110"/>
    <n v="1342.11"/>
    <n v="14116"/>
    <n v="1342.11"/>
    <n v="0"/>
    <n v="0"/>
    <n v="70260"/>
    <n v="0"/>
    <s v="P"/>
    <m/>
    <s v="HHT5838"/>
    <m/>
    <s v="Internal"/>
    <s v="A"/>
    <s v="SL"/>
    <m/>
    <s v="WCNX"/>
    <n v="0"/>
    <n v="0"/>
    <m/>
    <x v="15"/>
    <n v="4"/>
    <n v="2017"/>
    <n v="2020"/>
    <n v="2020.3333333333333"/>
    <n v="37.280833333333327"/>
    <n v="447.36999999999989"/>
    <n v="0"/>
    <n v="1342.11"/>
    <n v="1342.11"/>
    <x v="1"/>
    <x v="1"/>
  </r>
  <r>
    <n v="2112"/>
    <n v="180264"/>
    <x v="0"/>
    <x v="255"/>
    <n v="380"/>
    <m/>
    <m/>
    <n v="0"/>
    <s v="WASTEQUIP LLC"/>
    <m/>
    <m/>
    <d v="2017-04-20T00:00:00"/>
    <d v="2017-04-20T00:00:00"/>
    <s v="2112-17-0025-1"/>
    <n v="700"/>
    <n v="14050"/>
    <n v="20835.12"/>
    <n v="14056"/>
    <n v="18602.810000000001"/>
    <n v="2232.3099999999977"/>
    <n v="1736.26"/>
    <n v="54260"/>
    <n v="248.03"/>
    <s v="P"/>
    <m/>
    <n v="65458447"/>
    <m/>
    <s v="Internal"/>
    <s v="A"/>
    <s v="SL"/>
    <m/>
    <s v="WCNX"/>
    <n v="0"/>
    <n v="0"/>
    <m/>
    <x v="15"/>
    <n v="4"/>
    <n v="2017"/>
    <n v="2024"/>
    <n v="2024.3333333333333"/>
    <n v="248.03714285714284"/>
    <n v="2976.4457142857141"/>
    <n v="2976.4457142857141"/>
    <n v="15874.377142857593"/>
    <n v="18850.822857143306"/>
    <x v="192"/>
    <x v="1"/>
  </r>
  <r>
    <n v="2112"/>
    <n v="179933"/>
    <x v="0"/>
    <x v="253"/>
    <n v="624"/>
    <m/>
    <m/>
    <n v="0"/>
    <s v="WASTEQUIP LLC"/>
    <m/>
    <m/>
    <d v="2017-04-07T00:00:00"/>
    <d v="2017-04-07T00:00:00"/>
    <s v="2112-17-0025-1"/>
    <n v="700"/>
    <n v="14050"/>
    <n v="32539.06"/>
    <n v="14056"/>
    <n v="29440.12"/>
    <n v="3098.9400000000023"/>
    <n v="2711.59"/>
    <n v="54260"/>
    <n v="387.37"/>
    <s v="P"/>
    <m/>
    <n v="65454579"/>
    <m/>
    <s v="Internal"/>
    <s v="A"/>
    <s v="SL"/>
    <m/>
    <s v="WCNX"/>
    <n v="0"/>
    <n v="0"/>
    <m/>
    <x v="15"/>
    <n v="4"/>
    <n v="2017"/>
    <n v="2024"/>
    <n v="2024.3333333333333"/>
    <n v="387.3697619047619"/>
    <n v="4648.437142857143"/>
    <n v="4648.437142857143"/>
    <n v="24791.664761905467"/>
    <n v="29440.101904762611"/>
    <x v="191"/>
    <x v="1"/>
  </r>
  <r>
    <n v="2112"/>
    <n v="179932"/>
    <x v="0"/>
    <x v="253"/>
    <n v="624"/>
    <m/>
    <m/>
    <n v="0"/>
    <s v="WASTEQUIP LLC"/>
    <m/>
    <m/>
    <d v="2017-04-07T00:00:00"/>
    <d v="2017-04-07T00:00:00"/>
    <s v="2112-17-0025-1"/>
    <n v="700"/>
    <n v="14050"/>
    <n v="32539.06"/>
    <n v="14056"/>
    <n v="29440.12"/>
    <n v="3098.9400000000023"/>
    <n v="2711.59"/>
    <n v="54260"/>
    <n v="387.37"/>
    <s v="P"/>
    <m/>
    <n v="65454397"/>
    <m/>
    <s v="Internal"/>
    <s v="A"/>
    <s v="SL"/>
    <m/>
    <s v="WCNX"/>
    <n v="0"/>
    <n v="0"/>
    <m/>
    <x v="15"/>
    <n v="4"/>
    <n v="2017"/>
    <n v="2024"/>
    <n v="2024.3333333333333"/>
    <n v="387.3697619047619"/>
    <n v="4648.437142857143"/>
    <n v="4648.437142857143"/>
    <n v="24791.664761905467"/>
    <n v="29440.101904762611"/>
    <x v="191"/>
    <x v="1"/>
  </r>
  <r>
    <n v="2112"/>
    <n v="179887"/>
    <x v="0"/>
    <x v="253"/>
    <n v="624"/>
    <m/>
    <m/>
    <n v="0"/>
    <s v="WASTEQUIP LLC"/>
    <m/>
    <m/>
    <d v="2017-04-07T00:00:00"/>
    <d v="2017-04-07T00:00:00"/>
    <s v="2112-17-0025-1"/>
    <n v="700"/>
    <n v="14050"/>
    <n v="32539.06"/>
    <n v="14056"/>
    <n v="29440.12"/>
    <n v="3098.9400000000023"/>
    <n v="2711.59"/>
    <n v="54260"/>
    <n v="387.37"/>
    <s v="P"/>
    <m/>
    <n v="65453915"/>
    <m/>
    <s v="Internal"/>
    <s v="A"/>
    <s v="SL"/>
    <m/>
    <s v="WCNX"/>
    <n v="0"/>
    <n v="0"/>
    <m/>
    <x v="15"/>
    <n v="4"/>
    <n v="2017"/>
    <n v="2024"/>
    <n v="2024.3333333333333"/>
    <n v="387.3697619047619"/>
    <n v="4648.437142857143"/>
    <n v="4648.437142857143"/>
    <n v="24791.664761905467"/>
    <n v="29440.101904762611"/>
    <x v="191"/>
    <x v="1"/>
  </r>
  <r>
    <n v="2112"/>
    <n v="179236"/>
    <x v="0"/>
    <x v="256"/>
    <m/>
    <m/>
    <m/>
    <n v="0"/>
    <s v="CDW"/>
    <m/>
    <m/>
    <d v="2017-03-17T00:00:00"/>
    <d v="2017-03-17T00:00:00"/>
    <s v="2112-17-0026-1"/>
    <n v="300"/>
    <n v="14110"/>
    <n v="1195.8499999999999"/>
    <n v="14116"/>
    <n v="1195.8499999999999"/>
    <n v="0"/>
    <n v="0"/>
    <n v="70260"/>
    <n v="0"/>
    <s v="P"/>
    <m/>
    <s v="HGF2099"/>
    <m/>
    <s v="Internal"/>
    <s v="A"/>
    <s v="SL"/>
    <m/>
    <s v="WCNX"/>
    <n v="0"/>
    <n v="0"/>
    <m/>
    <x v="15"/>
    <n v="3"/>
    <n v="2017"/>
    <n v="2020"/>
    <n v="2020.25"/>
    <n v="33.218055555555551"/>
    <n v="398.61666666666662"/>
    <n v="0"/>
    <n v="1195.8499999999999"/>
    <n v="1195.8499999999999"/>
    <x v="1"/>
    <x v="1"/>
  </r>
  <r>
    <n v="2112"/>
    <n v="179132"/>
    <x v="0"/>
    <x v="191"/>
    <n v="450"/>
    <m/>
    <m/>
    <n v="0"/>
    <s v="WASTEQUIP LLC"/>
    <m/>
    <m/>
    <d v="2017-03-31T00:00:00"/>
    <d v="2017-03-31T00:00:00"/>
    <s v="2112-17-0025-1"/>
    <n v="700"/>
    <n v="14050"/>
    <n v="19387.97"/>
    <n v="14056"/>
    <n v="17541.490000000002"/>
    <n v="1846.4799999999996"/>
    <n v="1615.66"/>
    <n v="54260"/>
    <n v="230.8"/>
    <s v="P"/>
    <m/>
    <n v="65452944"/>
    <m/>
    <s v="Internal"/>
    <s v="A"/>
    <s v="SL"/>
    <m/>
    <s v="WCNX"/>
    <n v="0"/>
    <n v="0"/>
    <m/>
    <x v="15"/>
    <n v="3"/>
    <n v="2017"/>
    <n v="2024"/>
    <n v="2024.25"/>
    <n v="230.80916666666667"/>
    <n v="2769.71"/>
    <n v="2769.71"/>
    <n v="15002.595833333544"/>
    <n v="17772.305833333543"/>
    <x v="193"/>
    <x v="1"/>
  </r>
  <r>
    <n v="2112"/>
    <n v="179025"/>
    <x v="0"/>
    <x v="191"/>
    <n v="840"/>
    <m/>
    <m/>
    <n v="0"/>
    <s v="WASTEQUIP LLC"/>
    <m/>
    <m/>
    <d v="2017-03-28T00:00:00"/>
    <d v="2017-03-28T00:00:00"/>
    <s v="2112-17-0025-1"/>
    <n v="700"/>
    <n v="14050"/>
    <n v="33930.910000000003"/>
    <n v="14056"/>
    <n v="30699.38"/>
    <n v="3231.5300000000025"/>
    <n v="2827.57"/>
    <n v="54260"/>
    <n v="403.93"/>
    <s v="P"/>
    <m/>
    <n v="65451699"/>
    <m/>
    <s v="Internal"/>
    <s v="A"/>
    <s v="SL"/>
    <m/>
    <s v="WCNX"/>
    <n v="0"/>
    <n v="0"/>
    <m/>
    <x v="15"/>
    <n v="3"/>
    <n v="2017"/>
    <n v="2024"/>
    <n v="2024.25"/>
    <n v="403.93940476190483"/>
    <n v="4847.2728571428579"/>
    <n v="4847.2728571428579"/>
    <n v="26256.061309524179"/>
    <n v="31103.334166667039"/>
    <x v="194"/>
    <x v="1"/>
  </r>
  <r>
    <n v="2112"/>
    <n v="178886"/>
    <x v="0"/>
    <x v="172"/>
    <n v="624"/>
    <m/>
    <m/>
    <n v="0"/>
    <s v="WASTEQUIP LLC"/>
    <m/>
    <m/>
    <d v="2017-03-30T00:00:00"/>
    <d v="2017-03-30T00:00:00"/>
    <s v="2112-17-0025-1"/>
    <n v="700"/>
    <n v="14050"/>
    <n v="32539.06"/>
    <n v="14056"/>
    <n v="29440.12"/>
    <n v="3098.9400000000023"/>
    <n v="2711.59"/>
    <n v="54260"/>
    <n v="387.37"/>
    <s v="P"/>
    <m/>
    <n v="65452362"/>
    <m/>
    <s v="Internal"/>
    <s v="A"/>
    <s v="SL"/>
    <m/>
    <s v="WCNX"/>
    <n v="0"/>
    <n v="0"/>
    <m/>
    <x v="15"/>
    <n v="3"/>
    <n v="2017"/>
    <n v="2024"/>
    <n v="2024.25"/>
    <n v="387.3697619047619"/>
    <n v="4648.437142857143"/>
    <n v="4648.437142857143"/>
    <n v="25179.034523809878"/>
    <n v="29827.471666667021"/>
    <x v="195"/>
    <x v="1"/>
  </r>
  <r>
    <n v="2112"/>
    <n v="178885"/>
    <x v="0"/>
    <x v="257"/>
    <n v="840"/>
    <m/>
    <m/>
    <n v="0"/>
    <s v="WASTEQUIP LLC"/>
    <m/>
    <m/>
    <d v="2017-03-28T00:00:00"/>
    <d v="2017-03-28T00:00:00"/>
    <s v="2112-17-0025-1"/>
    <n v="700"/>
    <n v="14050"/>
    <n v="33930.910000000003"/>
    <n v="14056"/>
    <n v="30699.38"/>
    <n v="3231.5300000000025"/>
    <n v="2827.57"/>
    <n v="54260"/>
    <n v="403.93"/>
    <s v="P"/>
    <m/>
    <n v="65451956"/>
    <m/>
    <s v="Internal"/>
    <s v="A"/>
    <s v="SL"/>
    <m/>
    <s v="WCNX"/>
    <n v="0"/>
    <n v="0"/>
    <m/>
    <x v="15"/>
    <n v="3"/>
    <n v="2017"/>
    <n v="2024"/>
    <n v="2024.25"/>
    <n v="403.93940476190483"/>
    <n v="4847.2728571428579"/>
    <n v="4847.2728571428579"/>
    <n v="26256.061309524179"/>
    <n v="31103.334166667039"/>
    <x v="194"/>
    <x v="1"/>
  </r>
  <r>
    <n v="2112"/>
    <n v="178884"/>
    <x v="0"/>
    <x v="258"/>
    <n v="376"/>
    <m/>
    <m/>
    <n v="0"/>
    <s v="WASTEQUIP LLC"/>
    <m/>
    <m/>
    <d v="2017-03-28T00:00:00"/>
    <d v="2017-03-28T00:00:00"/>
    <s v="2112-17-0025-1"/>
    <n v="700"/>
    <n v="14050"/>
    <n v="18938.43"/>
    <n v="14056"/>
    <n v="17134.77"/>
    <n v="1803.6599999999999"/>
    <n v="1578.2"/>
    <n v="54260"/>
    <n v="225.45"/>
    <s v="P"/>
    <m/>
    <n v="65451988"/>
    <m/>
    <s v="Internal"/>
    <s v="A"/>
    <s v="SL"/>
    <m/>
    <s v="WCNX"/>
    <n v="0"/>
    <n v="0"/>
    <m/>
    <x v="15"/>
    <n v="3"/>
    <n v="2017"/>
    <n v="2024"/>
    <n v="2024.25"/>
    <n v="225.45750000000001"/>
    <n v="2705.4900000000002"/>
    <n v="2705.4900000000002"/>
    <n v="14654.737500000205"/>
    <n v="17360.227500000205"/>
    <x v="196"/>
    <x v="1"/>
  </r>
  <r>
    <n v="2112"/>
    <n v="178883"/>
    <x v="0"/>
    <x v="259"/>
    <n v="510"/>
    <m/>
    <m/>
    <n v="0"/>
    <s v="WASTEQUIP LLC"/>
    <m/>
    <m/>
    <d v="2017-03-28T00:00:00"/>
    <d v="2017-03-28T00:00:00"/>
    <s v="2112-17-0025-1"/>
    <n v="700"/>
    <n v="14050"/>
    <n v="22508.94"/>
    <n v="14056"/>
    <n v="20365.150000000001"/>
    <n v="2143.7899999999972"/>
    <n v="1875.74"/>
    <n v="54260"/>
    <n v="267.95999999999998"/>
    <s v="P"/>
    <m/>
    <n v="65451988"/>
    <m/>
    <s v="Internal"/>
    <s v="A"/>
    <s v="SL"/>
    <m/>
    <s v="WCNX"/>
    <n v="0"/>
    <n v="0"/>
    <m/>
    <x v="15"/>
    <n v="3"/>
    <n v="2017"/>
    <n v="2024"/>
    <n v="2024.25"/>
    <n v="267.96357142857141"/>
    <n v="3215.562857142857"/>
    <n v="3215.562857142857"/>
    <n v="17417.632142857386"/>
    <n v="20633.195000000243"/>
    <x v="197"/>
    <x v="1"/>
  </r>
  <r>
    <n v="2112"/>
    <n v="177802"/>
    <x v="0"/>
    <x v="260"/>
    <n v="35"/>
    <m/>
    <m/>
    <n v="0"/>
    <s v="WASTEQUIP LLC"/>
    <m/>
    <s v="2 YD FEL/REL/SL Metal"/>
    <d v="2017-03-10T00:00:00"/>
    <d v="2017-03-10T00:00:00"/>
    <s v="2112-17-0023-2"/>
    <n v="1200"/>
    <n v="14050"/>
    <n v="22503.84"/>
    <n v="14056"/>
    <n v="12033.31"/>
    <n v="10470.530000000001"/>
    <n v="1093.94"/>
    <n v="54260"/>
    <n v="156.28"/>
    <s v="P"/>
    <m/>
    <n v="37213932"/>
    <m/>
    <s v="Internal"/>
    <s v="A"/>
    <s v="SL"/>
    <m/>
    <s v="WCNX"/>
    <n v="0"/>
    <n v="0"/>
    <m/>
    <x v="15"/>
    <n v="3"/>
    <n v="2017"/>
    <n v="2029"/>
    <n v="2029.25"/>
    <n v="156.27666666666667"/>
    <n v="1875.3200000000002"/>
    <n v="1875.3200000000002"/>
    <n v="10157.983333333475"/>
    <n v="12033.303333333475"/>
    <x v="198"/>
    <x v="1"/>
  </r>
  <r>
    <n v="2112"/>
    <n v="177801"/>
    <x v="0"/>
    <x v="261"/>
    <n v="49"/>
    <m/>
    <m/>
    <n v="0"/>
    <s v="WASTEQUIP LLC"/>
    <m/>
    <s v="2 YD FEL/REL/SL Metal"/>
    <d v="2017-03-07T00:00:00"/>
    <d v="2017-03-07T00:00:00"/>
    <s v="2112-17-0023-1"/>
    <n v="1200"/>
    <n v="14050"/>
    <n v="23763.45"/>
    <n v="14056"/>
    <n v="12706.86"/>
    <n v="11056.59"/>
    <n v="1155.17"/>
    <n v="54260"/>
    <n v="165.02"/>
    <s v="P"/>
    <m/>
    <n v="37213879"/>
    <m/>
    <s v="Internal"/>
    <s v="A"/>
    <s v="SL"/>
    <m/>
    <s v="WCNX"/>
    <n v="0"/>
    <n v="0"/>
    <m/>
    <x v="15"/>
    <n v="3"/>
    <n v="2017"/>
    <n v="2029"/>
    <n v="2029.25"/>
    <n v="165.02395833333335"/>
    <n v="1980.2875000000004"/>
    <n v="1980.2875000000004"/>
    <n v="10726.557291666815"/>
    <n v="12706.844791666816"/>
    <x v="199"/>
    <x v="1"/>
  </r>
  <r>
    <n v="2112"/>
    <n v="177800"/>
    <x v="0"/>
    <x v="262"/>
    <n v="16"/>
    <m/>
    <m/>
    <n v="0"/>
    <s v="WASTEQUIP LLC"/>
    <m/>
    <s v="3 YD FEL/REL/SL Metal"/>
    <d v="2017-03-07T00:00:00"/>
    <d v="2017-03-07T00:00:00"/>
    <s v="2112-17-0023-1"/>
    <n v="1200"/>
    <n v="14050"/>
    <n v="7912.19"/>
    <n v="14056"/>
    <n v="4230.83"/>
    <n v="3681.3599999999997"/>
    <n v="384.62"/>
    <n v="54260"/>
    <n v="54.94"/>
    <s v="P"/>
    <m/>
    <n v="37213922"/>
    <m/>
    <s v="Internal"/>
    <s v="A"/>
    <s v="SL"/>
    <m/>
    <s v="WCNX"/>
    <n v="0"/>
    <n v="0"/>
    <m/>
    <x v="15"/>
    <n v="3"/>
    <n v="2017"/>
    <n v="2029"/>
    <n v="2029.25"/>
    <n v="54.945763888888884"/>
    <n v="659.34916666666663"/>
    <n v="659.34916666666663"/>
    <n v="3571.4746527778279"/>
    <n v="4230.8238194444948"/>
    <x v="200"/>
    <x v="1"/>
  </r>
  <r>
    <n v="2112"/>
    <n v="177799"/>
    <x v="0"/>
    <x v="263"/>
    <n v="1"/>
    <m/>
    <m/>
    <n v="0"/>
    <s v="WASTEQUIP LLC"/>
    <m/>
    <s v="2 YD FEL/REL/SL Metal"/>
    <d v="2017-03-07T00:00:00"/>
    <d v="2017-03-07T00:00:00"/>
    <s v="2112-17-0023-1"/>
    <n v="1200"/>
    <n v="14050"/>
    <n v="484.75"/>
    <n v="14056"/>
    <n v="259.23"/>
    <n v="225.51999999999998"/>
    <n v="23.57"/>
    <n v="54260"/>
    <n v="3.37"/>
    <s v="P"/>
    <m/>
    <n v="37213922"/>
    <m/>
    <s v="Internal"/>
    <s v="A"/>
    <s v="SL"/>
    <m/>
    <s v="WCNX"/>
    <n v="0"/>
    <n v="0"/>
    <m/>
    <x v="15"/>
    <n v="3"/>
    <n v="2017"/>
    <n v="2029"/>
    <n v="2029.25"/>
    <n v="3.3663194444444446"/>
    <n v="40.395833333333336"/>
    <n v="40.395833333333336"/>
    <n v="218.81076388889193"/>
    <n v="259.20659722222524"/>
    <x v="201"/>
    <x v="1"/>
  </r>
  <r>
    <n v="2112"/>
    <n v="177798"/>
    <x v="0"/>
    <x v="264"/>
    <n v="22"/>
    <m/>
    <m/>
    <n v="0"/>
    <s v="WASTEQUIP LLC"/>
    <m/>
    <s v="1.5 YD FEL/REL/SL Metal"/>
    <d v="2017-03-07T00:00:00"/>
    <d v="2017-03-07T00:00:00"/>
    <s v="2112-17-0023-1"/>
    <n v="1200"/>
    <n v="14050"/>
    <n v="10450"/>
    <n v="14056"/>
    <n v="5587.83"/>
    <n v="4862.17"/>
    <n v="507.98"/>
    <n v="54260"/>
    <n v="72.56"/>
    <s v="P"/>
    <m/>
    <n v="37213922"/>
    <m/>
    <s v="Internal"/>
    <s v="A"/>
    <s v="SL"/>
    <m/>
    <s v="WCNX"/>
    <n v="0"/>
    <n v="0"/>
    <m/>
    <x v="15"/>
    <n v="3"/>
    <n v="2017"/>
    <n v="2029"/>
    <n v="2029.25"/>
    <n v="72.569444444444443"/>
    <n v="870.83333333333326"/>
    <n v="870.83333333333326"/>
    <n v="4717.0138888889551"/>
    <n v="5587.8472222222881"/>
    <x v="202"/>
    <x v="1"/>
  </r>
  <r>
    <n v="2112"/>
    <n v="177797"/>
    <x v="0"/>
    <x v="265"/>
    <n v="60"/>
    <m/>
    <m/>
    <n v="0"/>
    <s v="WASTEQUIP LLC"/>
    <m/>
    <s v="1 YD FEL/REL/SL Metal"/>
    <d v="2017-03-07T00:00:00"/>
    <d v="2017-03-07T00:00:00"/>
    <s v="2112-17-0023-1"/>
    <n v="1200"/>
    <n v="14050"/>
    <n v="26093.53"/>
    <n v="14056"/>
    <n v="13952.79"/>
    <n v="12140.739999999998"/>
    <n v="1268.44"/>
    <n v="54260"/>
    <n v="181.21"/>
    <s v="P"/>
    <m/>
    <n v="37213922"/>
    <m/>
    <s v="Internal"/>
    <s v="A"/>
    <s v="SL"/>
    <m/>
    <s v="WCNX"/>
    <n v="0"/>
    <n v="0"/>
    <m/>
    <x v="15"/>
    <n v="3"/>
    <n v="2017"/>
    <n v="2029"/>
    <n v="2029.25"/>
    <n v="181.20506944444443"/>
    <n v="2174.4608333333331"/>
    <n v="2174.4608333333331"/>
    <n v="11778.329513889053"/>
    <n v="13952.790347222386"/>
    <x v="203"/>
    <x v="1"/>
  </r>
  <r>
    <n v="2112"/>
    <n v="174644"/>
    <x v="0"/>
    <x v="266"/>
    <n v="0"/>
    <s v="1FTRW14W88FB86745"/>
    <s v="C20489D"/>
    <n v="2008"/>
    <s v="FORD F-150"/>
    <s v="Pickup"/>
    <s v="Pick Up Truck"/>
    <d v="2011-11-30T00:00:00"/>
    <d v="2011-11-30T00:00:00"/>
    <s v="2144-11-0012-1"/>
    <n v="300"/>
    <n v="14040"/>
    <n v="27526"/>
    <n v="14046"/>
    <n v="27526"/>
    <n v="0"/>
    <n v="0"/>
    <n v="51260"/>
    <n v="0"/>
    <s v="P"/>
    <m/>
    <s v="Deal #75096"/>
    <n v="102"/>
    <s v="Internal"/>
    <s v="A"/>
    <s v="SL"/>
    <d v="2017-01-31T00:00:00"/>
    <s v="WCNX"/>
    <n v="0"/>
    <n v="27526"/>
    <m/>
    <x v="15"/>
    <n v="11"/>
    <n v="2011"/>
    <n v="2014"/>
    <n v="2014.9166666666667"/>
    <n v="764.6111111111112"/>
    <n v="9175.3333333333339"/>
    <n v="0"/>
    <n v="27526"/>
    <n v="27526"/>
    <x v="1"/>
    <x v="1"/>
  </r>
  <r>
    <n v="2112"/>
    <n v="173864"/>
    <x v="0"/>
    <x v="267"/>
    <n v="335"/>
    <m/>
    <m/>
    <n v="0"/>
    <s v="Toter"/>
    <m/>
    <m/>
    <d v="2016-11-28T00:00:00"/>
    <d v="2016-11-28T00:00:00"/>
    <s v="2148-16-0025-1"/>
    <n v="700"/>
    <n v="14050"/>
    <n v="15248.51"/>
    <n v="14056"/>
    <n v="14522.4"/>
    <n v="726.11000000000058"/>
    <n v="1270.71"/>
    <n v="54260"/>
    <n v="181.53"/>
    <s v="P"/>
    <m/>
    <n v="65438528"/>
    <m/>
    <s v="Internal"/>
    <s v="A"/>
    <s v="SL"/>
    <d v="2016-12-31T00:00:00"/>
    <s v="WCNX"/>
    <n v="0"/>
    <n v="181.53"/>
    <m/>
    <x v="15"/>
    <n v="11"/>
    <n v="2016"/>
    <n v="2023"/>
    <n v="2023.9166666666667"/>
    <n v="181.52988095238095"/>
    <n v="2178.3585714285714"/>
    <n v="2178.3585714285714"/>
    <n v="12525.561785714286"/>
    <n v="14703.920357142857"/>
    <x v="204"/>
    <x v="1"/>
  </r>
  <r>
    <n v="2112"/>
    <n v="173863"/>
    <x v="0"/>
    <x v="191"/>
    <n v="401"/>
    <m/>
    <m/>
    <n v="0"/>
    <s v="Toter"/>
    <m/>
    <m/>
    <d v="2016-11-28T00:00:00"/>
    <d v="2016-11-28T00:00:00"/>
    <s v="2148-16-0025-1"/>
    <n v="700"/>
    <n v="14050"/>
    <n v="16470.48"/>
    <n v="14056"/>
    <n v="15686.19"/>
    <n v="784.28999999999905"/>
    <n v="1372.53"/>
    <n v="54260"/>
    <n v="196.08"/>
    <s v="P"/>
    <m/>
    <n v="65438528"/>
    <m/>
    <s v="Internal"/>
    <s v="A"/>
    <s v="SL"/>
    <d v="2016-12-31T00:00:00"/>
    <s v="WCNX"/>
    <n v="0"/>
    <n v="196.08"/>
    <m/>
    <x v="15"/>
    <n v="11"/>
    <n v="2016"/>
    <n v="2023"/>
    <n v="2023.9166666666667"/>
    <n v="196.07714285714283"/>
    <n v="2352.9257142857141"/>
    <n v="2352.9257142857141"/>
    <n v="13529.322857142857"/>
    <n v="15882.248571428572"/>
    <x v="205"/>
    <x v="1"/>
  </r>
  <r>
    <n v="2112"/>
    <n v="173862"/>
    <x v="0"/>
    <x v="172"/>
    <n v="75"/>
    <m/>
    <m/>
    <n v="0"/>
    <s v="Toter"/>
    <m/>
    <m/>
    <d v="2016-11-28T00:00:00"/>
    <d v="2016-11-28T00:00:00"/>
    <s v="2148-16-0025-1"/>
    <n v="700"/>
    <n v="14050"/>
    <n v="3873.19"/>
    <n v="14056"/>
    <n v="3688.75"/>
    <n v="184.44000000000005"/>
    <n v="322.77999999999997"/>
    <n v="54260"/>
    <n v="46.11"/>
    <s v="P"/>
    <m/>
    <n v="65438528"/>
    <m/>
    <s v="Internal"/>
    <s v="A"/>
    <s v="SL"/>
    <d v="2016-12-31T00:00:00"/>
    <s v="WCNX"/>
    <n v="0"/>
    <n v="46.11"/>
    <m/>
    <x v="15"/>
    <n v="11"/>
    <n v="2016"/>
    <n v="2023"/>
    <n v="2023.9166666666667"/>
    <n v="46.109404761904763"/>
    <n v="553.31285714285718"/>
    <n v="553.31285714285718"/>
    <n v="3181.5489285714284"/>
    <n v="3734.8617857142854"/>
    <x v="206"/>
    <x v="1"/>
  </r>
  <r>
    <n v="2112"/>
    <n v="173861"/>
    <x v="30"/>
    <x v="268"/>
    <m/>
    <m/>
    <m/>
    <n v="0"/>
    <s v="H&amp;R Parts &amp; Equipment"/>
    <m/>
    <s v="Non-Rolling Stock"/>
    <d v="2016-12-12T00:00:00"/>
    <d v="2016-12-12T00:00:00"/>
    <s v="2148-16-0026-1"/>
    <n v="300"/>
    <n v="14040"/>
    <n v="18669.45"/>
    <n v="14046"/>
    <n v="18669.45"/>
    <n v="0"/>
    <n v="0"/>
    <n v="51260"/>
    <n v="0"/>
    <s v="P"/>
    <m/>
    <n v="18115"/>
    <m/>
    <s v="Internal"/>
    <s v="A"/>
    <s v="SL"/>
    <d v="2016-12-31T00:00:00"/>
    <s v="WCNX"/>
    <n v="0"/>
    <n v="518.6"/>
    <m/>
    <x v="15"/>
    <n v="12"/>
    <n v="2016"/>
    <n v="2019"/>
    <n v="2020"/>
    <n v="518.59583333333342"/>
    <n v="6223.1500000000015"/>
    <n v="0"/>
    <n v="18669.45"/>
    <n v="18669.45"/>
    <x v="1"/>
    <x v="1"/>
  </r>
  <r>
    <n v="2112"/>
    <n v="173860"/>
    <x v="0"/>
    <x v="269"/>
    <n v="252"/>
    <m/>
    <m/>
    <n v="0"/>
    <s v="OTTO ENVIRONMENTAL SYSTEM"/>
    <m/>
    <m/>
    <d v="2016-09-13T00:00:00"/>
    <d v="2016-09-13T00:00:00"/>
    <s v="2148-16-0002-1"/>
    <n v="700"/>
    <n v="14050"/>
    <n v="8741.3799999999992"/>
    <n v="14056"/>
    <n v="8637.32"/>
    <n v="104.05999999999949"/>
    <n v="728.44"/>
    <n v="54260"/>
    <n v="104.07"/>
    <s v="P"/>
    <m/>
    <s v="ELOY 20488"/>
    <m/>
    <s v="Internal"/>
    <s v="A"/>
    <s v="SL"/>
    <d v="2016-12-31T00:00:00"/>
    <s v="WCNX"/>
    <n v="0"/>
    <n v="416.26"/>
    <m/>
    <x v="15"/>
    <n v="9"/>
    <n v="2016"/>
    <n v="2023"/>
    <n v="2023.75"/>
    <n v="104.0640476190476"/>
    <n v="1248.7685714285712"/>
    <n v="1248.7685714285712"/>
    <n v="7388.5473809524756"/>
    <n v="8637.3159523810464"/>
    <x v="207"/>
    <x v="1"/>
  </r>
  <r>
    <n v="2112"/>
    <n v="173859"/>
    <x v="0"/>
    <x v="270"/>
    <n v="99"/>
    <m/>
    <m/>
    <n v="0"/>
    <s v="OTTO ENVIRONMENTAL SYSTEM"/>
    <m/>
    <m/>
    <d v="2016-09-13T00:00:00"/>
    <d v="2016-09-13T00:00:00"/>
    <s v="2148-16-0004-1"/>
    <n v="700"/>
    <n v="14050"/>
    <n v="4796.82"/>
    <n v="14056"/>
    <n v="4739.71"/>
    <n v="57.109999999999673"/>
    <n v="399.8"/>
    <n v="54260"/>
    <n v="57.12"/>
    <s v="P"/>
    <m/>
    <n v="20487"/>
    <m/>
    <s v="Internal"/>
    <s v="A"/>
    <s v="SL"/>
    <d v="2016-12-31T00:00:00"/>
    <s v="WCNX"/>
    <n v="0"/>
    <n v="228.41"/>
    <m/>
    <x v="15"/>
    <n v="9"/>
    <n v="2016"/>
    <n v="2023"/>
    <n v="2023.75"/>
    <n v="57.104999999999997"/>
    <n v="685.26"/>
    <n v="685.26"/>
    <n v="4054.4550000000518"/>
    <n v="4739.715000000052"/>
    <x v="208"/>
    <x v="1"/>
  </r>
  <r>
    <n v="2112"/>
    <n v="173858"/>
    <x v="0"/>
    <x v="271"/>
    <n v="9"/>
    <m/>
    <m/>
    <n v="0"/>
    <s v="OTTO ENVIRONMENTAL SYSTEM"/>
    <m/>
    <m/>
    <d v="2016-09-13T00:00:00"/>
    <d v="2016-09-13T00:00:00"/>
    <s v="2148-16-0005-1"/>
    <n v="700"/>
    <n v="14050"/>
    <n v="397.56"/>
    <n v="14056"/>
    <n v="392.85"/>
    <n v="4.7099999999999795"/>
    <n v="33.130000000000003"/>
    <n v="54260"/>
    <n v="4.7300000000000004"/>
    <s v="P"/>
    <m/>
    <n v="20489"/>
    <m/>
    <s v="Internal"/>
    <s v="A"/>
    <s v="SL"/>
    <d v="2016-12-31T00:00:00"/>
    <s v="WCNX"/>
    <n v="0"/>
    <n v="18.920000000000002"/>
    <m/>
    <x v="15"/>
    <n v="9"/>
    <n v="2016"/>
    <n v="2023"/>
    <n v="2023.75"/>
    <n v="4.7328571428571431"/>
    <n v="56.794285714285721"/>
    <n v="56.794285714285721"/>
    <n v="336.03285714286142"/>
    <n v="392.82714285714712"/>
    <x v="209"/>
    <x v="1"/>
  </r>
  <r>
    <n v="2112"/>
    <n v="173857"/>
    <x v="0"/>
    <x v="272"/>
    <m/>
    <m/>
    <m/>
    <n v="0"/>
    <s v="CDW"/>
    <m/>
    <m/>
    <d v="2016-08-18T00:00:00"/>
    <d v="2016-08-18T00:00:00"/>
    <s v="2148-16-0024-1"/>
    <n v="300"/>
    <n v="14110"/>
    <n v="705.51"/>
    <n v="14116"/>
    <n v="705.51"/>
    <n v="0"/>
    <n v="0"/>
    <n v="70260"/>
    <n v="0"/>
    <s v="P"/>
    <m/>
    <s v="1BNWK4T"/>
    <m/>
    <s v="Internal"/>
    <s v="A"/>
    <s v="SL"/>
    <d v="2016-12-31T00:00:00"/>
    <s v="WCNX"/>
    <n v="0"/>
    <n v="78.39"/>
    <m/>
    <x v="15"/>
    <n v="8"/>
    <n v="2016"/>
    <n v="2019"/>
    <n v="2019.6666666666667"/>
    <n v="19.5975"/>
    <n v="235.17000000000002"/>
    <n v="0"/>
    <n v="705.51"/>
    <n v="705.51"/>
    <x v="1"/>
    <x v="1"/>
  </r>
  <r>
    <n v="2112"/>
    <n v="173856"/>
    <x v="0"/>
    <x v="270"/>
    <n v="468"/>
    <m/>
    <m/>
    <n v="0"/>
    <s v="OTTO ENVIRONMENTAL SYSTEM"/>
    <m/>
    <m/>
    <d v="2016-08-05T00:00:00"/>
    <d v="2016-08-05T00:00:00"/>
    <s v="2148-16-0004-1"/>
    <n v="700"/>
    <n v="14050"/>
    <n v="21123.79"/>
    <n v="14056"/>
    <n v="21123.79"/>
    <n v="0"/>
    <n v="1760.28"/>
    <n v="54260"/>
    <n v="251.42"/>
    <s v="P"/>
    <m/>
    <s v="ELOY 20259"/>
    <m/>
    <s v="Internal"/>
    <s v="A"/>
    <s v="SL"/>
    <d v="2016-12-31T00:00:00"/>
    <s v="WCNX"/>
    <n v="0"/>
    <n v="1257.3699999999999"/>
    <m/>
    <x v="15"/>
    <n v="8"/>
    <n v="2016"/>
    <n v="2023"/>
    <n v="2023.6666666666667"/>
    <n v="251.47369047619051"/>
    <n v="3017.684285714286"/>
    <n v="3017.684285714286"/>
    <n v="18106.105714285713"/>
    <n v="21123.79"/>
    <x v="1"/>
    <x v="1"/>
  </r>
  <r>
    <n v="2112"/>
    <n v="173855"/>
    <x v="0"/>
    <x v="271"/>
    <n v="495"/>
    <m/>
    <m/>
    <n v="0"/>
    <s v="OTTO ENVIRONMENTAL SYSTEM"/>
    <m/>
    <m/>
    <d v="2016-08-19T00:00:00"/>
    <d v="2016-08-19T00:00:00"/>
    <s v="2148-16-0005-1"/>
    <n v="700"/>
    <n v="14050"/>
    <n v="25361.55"/>
    <n v="14056"/>
    <n v="25059.63"/>
    <n v="301.91999999999825"/>
    <n v="2113.46"/>
    <n v="54260"/>
    <n v="301.93"/>
    <s v="P"/>
    <m/>
    <s v="ELOY 20337"/>
    <m/>
    <s v="Internal"/>
    <s v="A"/>
    <s v="SL"/>
    <d v="2016-12-31T00:00:00"/>
    <s v="WCNX"/>
    <n v="0"/>
    <n v="1207.69"/>
    <m/>
    <x v="15"/>
    <n v="8"/>
    <n v="2016"/>
    <n v="2023"/>
    <n v="2023.6666666666667"/>
    <n v="301.92321428571427"/>
    <n v="3623.0785714285712"/>
    <n v="3623.0785714285712"/>
    <n v="21738.471428571429"/>
    <n v="25361.55"/>
    <x v="1"/>
    <x v="1"/>
  </r>
  <r>
    <n v="2112"/>
    <n v="173854"/>
    <x v="0"/>
    <x v="273"/>
    <n v="4"/>
    <m/>
    <m/>
    <n v="0"/>
    <s v="ENTERPRISE SALES, INC."/>
    <m/>
    <s v="2 YD FEL/REL/SL Metal"/>
    <d v="2016-06-08T00:00:00"/>
    <d v="2016-06-08T00:00:00"/>
    <s v="2148-16-0008-1"/>
    <n v="1200"/>
    <n v="14050"/>
    <n v="1725.73"/>
    <n v="14056"/>
    <n v="1030.57"/>
    <n v="695.16000000000008"/>
    <n v="83.89"/>
    <n v="54260"/>
    <n v="11.98"/>
    <s v="P"/>
    <m/>
    <n v="7132"/>
    <m/>
    <s v="Internal"/>
    <s v="A"/>
    <s v="SL"/>
    <d v="2016-12-31T00:00:00"/>
    <s v="WCNX"/>
    <n v="0"/>
    <n v="83.88"/>
    <m/>
    <x v="15"/>
    <n v="6"/>
    <n v="2016"/>
    <n v="2028"/>
    <n v="2028.5"/>
    <n v="11.984236111111111"/>
    <n v="143.81083333333333"/>
    <n v="143.81083333333333"/>
    <n v="886.83347222223313"/>
    <n v="1030.6443055555665"/>
    <x v="210"/>
    <x v="1"/>
  </r>
  <r>
    <n v="2112"/>
    <n v="173853"/>
    <x v="0"/>
    <x v="274"/>
    <n v="3"/>
    <m/>
    <m/>
    <n v="0"/>
    <s v="ENTERPRISE SALES, INC."/>
    <m/>
    <s v="1.5 YD FEL/REL/SL Metal"/>
    <d v="2016-06-08T00:00:00"/>
    <d v="2016-06-08T00:00:00"/>
    <s v="2148-16-0008-1"/>
    <n v="1200"/>
    <n v="14050"/>
    <n v="1466.65"/>
    <n v="14056"/>
    <n v="875.92"/>
    <n v="590.73000000000013"/>
    <n v="71.3"/>
    <n v="54260"/>
    <n v="10.19"/>
    <s v="P"/>
    <m/>
    <n v="7132"/>
    <m/>
    <s v="Internal"/>
    <s v="A"/>
    <s v="SL"/>
    <d v="2016-12-31T00:00:00"/>
    <s v="WCNX"/>
    <n v="0"/>
    <n v="71.3"/>
    <m/>
    <x v="15"/>
    <n v="6"/>
    <n v="2016"/>
    <n v="2028"/>
    <n v="2028.5"/>
    <n v="10.185069444444446"/>
    <n v="122.22083333333336"/>
    <n v="122.22083333333336"/>
    <n v="753.6951388888981"/>
    <n v="875.9159722222314"/>
    <x v="211"/>
    <x v="1"/>
  </r>
  <r>
    <n v="2112"/>
    <n v="173852"/>
    <x v="0"/>
    <x v="275"/>
    <n v="7"/>
    <m/>
    <m/>
    <n v="0"/>
    <s v="ENTERPRISE SALES, INC."/>
    <m/>
    <s v="1 YD FEL/REL/SL Metal"/>
    <d v="2016-06-08T00:00:00"/>
    <d v="2016-06-08T00:00:00"/>
    <s v="2148-16-0008-1"/>
    <n v="1200"/>
    <n v="14050"/>
    <n v="3346.31"/>
    <n v="14056"/>
    <n v="1998.5"/>
    <n v="1347.81"/>
    <n v="162.66999999999999"/>
    <n v="54260"/>
    <n v="23.24"/>
    <s v="P"/>
    <m/>
    <n v="7132"/>
    <m/>
    <s v="Internal"/>
    <s v="A"/>
    <s v="SL"/>
    <d v="2016-12-31T00:00:00"/>
    <s v="WCNX"/>
    <n v="0"/>
    <n v="162.66999999999999"/>
    <m/>
    <x v="15"/>
    <n v="6"/>
    <n v="2016"/>
    <n v="2028"/>
    <n v="2028.5"/>
    <n v="23.238263888888891"/>
    <n v="278.85916666666668"/>
    <n v="278.85916666666668"/>
    <n v="1719.6315277777987"/>
    <n v="1998.4906944444654"/>
    <x v="212"/>
    <x v="1"/>
  </r>
  <r>
    <n v="2112"/>
    <n v="173851"/>
    <x v="0"/>
    <x v="276"/>
    <n v="6"/>
    <m/>
    <m/>
    <n v="0"/>
    <s v="REHRIG PACIFIC COMPANY IN"/>
    <m/>
    <s v="3 YD FEL/REL/SL Metal"/>
    <d v="2016-07-15T00:00:00"/>
    <d v="2016-07-15T00:00:00"/>
    <s v="2148-16-0023-1"/>
    <n v="1200"/>
    <n v="14050"/>
    <n v="4731.67"/>
    <n v="14056"/>
    <n v="2793.02"/>
    <n v="1938.65"/>
    <n v="230.01"/>
    <n v="54260"/>
    <n v="32.85"/>
    <s v="P"/>
    <m/>
    <s v="LA205065"/>
    <m/>
    <s v="Internal"/>
    <s v="A"/>
    <s v="SL"/>
    <d v="2016-12-31T00:00:00"/>
    <s v="WCNX"/>
    <n v="0"/>
    <n v="197.15"/>
    <m/>
    <x v="15"/>
    <n v="7"/>
    <n v="2016"/>
    <n v="2028"/>
    <n v="2028.5833333333333"/>
    <n v="32.858819444444443"/>
    <n v="394.30583333333334"/>
    <n v="394.30583333333334"/>
    <n v="2398.6938194445042"/>
    <n v="2792.9996527778376"/>
    <x v="213"/>
    <x v="1"/>
  </r>
  <r>
    <n v="2112"/>
    <n v="173850"/>
    <x v="0"/>
    <x v="277"/>
    <n v="2"/>
    <m/>
    <m/>
    <n v="0"/>
    <s v="REHRIG PACIFIC COMPANY IN"/>
    <m/>
    <s v="6 YD FEL/REL/SL Metal"/>
    <d v="2016-07-15T00:00:00"/>
    <d v="2016-07-15T00:00:00"/>
    <s v="2148-16-0023-1"/>
    <n v="1200"/>
    <n v="14050"/>
    <n v="3675.85"/>
    <n v="14056"/>
    <n v="2169.77"/>
    <n v="1506.08"/>
    <n v="178.69"/>
    <n v="54260"/>
    <n v="25.53"/>
    <s v="P"/>
    <m/>
    <s v="LA205574"/>
    <m/>
    <s v="Internal"/>
    <s v="A"/>
    <s v="SL"/>
    <d v="2016-12-31T00:00:00"/>
    <s v="WCNX"/>
    <n v="0"/>
    <n v="153.16"/>
    <m/>
    <x v="15"/>
    <n v="7"/>
    <n v="2016"/>
    <n v="2028"/>
    <n v="2028.5833333333333"/>
    <n v="25.526736111111109"/>
    <n v="306.32083333333333"/>
    <n v="306.32083333333333"/>
    <n v="1863.4517361111575"/>
    <n v="2169.7725694444907"/>
    <x v="214"/>
    <x v="1"/>
  </r>
  <r>
    <n v="2112"/>
    <n v="173849"/>
    <x v="0"/>
    <x v="278"/>
    <n v="3"/>
    <m/>
    <m/>
    <n v="0"/>
    <s v="ENTERPRISE SALES, INC."/>
    <m/>
    <s v="1.5 YD FEL/REL/SL Metal"/>
    <d v="2016-06-07T00:00:00"/>
    <d v="2016-06-07T00:00:00"/>
    <s v="2148-16-0008-1"/>
    <n v="1200"/>
    <n v="14050"/>
    <n v="1466.65"/>
    <n v="14056"/>
    <n v="875.92"/>
    <n v="590.73000000000013"/>
    <n v="71.3"/>
    <n v="54260"/>
    <n v="10.19"/>
    <s v="P"/>
    <m/>
    <n v="7136"/>
    <m/>
    <s v="Internal"/>
    <s v="A"/>
    <s v="SL"/>
    <d v="2016-12-31T00:00:00"/>
    <s v="WCNX"/>
    <n v="0"/>
    <n v="71.3"/>
    <m/>
    <x v="15"/>
    <n v="6"/>
    <n v="2016"/>
    <n v="2028"/>
    <n v="2028.5"/>
    <n v="10.185069444444446"/>
    <n v="122.22083333333336"/>
    <n v="122.22083333333336"/>
    <n v="753.6951388888981"/>
    <n v="875.9159722222314"/>
    <x v="211"/>
    <x v="1"/>
  </r>
  <r>
    <n v="2112"/>
    <n v="173848"/>
    <x v="0"/>
    <x v="279"/>
    <n v="3"/>
    <m/>
    <m/>
    <n v="0"/>
    <s v="ENTERPRISE SALES, INC."/>
    <m/>
    <s v="1 YD FEL/REL/SL Metal"/>
    <d v="2016-06-07T00:00:00"/>
    <d v="2016-06-07T00:00:00"/>
    <s v="2148-16-0008-1"/>
    <n v="1200"/>
    <n v="14050"/>
    <n v="1434.13"/>
    <n v="14056"/>
    <n v="856.49"/>
    <n v="577.6400000000001"/>
    <n v="69.709999999999994"/>
    <n v="54260"/>
    <n v="9.9499999999999993"/>
    <s v="P"/>
    <m/>
    <n v="7136"/>
    <m/>
    <s v="Internal"/>
    <s v="A"/>
    <s v="SL"/>
    <d v="2016-12-31T00:00:00"/>
    <s v="WCNX"/>
    <n v="0"/>
    <n v="69.72"/>
    <m/>
    <x v="15"/>
    <n v="6"/>
    <n v="2016"/>
    <n v="2028"/>
    <n v="2028.5"/>
    <n v="9.9592361111111121"/>
    <n v="119.51083333333335"/>
    <n v="119.51083333333335"/>
    <n v="736.98347222223128"/>
    <n v="856.49430555556467"/>
    <x v="215"/>
    <x v="1"/>
  </r>
  <r>
    <n v="2112"/>
    <n v="173847"/>
    <x v="0"/>
    <x v="280"/>
    <n v="6"/>
    <m/>
    <m/>
    <n v="0"/>
    <s v="ENTERPRISE SALES, INC."/>
    <m/>
    <s v="2 YD FEL/REL/SL Metal"/>
    <d v="2016-05-26T00:00:00"/>
    <d v="2016-05-26T00:00:00"/>
    <s v="2148-16-0008-1"/>
    <n v="1200"/>
    <n v="14050"/>
    <n v="2588.59"/>
    <n v="14056"/>
    <n v="1546"/>
    <n v="1042.5900000000001"/>
    <n v="125.84"/>
    <n v="54260"/>
    <n v="17.98"/>
    <s v="P"/>
    <m/>
    <n v="7121"/>
    <m/>
    <s v="Internal"/>
    <s v="A"/>
    <s v="SL"/>
    <d v="2016-12-31T00:00:00"/>
    <s v="WCNX"/>
    <n v="0"/>
    <n v="125.84"/>
    <m/>
    <x v="15"/>
    <n v="5"/>
    <n v="2016"/>
    <n v="2028"/>
    <n v="2028.4166666666667"/>
    <n v="17.976319444444446"/>
    <n v="215.71583333333336"/>
    <n v="215.71583333333336"/>
    <n v="1348.2239583333335"/>
    <n v="1563.9397916666669"/>
    <x v="216"/>
    <x v="1"/>
  </r>
  <r>
    <n v="2112"/>
    <n v="173846"/>
    <x v="0"/>
    <x v="281"/>
    <n v="10"/>
    <m/>
    <m/>
    <n v="0"/>
    <s v="ENTERPRISE SALES, INC."/>
    <m/>
    <s v="2 YD FEL/REL/SL Metal"/>
    <d v="2016-05-26T00:00:00"/>
    <d v="2016-05-26T00:00:00"/>
    <s v="2148-16-0008-1"/>
    <n v="1200"/>
    <n v="14050"/>
    <n v="5008.08"/>
    <n v="14056"/>
    <n v="2990.94"/>
    <n v="2017.1399999999999"/>
    <n v="243.45"/>
    <n v="54260"/>
    <n v="34.78"/>
    <s v="P"/>
    <m/>
    <n v="7121"/>
    <m/>
    <s v="Internal"/>
    <s v="A"/>
    <s v="SL"/>
    <d v="2016-12-31T00:00:00"/>
    <s v="WCNX"/>
    <n v="0"/>
    <n v="243.45"/>
    <m/>
    <x v="15"/>
    <n v="5"/>
    <n v="2016"/>
    <n v="2028"/>
    <n v="2028.4166666666667"/>
    <n v="34.778333333333329"/>
    <n v="417.33999999999992"/>
    <n v="417.33999999999992"/>
    <n v="2608.3750000000005"/>
    <n v="3025.7150000000001"/>
    <x v="217"/>
    <x v="1"/>
  </r>
  <r>
    <n v="2112"/>
    <n v="173845"/>
    <x v="0"/>
    <x v="282"/>
    <n v="4"/>
    <m/>
    <m/>
    <n v="0"/>
    <s v="ENTERPRISE SALES, INC."/>
    <m/>
    <s v="1.5 YD FEL/REL/SL Metal"/>
    <d v="2016-05-26T00:00:00"/>
    <d v="2016-05-26T00:00:00"/>
    <s v="2148-16-0008-1"/>
    <n v="1200"/>
    <n v="14050"/>
    <n v="1955.54"/>
    <n v="14056"/>
    <n v="1167.8800000000001"/>
    <n v="787.65999999999985"/>
    <n v="95.06"/>
    <n v="54260"/>
    <n v="13.58"/>
    <s v="P"/>
    <m/>
    <n v="7121"/>
    <m/>
    <s v="Internal"/>
    <s v="A"/>
    <s v="SL"/>
    <d v="2016-12-31T00:00:00"/>
    <s v="WCNX"/>
    <n v="0"/>
    <n v="95.06"/>
    <m/>
    <x v="15"/>
    <n v="5"/>
    <n v="2016"/>
    <n v="2028"/>
    <n v="2028.4166666666667"/>
    <n v="13.580138888888889"/>
    <n v="162.96166666666667"/>
    <n v="162.96166666666667"/>
    <n v="1018.5104166666666"/>
    <n v="1181.4720833333333"/>
    <x v="218"/>
    <x v="1"/>
  </r>
  <r>
    <n v="2112"/>
    <n v="173844"/>
    <x v="0"/>
    <x v="283"/>
    <n v="10"/>
    <m/>
    <m/>
    <n v="0"/>
    <s v="ENTERPRISE SALES, INC"/>
    <m/>
    <s v="2 YD FEL/REL/SL Metal"/>
    <d v="2016-01-01T00:00:00"/>
    <d v="2016-01-01T00:00:00"/>
    <s v="2148-15-0012-1"/>
    <n v="1109"/>
    <n v="14050"/>
    <n v="4314.32"/>
    <n v="14056"/>
    <n v="2784.45"/>
    <n v="1529.87"/>
    <n v="214.19"/>
    <n v="54260"/>
    <n v="30.6"/>
    <s v="P"/>
    <m/>
    <n v="6832"/>
    <m/>
    <s v="Internal"/>
    <s v="A"/>
    <s v="SL"/>
    <d v="2016-12-31T00:00:00"/>
    <s v="WCNX"/>
    <n v="0"/>
    <n v="367.18"/>
    <m/>
    <x v="15"/>
    <n v="1"/>
    <n v="2016"/>
    <n v="2027.09"/>
    <n v="2027.1733333333332"/>
    <n v="32.418996092575888"/>
    <n v="389.02795311091063"/>
    <n v="389.02795311091063"/>
    <n v="2561.1006913135866"/>
    <n v="2950.128644424497"/>
    <x v="219"/>
    <x v="1"/>
  </r>
  <r>
    <n v="2112"/>
    <n v="173843"/>
    <x v="31"/>
    <x v="284"/>
    <m/>
    <m/>
    <m/>
    <n v="0"/>
    <s v="H&amp;R Parts"/>
    <m/>
    <s v="Non-Rolling Stock"/>
    <d v="2015-07-15T00:00:00"/>
    <d v="2015-07-15T00:00:00"/>
    <s v="2148-15-0011-1"/>
    <n v="300"/>
    <n v="14040"/>
    <n v="11313.74"/>
    <n v="14046"/>
    <n v="11313.74"/>
    <n v="0"/>
    <n v="0"/>
    <n v="51260"/>
    <n v="0"/>
    <s v="P"/>
    <m/>
    <n v="15077"/>
    <m/>
    <s v="Internal"/>
    <s v="A"/>
    <s v="SL"/>
    <d v="2016-12-31T00:00:00"/>
    <s v="WCNX"/>
    <n v="0"/>
    <n v="5656.87"/>
    <m/>
    <x v="15"/>
    <n v="7"/>
    <n v="2015"/>
    <n v="2018"/>
    <n v="2018.5833333333333"/>
    <n v="314.27055555555552"/>
    <n v="3771.246666666666"/>
    <n v="0"/>
    <n v="11313.74"/>
    <n v="11313.74"/>
    <x v="1"/>
    <x v="1"/>
  </r>
  <r>
    <n v="2112"/>
    <n v="173842"/>
    <x v="31"/>
    <x v="285"/>
    <n v="200"/>
    <s v="TS00101RAG 0N 712977"/>
    <m/>
    <n v="0"/>
    <m/>
    <m/>
    <s v="Non-Rolling Stock"/>
    <d v="2000-04-17T00:00:00"/>
    <d v="2000-04-17T00:00:00"/>
    <s v="00-2010-c006"/>
    <n v="1000"/>
    <n v="14040"/>
    <n v="46599"/>
    <n v="14046"/>
    <n v="46599"/>
    <n v="0"/>
    <n v="0"/>
    <n v="51260"/>
    <n v="0"/>
    <s v="P"/>
    <m/>
    <m/>
    <n v="243"/>
    <s v="Internal"/>
    <s v="A"/>
    <s v="SL"/>
    <d v="2016-12-31T00:00:00"/>
    <s v="WCNX"/>
    <n v="0"/>
    <n v="46599"/>
    <m/>
    <x v="15"/>
    <n v="4"/>
    <n v="2000"/>
    <n v="2010"/>
    <n v="2010.3333333333333"/>
    <n v="388.32499999999999"/>
    <n v="4659.8999999999996"/>
    <n v="0"/>
    <n v="46599"/>
    <n v="46599"/>
    <x v="1"/>
    <x v="1"/>
  </r>
  <r>
    <n v="2112"/>
    <n v="173840"/>
    <x v="0"/>
    <x v="286"/>
    <m/>
    <s v="3BPZLJ0X0GF100886"/>
    <s v="C21022D"/>
    <n v="2016"/>
    <s v="Peterbilt 320"/>
    <s v="Labrie"/>
    <s v="Automated Sideload"/>
    <d v="2015-08-30T00:00:00"/>
    <d v="2015-08-30T00:00:00"/>
    <s v="2148-15-0001-1"/>
    <n v="1000"/>
    <n v="14040"/>
    <n v="346063.4"/>
    <n v="14046"/>
    <n v="273966.86"/>
    <n v="72096.540000000037"/>
    <n v="20187.03"/>
    <n v="51260"/>
    <n v="2883.86"/>
    <s v="P"/>
    <m/>
    <s v="P100886"/>
    <n v="886"/>
    <s v="Internal"/>
    <s v="A"/>
    <s v="SL"/>
    <d v="2016-12-31T00:00:00"/>
    <s v="WCNX"/>
    <n v="0"/>
    <n v="46141.79"/>
    <m/>
    <x v="15"/>
    <n v="8"/>
    <n v="2015"/>
    <n v="2025"/>
    <n v="2025.6666666666667"/>
    <n v="2883.8616666666671"/>
    <n v="34606.340000000004"/>
    <n v="34606.340000000004"/>
    <n v="242244.38"/>
    <n v="276850.72000000003"/>
    <x v="220"/>
    <x v="1"/>
  </r>
  <r>
    <n v="2112"/>
    <n v="173839"/>
    <x v="0"/>
    <x v="287"/>
    <n v="3"/>
    <m/>
    <m/>
    <n v="0"/>
    <s v="CAPITAL INDUSTRIES, INC."/>
    <m/>
    <s v="30 YD RO Box"/>
    <d v="2015-08-04T00:00:00"/>
    <d v="2015-08-04T00:00:00"/>
    <s v="2148-15-0006-1"/>
    <n v="1200"/>
    <n v="14050"/>
    <n v="18215"/>
    <n v="14056"/>
    <n v="12143.36"/>
    <n v="6071.6399999999994"/>
    <n v="885.45"/>
    <n v="54260"/>
    <n v="126.49"/>
    <s v="P"/>
    <m/>
    <n v="110751"/>
    <m/>
    <s v="Internal"/>
    <s v="A"/>
    <s v="SL"/>
    <d v="2016-12-31T00:00:00"/>
    <s v="WCNX"/>
    <n v="0"/>
    <n v="2150.39"/>
    <m/>
    <x v="15"/>
    <n v="8"/>
    <n v="2015"/>
    <n v="2027"/>
    <n v="2027.6666666666667"/>
    <n v="126.49305555555556"/>
    <n v="1517.9166666666667"/>
    <n v="1517.9166666666667"/>
    <n v="10625.416666666668"/>
    <n v="12143.333333333334"/>
    <x v="221"/>
    <x v="1"/>
  </r>
  <r>
    <n v="2112"/>
    <n v="173838"/>
    <x v="0"/>
    <x v="191"/>
    <n v="600"/>
    <m/>
    <m/>
    <n v="0"/>
    <s v="WASTEQUIP"/>
    <m/>
    <m/>
    <d v="2015-05-30T00:00:00"/>
    <d v="2015-05-30T00:00:00"/>
    <s v="2148-15-0002-1"/>
    <n v="700"/>
    <n v="14050"/>
    <n v="24964"/>
    <n v="14056"/>
    <n v="24964"/>
    <n v="0"/>
    <n v="0"/>
    <n v="54260"/>
    <n v="0"/>
    <s v="P"/>
    <m/>
    <n v="65369882"/>
    <m/>
    <s v="Internal"/>
    <s v="A"/>
    <s v="SL"/>
    <d v="2016-12-31T00:00:00"/>
    <s v="WCNX"/>
    <n v="0"/>
    <n v="5646.62"/>
    <m/>
    <x v="15"/>
    <n v="5"/>
    <n v="2015"/>
    <n v="2022"/>
    <n v="2022.4166666666667"/>
    <n v="297.1904761904762"/>
    <n v="3566.2857142857147"/>
    <n v="0"/>
    <n v="24964"/>
    <n v="24964"/>
    <x v="1"/>
    <x v="1"/>
  </r>
  <r>
    <n v="2112"/>
    <n v="173837"/>
    <x v="0"/>
    <x v="0"/>
    <n v="720"/>
    <m/>
    <m/>
    <n v="0"/>
    <s v="THUNDERBIRD PLASTICS LTD"/>
    <m/>
    <m/>
    <d v="2015-07-09T00:00:00"/>
    <d v="2015-07-09T00:00:00"/>
    <s v="2148-15-0010-1"/>
    <n v="500"/>
    <n v="14050"/>
    <n v="6126.77"/>
    <n v="14056"/>
    <n v="6126.77"/>
    <n v="0"/>
    <n v="0"/>
    <n v="54260"/>
    <n v="0"/>
    <s v="P"/>
    <m/>
    <n v="24768"/>
    <m/>
    <s v="Internal"/>
    <s v="A"/>
    <s v="SL"/>
    <d v="2016-12-31T00:00:00"/>
    <s v="WCNX"/>
    <n v="0"/>
    <n v="1838.03"/>
    <m/>
    <x v="15"/>
    <n v="7"/>
    <n v="2015"/>
    <n v="2020"/>
    <n v="2020.5833333333333"/>
    <n v="102.11283333333334"/>
    <n v="1225.354"/>
    <n v="0"/>
    <n v="6126.77"/>
    <n v="6126.77"/>
    <x v="1"/>
    <x v="1"/>
  </r>
  <r>
    <n v="2112"/>
    <n v="173836"/>
    <x v="0"/>
    <x v="288"/>
    <m/>
    <m/>
    <m/>
    <n v="0"/>
    <s v="CDW"/>
    <m/>
    <m/>
    <d v="2015-04-30T00:00:00"/>
    <d v="2015-04-30T00:00:00"/>
    <s v="2148-15-0009-1"/>
    <n v="300"/>
    <n v="14110"/>
    <n v="662.85"/>
    <n v="14116"/>
    <n v="662.85"/>
    <n v="0"/>
    <n v="0"/>
    <n v="70260"/>
    <n v="0"/>
    <s v="P"/>
    <m/>
    <s v="TS88486"/>
    <m/>
    <s v="Internal"/>
    <s v="A"/>
    <s v="SL"/>
    <d v="2016-12-31T00:00:00"/>
    <s v="WCNX"/>
    <n v="0"/>
    <n v="368.25"/>
    <m/>
    <x v="15"/>
    <n v="4"/>
    <n v="2015"/>
    <n v="2018"/>
    <n v="2018.3333333333333"/>
    <n v="18.412500000000001"/>
    <n v="220.95000000000002"/>
    <n v="0"/>
    <n v="662.85"/>
    <n v="662.85"/>
    <x v="1"/>
    <x v="1"/>
  </r>
  <r>
    <n v="2112"/>
    <n v="173835"/>
    <x v="32"/>
    <x v="289"/>
    <m/>
    <m/>
    <m/>
    <n v="2010"/>
    <s v="Trucks &amp; Parts of Tampa"/>
    <s v="Peterbilt"/>
    <s v="Non-Rolling Stock"/>
    <d v="2015-04-20T00:00:00"/>
    <d v="2015-04-20T00:00:00"/>
    <s v="2148-14-0013-1"/>
    <n v="500"/>
    <n v="14040"/>
    <n v="8010"/>
    <n v="14046"/>
    <n v="8010"/>
    <n v="0"/>
    <n v="0"/>
    <n v="51260"/>
    <n v="0"/>
    <s v="P"/>
    <m/>
    <s v="TW1140530RC"/>
    <m/>
    <s v="Internal"/>
    <s v="A"/>
    <s v="SL"/>
    <d v="2016-12-31T00:00:00"/>
    <s v="WCNX"/>
    <n v="0"/>
    <n v="2670"/>
    <m/>
    <x v="15"/>
    <n v="4"/>
    <n v="2015"/>
    <n v="2020"/>
    <n v="2020.3333333333333"/>
    <n v="133.5"/>
    <n v="1602"/>
    <n v="0"/>
    <n v="8010"/>
    <n v="8010"/>
    <x v="1"/>
    <x v="1"/>
  </r>
  <r>
    <n v="2112"/>
    <n v="173834"/>
    <x v="0"/>
    <x v="290"/>
    <m/>
    <s v="3BPZH57XXAF104093"/>
    <s v="C18566T"/>
    <n v="2010"/>
    <s v="Peterbilt 320"/>
    <s v="GS Products"/>
    <s v="Recycle Truck"/>
    <d v="2015-04-20T00:00:00"/>
    <d v="2015-04-20T00:00:00"/>
    <s v="2148-14-0013-1"/>
    <n v="500"/>
    <n v="14040"/>
    <n v="89584.15"/>
    <n v="14046"/>
    <n v="89584.15"/>
    <n v="0"/>
    <n v="0"/>
    <n v="51260"/>
    <n v="0"/>
    <s v="P"/>
    <m/>
    <s v="TW1140530RC"/>
    <n v="772"/>
    <s v="Internal"/>
    <s v="A"/>
    <s v="SL"/>
    <d v="2016-12-31T00:00:00"/>
    <s v="WCNX"/>
    <n v="0"/>
    <n v="29861.38"/>
    <m/>
    <x v="15"/>
    <n v="4"/>
    <n v="2015"/>
    <n v="2020"/>
    <n v="2020.3333333333333"/>
    <n v="1493.0691666666664"/>
    <n v="17916.829999999998"/>
    <n v="0"/>
    <n v="89584.15"/>
    <n v="89584.15"/>
    <x v="1"/>
    <x v="1"/>
  </r>
  <r>
    <n v="2112"/>
    <n v="173832"/>
    <x v="0"/>
    <x v="291"/>
    <n v="243"/>
    <m/>
    <m/>
    <n v="0"/>
    <s v="REHRIG PACIFIC COMPANY"/>
    <m/>
    <m/>
    <d v="2014-07-19T00:00:00"/>
    <d v="2014-07-19T00:00:00"/>
    <s v="2112-14-0004-1"/>
    <n v="700"/>
    <n v="14050"/>
    <n v="15383.34"/>
    <n v="14056"/>
    <n v="15383.34"/>
    <n v="0"/>
    <n v="0"/>
    <n v="54260"/>
    <n v="0"/>
    <s v="P"/>
    <m/>
    <s v="LA188322RR"/>
    <m/>
    <s v="Internal"/>
    <s v="A"/>
    <s v="SL"/>
    <d v="2016-12-31T00:00:00"/>
    <s v="WCNX"/>
    <n v="0"/>
    <n v="5310.92"/>
    <m/>
    <x v="15"/>
    <n v="7"/>
    <n v="2014"/>
    <n v="2021"/>
    <n v="2021.5833333333333"/>
    <n v="183.13499999999999"/>
    <n v="2197.62"/>
    <n v="0"/>
    <n v="15383.34"/>
    <n v="15383.34"/>
    <x v="1"/>
    <x v="1"/>
  </r>
  <r>
    <n v="2112"/>
    <n v="173831"/>
    <x v="0"/>
    <x v="292"/>
    <n v="3"/>
    <m/>
    <m/>
    <n v="0"/>
    <s v="ENTERPRISE SALES, INC."/>
    <m/>
    <s v="30 YD RO Box"/>
    <d v="2014-10-03T00:00:00"/>
    <d v="2014-10-03T00:00:00"/>
    <s v="2148-14-0002-1"/>
    <n v="1200"/>
    <n v="14050"/>
    <n v="18667"/>
    <n v="14056"/>
    <n v="13740.96"/>
    <n v="4926.0400000000009"/>
    <n v="907.42"/>
    <n v="54260"/>
    <n v="129.63"/>
    <s v="P"/>
    <m/>
    <n v="6446"/>
    <m/>
    <s v="Internal"/>
    <s v="A"/>
    <s v="SL"/>
    <d v="2016-12-31T00:00:00"/>
    <s v="WCNX"/>
    <n v="0"/>
    <n v="3500.06"/>
    <m/>
    <x v="15"/>
    <n v="10"/>
    <n v="2014"/>
    <n v="2026"/>
    <n v="2026.8333333333333"/>
    <n v="129.63194444444443"/>
    <n v="1555.583333333333"/>
    <n v="1555.583333333333"/>
    <n v="12185.402777778014"/>
    <n v="13740.986111111346"/>
    <x v="222"/>
    <x v="1"/>
  </r>
  <r>
    <n v="2112"/>
    <n v="173830"/>
    <x v="0"/>
    <x v="158"/>
    <n v="10"/>
    <m/>
    <m/>
    <n v="0"/>
    <s v="ENTERPRISE SALES, INC."/>
    <m/>
    <s v="3 YD FEL/REL/SL Metal"/>
    <d v="2014-10-03T00:00:00"/>
    <d v="2014-10-03T00:00:00"/>
    <s v="2148-14-0001-1"/>
    <n v="1200"/>
    <n v="14050"/>
    <n v="5702"/>
    <n v="14056"/>
    <n v="4197.33"/>
    <n v="1504.67"/>
    <n v="277.18"/>
    <n v="54260"/>
    <n v="39.590000000000003"/>
    <s v="P"/>
    <m/>
    <n v="6447"/>
    <m/>
    <s v="Internal"/>
    <s v="A"/>
    <s v="SL"/>
    <d v="2016-12-31T00:00:00"/>
    <s v="WCNX"/>
    <n v="0"/>
    <n v="1069.1300000000001"/>
    <m/>
    <x v="15"/>
    <n v="10"/>
    <n v="2014"/>
    <n v="2026"/>
    <n v="2026.8333333333333"/>
    <n v="39.597222222222221"/>
    <n v="475.16666666666663"/>
    <n v="475.16666666666663"/>
    <n v="3722.138888888961"/>
    <n v="4197.3055555556275"/>
    <x v="223"/>
    <x v="1"/>
  </r>
  <r>
    <n v="2112"/>
    <n v="173829"/>
    <x v="0"/>
    <x v="160"/>
    <n v="10"/>
    <m/>
    <m/>
    <n v="0"/>
    <s v="ENTERPRISE SALES, INC."/>
    <m/>
    <s v="1.5 YD FEL/REL/SL Metal"/>
    <d v="2014-10-03T00:00:00"/>
    <d v="2014-10-03T00:00:00"/>
    <s v="2148-14-0001-1"/>
    <n v="1200"/>
    <n v="14050"/>
    <n v="5290.79"/>
    <n v="14056"/>
    <n v="3894.62"/>
    <n v="1396.17"/>
    <n v="257.19"/>
    <n v="54260"/>
    <n v="36.74"/>
    <s v="P"/>
    <m/>
    <n v="6447"/>
    <m/>
    <s v="Internal"/>
    <s v="A"/>
    <s v="SL"/>
    <d v="2016-12-31T00:00:00"/>
    <s v="WCNX"/>
    <n v="0"/>
    <n v="992.03"/>
    <m/>
    <x v="15"/>
    <n v="10"/>
    <n v="2014"/>
    <n v="2026"/>
    <n v="2026.8333333333333"/>
    <n v="36.741597222222218"/>
    <n v="440.89916666666659"/>
    <n v="440.89916666666659"/>
    <n v="3453.710138888956"/>
    <n v="3894.6093055556225"/>
    <x v="224"/>
    <x v="1"/>
  </r>
  <r>
    <n v="2112"/>
    <n v="173828"/>
    <x v="0"/>
    <x v="1"/>
    <n v="10"/>
    <m/>
    <m/>
    <n v="0"/>
    <s v="ENTERPRISE SALES, INC."/>
    <m/>
    <s v="1 YD FEL/REL/SL Metal"/>
    <d v="2014-10-03T00:00:00"/>
    <d v="2014-10-03T00:00:00"/>
    <s v="2148-14-0001-1"/>
    <n v="1200"/>
    <n v="14050"/>
    <n v="5182.3900000000003"/>
    <n v="14056"/>
    <n v="3814.85"/>
    <n v="1367.5400000000004"/>
    <n v="251.92"/>
    <n v="54260"/>
    <n v="35.979999999999997"/>
    <s v="P"/>
    <m/>
    <n v="6447"/>
    <m/>
    <s v="Internal"/>
    <s v="A"/>
    <s v="SL"/>
    <d v="2016-12-31T00:00:00"/>
    <s v="WCNX"/>
    <n v="0"/>
    <n v="971.71"/>
    <m/>
    <x v="15"/>
    <n v="10"/>
    <n v="2014"/>
    <n v="2026"/>
    <n v="2026.8333333333333"/>
    <n v="35.988819444444445"/>
    <n v="431.86583333333334"/>
    <n v="431.86583333333334"/>
    <n v="3382.9490277778436"/>
    <n v="3814.8148611111769"/>
    <x v="225"/>
    <x v="1"/>
  </r>
  <r>
    <n v="2112"/>
    <n v="173827"/>
    <x v="0"/>
    <x v="18"/>
    <n v="10"/>
    <m/>
    <m/>
    <n v="0"/>
    <s v="ENTERPRISE SALES, INC."/>
    <m/>
    <s v="1.5 YD FEL/REL/SL Metal"/>
    <d v="2014-10-03T00:00:00"/>
    <d v="2014-10-03T00:00:00"/>
    <s v="2148-14-0001-1"/>
    <n v="1200"/>
    <n v="14050"/>
    <n v="5128.1899999999996"/>
    <n v="14056"/>
    <n v="3774.93"/>
    <n v="1353.2599999999998"/>
    <n v="249.29"/>
    <n v="54260"/>
    <n v="35.61"/>
    <s v="P"/>
    <m/>
    <n v="6447"/>
    <m/>
    <s v="Internal"/>
    <s v="A"/>
    <s v="SL"/>
    <d v="2016-12-31T00:00:00"/>
    <s v="WCNX"/>
    <n v="0"/>
    <n v="961.54"/>
    <m/>
    <x v="15"/>
    <n v="10"/>
    <n v="2014"/>
    <n v="2026"/>
    <n v="2026.8333333333333"/>
    <n v="35.612430555555555"/>
    <n v="427.34916666666663"/>
    <n v="427.34916666666663"/>
    <n v="3347.5684722222868"/>
    <n v="3774.9176388889537"/>
    <x v="226"/>
    <x v="1"/>
  </r>
  <r>
    <n v="2112"/>
    <n v="173826"/>
    <x v="0"/>
    <x v="161"/>
    <n v="10"/>
    <m/>
    <m/>
    <n v="0"/>
    <s v="ENTERPRISE SALES, INC."/>
    <m/>
    <s v="1 YD FEL/REL/SL Metal"/>
    <d v="2014-10-03T00:00:00"/>
    <d v="2014-10-03T00:00:00"/>
    <s v="2148-14-0001-1"/>
    <n v="1200"/>
    <n v="14050"/>
    <n v="5030.63"/>
    <n v="14056"/>
    <n v="3703.12"/>
    <n v="1327.5100000000002"/>
    <n v="244.55"/>
    <n v="54260"/>
    <n v="34.94"/>
    <s v="P"/>
    <m/>
    <n v="6447"/>
    <m/>
    <s v="Internal"/>
    <s v="A"/>
    <s v="SL"/>
    <d v="2016-12-31T00:00:00"/>
    <s v="WCNX"/>
    <n v="0"/>
    <n v="943.25"/>
    <m/>
    <x v="15"/>
    <n v="10"/>
    <n v="2014"/>
    <n v="2026"/>
    <n v="2026.8333333333333"/>
    <n v="34.93493055555556"/>
    <n v="419.21916666666675"/>
    <n v="419.21916666666675"/>
    <n v="3283.8834722222855"/>
    <n v="3703.1026388889522"/>
    <x v="227"/>
    <x v="1"/>
  </r>
  <r>
    <n v="2112"/>
    <n v="173825"/>
    <x v="33"/>
    <x v="293"/>
    <m/>
    <m/>
    <m/>
    <n v="0"/>
    <s v="Jasper"/>
    <m/>
    <s v="Non-Rolling Stock"/>
    <d v="2014-07-14T00:00:00"/>
    <d v="2014-07-14T00:00:00"/>
    <s v="2148-14-0012-1"/>
    <n v="300"/>
    <n v="14040"/>
    <n v="7964.15"/>
    <n v="14046"/>
    <n v="7964.15"/>
    <n v="0"/>
    <n v="0"/>
    <n v="51260"/>
    <n v="0"/>
    <s v="P"/>
    <m/>
    <n v="6575094"/>
    <m/>
    <s v="Internal"/>
    <s v="A"/>
    <s v="SL"/>
    <d v="2016-12-31T00:00:00"/>
    <s v="WCNX"/>
    <n v="0"/>
    <n v="6636.8"/>
    <m/>
    <x v="15"/>
    <n v="7"/>
    <n v="2014"/>
    <n v="2017"/>
    <n v="2017.5833333333333"/>
    <n v="221.22638888888889"/>
    <n v="2654.7166666666667"/>
    <n v="0"/>
    <n v="7964.15"/>
    <n v="7964.15"/>
    <x v="1"/>
    <x v="1"/>
  </r>
  <r>
    <n v="2112"/>
    <n v="173824"/>
    <x v="34"/>
    <x v="294"/>
    <m/>
    <m/>
    <m/>
    <n v="0"/>
    <s v="H&amp;R Parts &amp; Eqiupment"/>
    <m/>
    <s v="Non-Rolling Stock"/>
    <d v="2014-10-22T00:00:00"/>
    <d v="2014-10-22T00:00:00"/>
    <s v="2148-14-0017-1"/>
    <n v="300"/>
    <n v="14040"/>
    <n v="15851.75"/>
    <n v="14046"/>
    <n v="15851.75"/>
    <n v="0"/>
    <n v="0"/>
    <n v="51260"/>
    <n v="0"/>
    <s v="P"/>
    <m/>
    <n v="11501"/>
    <m/>
    <s v="Internal"/>
    <s v="A"/>
    <s v="SL"/>
    <d v="2016-12-31T00:00:00"/>
    <s v="WCNX"/>
    <n v="0"/>
    <n v="11448.49"/>
    <m/>
    <x v="15"/>
    <n v="10"/>
    <n v="2014"/>
    <n v="2017"/>
    <n v="2017.8333333333333"/>
    <n v="440.32638888888891"/>
    <n v="5283.916666666667"/>
    <n v="0"/>
    <n v="15851.75"/>
    <n v="15851.75"/>
    <x v="1"/>
    <x v="1"/>
  </r>
  <r>
    <n v="2112"/>
    <n v="173823"/>
    <x v="0"/>
    <x v="295"/>
    <n v="3868"/>
    <m/>
    <m/>
    <n v="0"/>
    <m/>
    <m/>
    <m/>
    <d v="1997-12-01T00:00:00"/>
    <d v="1997-12-01T00:00:00"/>
    <m/>
    <n v="500"/>
    <n v="14050"/>
    <n v="9477.09"/>
    <n v="14056"/>
    <n v="9477.09"/>
    <n v="0"/>
    <n v="0"/>
    <n v="54260"/>
    <n v="0"/>
    <s v="A"/>
    <s v="Olympic Disposal"/>
    <m/>
    <m/>
    <s v="Internal"/>
    <s v="A"/>
    <s v="SL"/>
    <d v="2016-12-31T00:00:00"/>
    <s v="WCNX"/>
    <n v="0"/>
    <n v="9477.09"/>
    <m/>
    <x v="15"/>
    <n v="12"/>
    <n v="1997"/>
    <n v="2002"/>
    <n v="2003"/>
    <n v="157.95150000000001"/>
    <n v="1895.4180000000001"/>
    <n v="0"/>
    <n v="9477.09"/>
    <n v="9477.09"/>
    <x v="1"/>
    <x v="1"/>
  </r>
  <r>
    <n v="2112"/>
    <n v="173822"/>
    <x v="35"/>
    <x v="296"/>
    <m/>
    <m/>
    <m/>
    <n v="0"/>
    <s v="SNAP ON TOOLS"/>
    <m/>
    <m/>
    <d v="2014-07-01T00:00:00"/>
    <d v="2014-07-01T00:00:00"/>
    <s v="2148-14-0016-1"/>
    <n v="300"/>
    <n v="14110"/>
    <n v="5788.99"/>
    <n v="14116"/>
    <n v="5788.99"/>
    <n v="0"/>
    <n v="0"/>
    <n v="70260"/>
    <n v="0"/>
    <s v="P"/>
    <m/>
    <s v="arv/23030328"/>
    <m/>
    <s v="Internal"/>
    <s v="A"/>
    <s v="SL"/>
    <d v="2016-12-31T00:00:00"/>
    <s v="WCNX"/>
    <n v="0"/>
    <n v="4824.1499999999996"/>
    <m/>
    <x v="15"/>
    <n v="7"/>
    <n v="2014"/>
    <n v="2017"/>
    <n v="2017.5833333333333"/>
    <n v="160.80527777777777"/>
    <n v="1929.6633333333334"/>
    <n v="0"/>
    <n v="5788.99"/>
    <n v="5788.99"/>
    <x v="1"/>
    <x v="1"/>
  </r>
  <r>
    <n v="2112"/>
    <n v="173821"/>
    <x v="36"/>
    <x v="297"/>
    <n v="0"/>
    <m/>
    <m/>
    <n v="0"/>
    <s v="Thunderbird Plastics"/>
    <m/>
    <m/>
    <d v="2008-04-02T00:00:00"/>
    <d v="2008-04-02T00:00:00"/>
    <s v="2112-8-0009-1"/>
    <n v="500"/>
    <n v="14050"/>
    <n v="2137.8000000000002"/>
    <n v="14056"/>
    <n v="2137.8000000000002"/>
    <n v="0"/>
    <n v="0"/>
    <n v="54260"/>
    <n v="0"/>
    <s v="P"/>
    <m/>
    <n v="16763"/>
    <m/>
    <s v="Internal"/>
    <s v="A"/>
    <s v="SL"/>
    <d v="2016-12-31T00:00:00"/>
    <s v="WCNX"/>
    <n v="0"/>
    <n v="2137.8000000000002"/>
    <m/>
    <x v="15"/>
    <n v="4"/>
    <n v="2008"/>
    <n v="2013"/>
    <n v="2013.3333333333333"/>
    <n v="35.630000000000003"/>
    <n v="427.56000000000006"/>
    <n v="0"/>
    <n v="2137.8000000000002"/>
    <n v="2137.8000000000002"/>
    <x v="1"/>
    <x v="1"/>
  </r>
  <r>
    <n v="2112"/>
    <n v="173820"/>
    <x v="0"/>
    <x v="298"/>
    <n v="452"/>
    <m/>
    <m/>
    <n v="0"/>
    <m/>
    <m/>
    <m/>
    <d v="2008-04-30T00:00:00"/>
    <d v="2008-04-30T00:00:00"/>
    <s v="2112-8-0009-1"/>
    <n v="500"/>
    <n v="14050"/>
    <n v="25450"/>
    <n v="14056"/>
    <n v="25450"/>
    <n v="0"/>
    <n v="0"/>
    <n v="54260"/>
    <n v="0"/>
    <s v="P"/>
    <m/>
    <m/>
    <m/>
    <s v="Internal"/>
    <s v="A"/>
    <s v="SL"/>
    <d v="2016-12-31T00:00:00"/>
    <s v="WCNX"/>
    <n v="0"/>
    <n v="25450"/>
    <m/>
    <x v="15"/>
    <n v="4"/>
    <n v="2008"/>
    <n v="2013"/>
    <n v="2013.3333333333333"/>
    <n v="424.16666666666669"/>
    <n v="5090"/>
    <n v="0"/>
    <n v="25450"/>
    <n v="25450"/>
    <x v="1"/>
    <x v="1"/>
  </r>
  <r>
    <n v="2112"/>
    <n v="173819"/>
    <x v="0"/>
    <x v="299"/>
    <n v="1050"/>
    <m/>
    <m/>
    <n v="0"/>
    <s v="Otto Environmental System"/>
    <m/>
    <m/>
    <d v="2004-03-02T00:00:00"/>
    <d v="2004-03-02T00:00:00"/>
    <n v="42112015"/>
    <n v="500"/>
    <n v="14050"/>
    <n v="5619.43"/>
    <n v="14056"/>
    <n v="5619.43"/>
    <n v="0"/>
    <n v="0"/>
    <n v="54260"/>
    <n v="0"/>
    <s v="P"/>
    <n v="0"/>
    <s v="ELOY 335b"/>
    <m/>
    <s v="Internal"/>
    <s v="A"/>
    <s v="SL"/>
    <d v="2016-12-31T00:00:00"/>
    <s v="WCNX"/>
    <n v="0"/>
    <n v="5619.43"/>
    <m/>
    <x v="15"/>
    <n v="3"/>
    <n v="2004"/>
    <n v="2009"/>
    <n v="2009.25"/>
    <n v="93.657166666666669"/>
    <n v="1123.886"/>
    <n v="0"/>
    <n v="5619.43"/>
    <n v="5619.43"/>
    <x v="1"/>
    <x v="1"/>
  </r>
  <r>
    <n v="2112"/>
    <n v="173818"/>
    <x v="0"/>
    <x v="300"/>
    <n v="500"/>
    <m/>
    <m/>
    <n v="0"/>
    <s v="Otto Waste Systems"/>
    <m/>
    <m/>
    <d v="2003-03-31T00:00:00"/>
    <d v="2003-03-31T00:00:00"/>
    <s v="03-2112-006"/>
    <n v="500"/>
    <n v="14050"/>
    <n v="6138.47"/>
    <n v="14056"/>
    <n v="6138.47"/>
    <n v="0"/>
    <n v="0"/>
    <n v="54260"/>
    <n v="0"/>
    <s v="P"/>
    <m/>
    <s v="OWS 299"/>
    <m/>
    <s v="Internal"/>
    <s v="A"/>
    <s v="SL"/>
    <d v="2016-12-31T00:00:00"/>
    <s v="WCNX"/>
    <n v="0"/>
    <n v="6138.47"/>
    <m/>
    <x v="15"/>
    <n v="3"/>
    <n v="2003"/>
    <n v="2008"/>
    <n v="2008.25"/>
    <n v="102.30783333333333"/>
    <n v="1227.694"/>
    <n v="0"/>
    <n v="6138.47"/>
    <n v="6138.47"/>
    <x v="1"/>
    <x v="1"/>
  </r>
  <r>
    <n v="2112"/>
    <n v="173817"/>
    <x v="0"/>
    <x v="301"/>
    <n v="400"/>
    <m/>
    <m/>
    <n v="0"/>
    <s v="Otto Industries"/>
    <m/>
    <m/>
    <d v="2002-07-29T00:00:00"/>
    <d v="2002-07-29T00:00:00"/>
    <s v="02-2112-003"/>
    <n v="700"/>
    <n v="14050"/>
    <n v="1950.66"/>
    <n v="14056"/>
    <n v="1950.66"/>
    <n v="0"/>
    <n v="0"/>
    <n v="54260"/>
    <n v="0"/>
    <s v="P"/>
    <m/>
    <s v="OII 51811"/>
    <m/>
    <s v="Internal"/>
    <s v="A"/>
    <s v="SL"/>
    <d v="2016-12-31T00:00:00"/>
    <s v="WCNX"/>
    <n v="0"/>
    <n v="1950.66"/>
    <m/>
    <x v="15"/>
    <n v="7"/>
    <n v="2002"/>
    <n v="2009"/>
    <n v="2009.5833333333333"/>
    <n v="23.222142857142856"/>
    <n v="278.66571428571427"/>
    <n v="0"/>
    <n v="1950.66"/>
    <n v="1950.66"/>
    <x v="1"/>
    <x v="1"/>
  </r>
  <r>
    <n v="2112"/>
    <n v="173816"/>
    <x v="0"/>
    <x v="302"/>
    <m/>
    <m/>
    <m/>
    <n v="0"/>
    <m/>
    <m/>
    <m/>
    <d v="2014-07-01T00:00:00"/>
    <d v="2014-07-01T00:00:00"/>
    <s v="2148-14-0016-1"/>
    <n v="300"/>
    <n v="14110"/>
    <n v="1723.2"/>
    <n v="14116"/>
    <n v="1723.2"/>
    <n v="0"/>
    <n v="0"/>
    <n v="70260"/>
    <n v="0"/>
    <s v="P"/>
    <m/>
    <m/>
    <m/>
    <s v="Internal"/>
    <s v="A"/>
    <s v="SL"/>
    <d v="2016-12-31T00:00:00"/>
    <s v="WCNX"/>
    <n v="0"/>
    <n v="1436"/>
    <m/>
    <x v="15"/>
    <n v="7"/>
    <n v="2014"/>
    <n v="2017"/>
    <n v="2017.5833333333333"/>
    <n v="47.866666666666667"/>
    <n v="574.4"/>
    <n v="0"/>
    <n v="1723.2"/>
    <n v="1723.2"/>
    <x v="1"/>
    <x v="1"/>
  </r>
  <r>
    <n v="2112"/>
    <n v="173815"/>
    <x v="0"/>
    <x v="303"/>
    <m/>
    <m/>
    <m/>
    <n v="0"/>
    <s v="METTLER TOLEDO INC"/>
    <m/>
    <m/>
    <d v="2014-05-31T00:00:00"/>
    <d v="2014-05-31T00:00:00"/>
    <s v="2148-14-0014-2"/>
    <n v="1000"/>
    <n v="14010"/>
    <n v="9903.0300000000007"/>
    <n v="14016"/>
    <n v="9077.76"/>
    <n v="825.27000000000044"/>
    <n v="577.67999999999995"/>
    <n v="57260"/>
    <n v="82.53"/>
    <s v="P"/>
    <m/>
    <n v="641106034"/>
    <m/>
    <s v="Internal"/>
    <s v="A"/>
    <s v="SL"/>
    <d v="2016-12-31T00:00:00"/>
    <s v="WCNX"/>
    <n v="0"/>
    <n v="2558.2800000000002"/>
    <m/>
    <x v="15"/>
    <n v="5"/>
    <n v="2014"/>
    <n v="2024"/>
    <n v="2024.4166666666667"/>
    <n v="82.525250000000014"/>
    <n v="990.30300000000011"/>
    <n v="990.30300000000011"/>
    <n v="8169.9997500000009"/>
    <n v="9160.3027500000007"/>
    <x v="228"/>
    <x v="1"/>
  </r>
  <r>
    <n v="2112"/>
    <n v="173814"/>
    <x v="0"/>
    <x v="304"/>
    <n v="306"/>
    <m/>
    <m/>
    <n v="0"/>
    <s v="REHRIG PACIFIC COMPANY"/>
    <m/>
    <m/>
    <d v="2014-06-19T00:00:00"/>
    <d v="2014-06-19T00:00:00"/>
    <s v="2148-14-0008-1"/>
    <n v="700"/>
    <n v="14050"/>
    <n v="15060.22"/>
    <n v="14056"/>
    <n v="15060.22"/>
    <n v="0"/>
    <n v="0"/>
    <n v="54260"/>
    <n v="0"/>
    <s v="P"/>
    <m/>
    <s v="LA187612"/>
    <m/>
    <s v="Internal"/>
    <s v="A"/>
    <s v="SL"/>
    <d v="2016-12-31T00:00:00"/>
    <s v="WCNX"/>
    <n v="0"/>
    <n v="5378.65"/>
    <m/>
    <x v="15"/>
    <n v="6"/>
    <n v="2014"/>
    <n v="2021"/>
    <n v="2021.5"/>
    <n v="179.28833333333333"/>
    <n v="2151.46"/>
    <n v="0"/>
    <n v="15060.22"/>
    <n v="15060.22"/>
    <x v="1"/>
    <x v="1"/>
  </r>
  <r>
    <n v="2112"/>
    <n v="173813"/>
    <x v="0"/>
    <x v="305"/>
    <n v="240"/>
    <m/>
    <m/>
    <n v="0"/>
    <s v="THUNDERBIRD PLASTICS LTD"/>
    <m/>
    <m/>
    <d v="2014-06-28T00:00:00"/>
    <d v="2014-06-28T00:00:00"/>
    <s v="2148-14-0011-1"/>
    <n v="500"/>
    <n v="14050"/>
    <n v="6126.77"/>
    <n v="14056"/>
    <n v="6126.77"/>
    <n v="0"/>
    <n v="0"/>
    <n v="54260"/>
    <n v="0"/>
    <s v="P"/>
    <m/>
    <n v="23454"/>
    <m/>
    <s v="Internal"/>
    <s v="A"/>
    <s v="SL"/>
    <d v="2016-12-31T00:00:00"/>
    <s v="WCNX"/>
    <n v="0"/>
    <n v="3063.38"/>
    <m/>
    <x v="15"/>
    <n v="6"/>
    <n v="2014"/>
    <n v="2019"/>
    <n v="2019.5"/>
    <n v="102.11283333333334"/>
    <n v="1225.354"/>
    <n v="0"/>
    <n v="6126.77"/>
    <n v="6126.77"/>
    <x v="1"/>
    <x v="1"/>
  </r>
  <r>
    <n v="2112"/>
    <n v="173812"/>
    <x v="0"/>
    <x v="151"/>
    <n v="252"/>
    <m/>
    <m/>
    <n v="0"/>
    <s v="REHRIG PACIFIC COMPANY"/>
    <m/>
    <m/>
    <d v="2014-06-19T00:00:00"/>
    <d v="2014-06-19T00:00:00"/>
    <s v="2148-14-0008-1"/>
    <n v="700"/>
    <n v="14050"/>
    <n v="14541.4"/>
    <n v="14056"/>
    <n v="14541.4"/>
    <n v="0"/>
    <n v="0"/>
    <n v="54260"/>
    <n v="0"/>
    <s v="P"/>
    <m/>
    <s v="la187611"/>
    <m/>
    <s v="Internal"/>
    <s v="A"/>
    <s v="SL"/>
    <d v="2016-12-31T00:00:00"/>
    <s v="WCNX"/>
    <n v="0"/>
    <n v="5193.3500000000004"/>
    <m/>
    <x v="15"/>
    <n v="6"/>
    <n v="2014"/>
    <n v="2021"/>
    <n v="2021.5"/>
    <n v="173.11190476190475"/>
    <n v="2077.3428571428572"/>
    <n v="0"/>
    <n v="14541.4"/>
    <n v="14541.4"/>
    <x v="1"/>
    <x v="1"/>
  </r>
  <r>
    <n v="2112"/>
    <n v="173811"/>
    <x v="0"/>
    <x v="306"/>
    <n v="2"/>
    <m/>
    <m/>
    <n v="0"/>
    <s v="CDW"/>
    <m/>
    <m/>
    <d v="2014-04-20T00:00:00"/>
    <d v="2014-04-20T00:00:00"/>
    <s v="2000-14-0006-1"/>
    <n v="300"/>
    <n v="14110"/>
    <n v="668.01"/>
    <n v="14116"/>
    <n v="668.01"/>
    <n v="0"/>
    <n v="0"/>
    <n v="70260"/>
    <n v="0"/>
    <s v="P"/>
    <m/>
    <s v="Multiple beginning with K"/>
    <m/>
    <s v="Internal"/>
    <s v="A"/>
    <s v="SL"/>
    <d v="2016-12-31T00:00:00"/>
    <s v="WCNX"/>
    <n v="0"/>
    <n v="593.79"/>
    <m/>
    <x v="15"/>
    <n v="4"/>
    <n v="2014"/>
    <n v="2017"/>
    <n v="2017.3333333333333"/>
    <n v="18.555833333333332"/>
    <n v="222.67"/>
    <n v="0"/>
    <n v="668.01"/>
    <n v="668.01"/>
    <x v="1"/>
    <x v="1"/>
  </r>
  <r>
    <n v="2112"/>
    <n v="173810"/>
    <x v="0"/>
    <x v="307"/>
    <n v="112"/>
    <m/>
    <m/>
    <n v="0"/>
    <s v="REHRIG PACIFIC COMPANY"/>
    <m/>
    <m/>
    <d v="2014-01-01T00:00:00"/>
    <d v="2014-01-01T00:00:00"/>
    <s v="2148-14-0015-1"/>
    <n v="700"/>
    <n v="14050"/>
    <n v="5756.78"/>
    <n v="14056"/>
    <n v="5756.78"/>
    <n v="0"/>
    <n v="0"/>
    <n v="54260"/>
    <n v="0"/>
    <s v="P"/>
    <m/>
    <s v="LA181349"/>
    <m/>
    <s v="Internal"/>
    <s v="A"/>
    <s v="SL"/>
    <d v="2016-12-31T00:00:00"/>
    <s v="WCNX"/>
    <n v="0"/>
    <n v="2467.1999999999998"/>
    <m/>
    <x v="15"/>
    <n v="1"/>
    <n v="2014"/>
    <n v="2021"/>
    <n v="2021.0833333333333"/>
    <n v="68.533095238095243"/>
    <n v="822.39714285714285"/>
    <n v="0"/>
    <n v="5756.78"/>
    <n v="5756.78"/>
    <x v="1"/>
    <x v="1"/>
  </r>
  <r>
    <n v="2112"/>
    <n v="173808"/>
    <x v="0"/>
    <x v="308"/>
    <m/>
    <m/>
    <m/>
    <n v="0"/>
    <s v="The Elctronic Avenue"/>
    <m/>
    <m/>
    <d v="2014-02-06T00:00:00"/>
    <d v="2014-02-06T00:00:00"/>
    <s v="2148-14-0014-1"/>
    <n v="300"/>
    <n v="14110"/>
    <n v="1802.86"/>
    <n v="14116"/>
    <n v="1802.86"/>
    <n v="0"/>
    <n v="0"/>
    <n v="70260"/>
    <n v="0"/>
    <s v="P"/>
    <m/>
    <n v="11548343"/>
    <m/>
    <s v="Internal"/>
    <s v="A"/>
    <s v="SL"/>
    <d v="2016-12-31T00:00:00"/>
    <s v="WCNX"/>
    <n v="0"/>
    <n v="1752.77"/>
    <m/>
    <x v="15"/>
    <n v="2"/>
    <n v="2014"/>
    <n v="2017"/>
    <n v="2017.1666666666667"/>
    <n v="50.079444444444441"/>
    <n v="600.95333333333326"/>
    <n v="0"/>
    <n v="1802.86"/>
    <n v="1802.86"/>
    <x v="1"/>
    <x v="1"/>
  </r>
  <r>
    <n v="2112"/>
    <n v="173807"/>
    <x v="0"/>
    <x v="309"/>
    <n v="12"/>
    <m/>
    <m/>
    <n v="0"/>
    <s v="DAY WIRELESS SYSTEMS"/>
    <m/>
    <m/>
    <d v="2013-12-31T00:00:00"/>
    <d v="2013-12-31T00:00:00"/>
    <s v="2148-13-0019-1"/>
    <n v="500"/>
    <n v="14110"/>
    <n v="18014.57"/>
    <n v="14116"/>
    <n v="18014.57"/>
    <n v="0"/>
    <n v="0"/>
    <n v="70260"/>
    <n v="0"/>
    <s v="P"/>
    <m/>
    <n v="556913"/>
    <m/>
    <s v="Internal"/>
    <s v="A"/>
    <s v="SL"/>
    <d v="2016-12-31T00:00:00"/>
    <s v="WCNX"/>
    <n v="0"/>
    <n v="10808.73"/>
    <m/>
    <x v="15"/>
    <n v="12"/>
    <n v="2013"/>
    <n v="2018"/>
    <n v="2019"/>
    <n v="300.24283333333329"/>
    <n v="3602.9139999999998"/>
    <n v="0"/>
    <n v="18014.57"/>
    <n v="18014.57"/>
    <x v="1"/>
    <x v="1"/>
  </r>
  <r>
    <n v="2112"/>
    <n v="173806"/>
    <x v="0"/>
    <x v="310"/>
    <n v="100"/>
    <m/>
    <m/>
    <n v="0"/>
    <s v="REHRIG PACIFIC COMPANY"/>
    <m/>
    <m/>
    <d v="2013-09-24T00:00:00"/>
    <d v="2013-09-24T00:00:00"/>
    <s v="2148-13-0018-1"/>
    <n v="700"/>
    <n v="14050"/>
    <n v="6294.75"/>
    <n v="14056"/>
    <n v="6294.75"/>
    <n v="0"/>
    <n v="0"/>
    <n v="54260"/>
    <n v="0"/>
    <s v="P"/>
    <m/>
    <s v="LA181698"/>
    <m/>
    <s v="Internal"/>
    <s v="A"/>
    <s v="SL"/>
    <d v="2016-12-31T00:00:00"/>
    <s v="WCNX"/>
    <n v="0"/>
    <n v="2922.56"/>
    <m/>
    <x v="15"/>
    <n v="9"/>
    <n v="2013"/>
    <n v="2020"/>
    <n v="2020.75"/>
    <n v="74.9375"/>
    <n v="899.25"/>
    <n v="0"/>
    <n v="6294.75"/>
    <n v="6294.75"/>
    <x v="1"/>
    <x v="1"/>
  </r>
  <r>
    <n v="2112"/>
    <n v="173805"/>
    <x v="0"/>
    <x v="311"/>
    <m/>
    <s v="2NKMHD7X64M066807"/>
    <s v="A56729U"/>
    <n v="2004"/>
    <s v="Kenworth T300"/>
    <s v="Crane/flatbed"/>
    <s v="Container Delivery Truck"/>
    <d v="2013-09-30T00:00:00"/>
    <d v="2013-09-30T00:00:00"/>
    <s v="2148-13-0003-1"/>
    <n v="300"/>
    <n v="14040"/>
    <n v="65220"/>
    <n v="14046"/>
    <n v="65220"/>
    <n v="0"/>
    <n v="0"/>
    <n v="51260"/>
    <n v="0"/>
    <s v="P"/>
    <m/>
    <n v="1037"/>
    <n v="7205"/>
    <s v="Internal"/>
    <s v="A"/>
    <s v="SL"/>
    <d v="2016-12-31T00:00:00"/>
    <s v="WCNX"/>
    <n v="0"/>
    <n v="65220"/>
    <m/>
    <x v="15"/>
    <n v="9"/>
    <n v="2013"/>
    <n v="2016"/>
    <n v="2016.75"/>
    <n v="1811.6666666666667"/>
    <n v="21740"/>
    <n v="0"/>
    <n v="65220"/>
    <n v="65220"/>
    <x v="1"/>
    <x v="1"/>
  </r>
  <r>
    <n v="2112"/>
    <n v="173804"/>
    <x v="0"/>
    <x v="307"/>
    <n v="81"/>
    <m/>
    <m/>
    <n v="0"/>
    <s v="REHRIG PACIFIC COMPANY"/>
    <m/>
    <m/>
    <d v="2013-09-16T00:00:00"/>
    <d v="2013-09-16T00:00:00"/>
    <s v="2148-13-0013-1"/>
    <n v="700"/>
    <n v="14050"/>
    <n v="6434.37"/>
    <n v="14056"/>
    <n v="6434.37"/>
    <n v="0"/>
    <n v="0"/>
    <n v="54260"/>
    <n v="0"/>
    <s v="P"/>
    <m/>
    <s v="LA181432"/>
    <m/>
    <s v="Internal"/>
    <s v="A"/>
    <s v="SL"/>
    <d v="2016-12-31T00:00:00"/>
    <s v="WCNX"/>
    <n v="0"/>
    <n v="2987.4"/>
    <m/>
    <x v="15"/>
    <n v="9"/>
    <n v="2013"/>
    <n v="2020"/>
    <n v="2020.75"/>
    <n v="76.599642857142854"/>
    <n v="919.1957142857143"/>
    <n v="0"/>
    <n v="6434.37"/>
    <n v="6434.37"/>
    <x v="1"/>
    <x v="1"/>
  </r>
  <r>
    <n v="2112"/>
    <n v="173803"/>
    <x v="0"/>
    <x v="312"/>
    <n v="193"/>
    <m/>
    <m/>
    <n v="0"/>
    <s v="REHRIG PACIFIC COMPANY"/>
    <m/>
    <m/>
    <d v="2013-09-13T00:00:00"/>
    <d v="2013-09-13T00:00:00"/>
    <s v="2148-13-0014-1"/>
    <n v="700"/>
    <n v="14050"/>
    <n v="10537.33"/>
    <n v="14056"/>
    <n v="10537.33"/>
    <n v="0"/>
    <n v="0"/>
    <n v="54260"/>
    <n v="0"/>
    <s v="P"/>
    <m/>
    <s v="LA181350"/>
    <m/>
    <s v="Internal"/>
    <s v="A"/>
    <s v="SL"/>
    <d v="2016-12-31T00:00:00"/>
    <s v="WCNX"/>
    <n v="0"/>
    <n v="5017.7700000000004"/>
    <m/>
    <x v="15"/>
    <n v="9"/>
    <n v="2013"/>
    <n v="2020"/>
    <n v="2020.75"/>
    <n v="125.44440476190476"/>
    <n v="1505.3328571428572"/>
    <n v="0"/>
    <n v="10537.33"/>
    <n v="10537.33"/>
    <x v="1"/>
    <x v="1"/>
  </r>
  <r>
    <n v="2112"/>
    <n v="173802"/>
    <x v="0"/>
    <x v="313"/>
    <n v="10"/>
    <m/>
    <m/>
    <n v="0"/>
    <s v="ENTERPRISE SALES, INC."/>
    <m/>
    <m/>
    <d v="2013-06-30T00:00:00"/>
    <d v="2013-06-30T00:00:00"/>
    <s v="2148-13-0006-1"/>
    <n v="1200"/>
    <n v="14050"/>
    <n v="32.54"/>
    <n v="14056"/>
    <n v="27.33"/>
    <n v="5.2100000000000009"/>
    <n v="1.58"/>
    <n v="54260"/>
    <n v="0.22"/>
    <s v="P"/>
    <m/>
    <s v="5900Tax"/>
    <m/>
    <s v="Internal"/>
    <s v="A"/>
    <s v="SL"/>
    <d v="2016-12-31T00:00:00"/>
    <s v="WCNX"/>
    <n v="0"/>
    <n v="9.49"/>
    <m/>
    <x v="15"/>
    <n v="6"/>
    <n v="2013"/>
    <n v="2025"/>
    <n v="2025.5"/>
    <n v="0.22597222222222221"/>
    <n v="2.7116666666666664"/>
    <n v="2.7116666666666664"/>
    <n v="24.85694444444465"/>
    <n v="27.568611111111316"/>
    <x v="229"/>
    <x v="1"/>
  </r>
  <r>
    <n v="2112"/>
    <n v="173801"/>
    <x v="0"/>
    <x v="314"/>
    <n v="10"/>
    <m/>
    <m/>
    <n v="0"/>
    <s v="ENTERPRISE SALES, INC."/>
    <m/>
    <m/>
    <d v="2013-06-30T00:00:00"/>
    <d v="2013-06-30T00:00:00"/>
    <s v="2148-13-0005-1"/>
    <n v="1200"/>
    <n v="14050"/>
    <n v="36.14"/>
    <n v="14056"/>
    <n v="30.36"/>
    <n v="5.7800000000000011"/>
    <n v="1.76"/>
    <n v="54260"/>
    <n v="0.25"/>
    <s v="P"/>
    <m/>
    <s v="5900Tax"/>
    <m/>
    <s v="Internal"/>
    <s v="A"/>
    <s v="SL"/>
    <d v="2016-12-31T00:00:00"/>
    <s v="WCNX"/>
    <n v="0"/>
    <n v="10.54"/>
    <m/>
    <x v="15"/>
    <n v="6"/>
    <n v="2013"/>
    <n v="2025"/>
    <n v="2025.5"/>
    <n v="0.25097222222222221"/>
    <n v="3.0116666666666667"/>
    <n v="3.0116666666666667"/>
    <n v="27.606944444444672"/>
    <n v="30.618611111111338"/>
    <x v="230"/>
    <x v="1"/>
  </r>
  <r>
    <n v="2112"/>
    <n v="173800"/>
    <x v="34"/>
    <x v="315"/>
    <n v="0"/>
    <m/>
    <m/>
    <n v="0"/>
    <s v="PACIFIC POWER PRODUCTS"/>
    <m/>
    <s v="Non-Rolling Stock"/>
    <d v="2013-08-15T00:00:00"/>
    <d v="2013-08-15T00:00:00"/>
    <s v="2148-13-0015-1"/>
    <n v="300"/>
    <n v="14040"/>
    <n v="6514.93"/>
    <n v="14046"/>
    <n v="6514.93"/>
    <n v="0"/>
    <n v="0"/>
    <n v="51260"/>
    <n v="0"/>
    <s v="P"/>
    <m/>
    <s v="6368720-00"/>
    <m/>
    <s v="Internal"/>
    <s v="A"/>
    <s v="SL"/>
    <d v="2016-12-31T00:00:00"/>
    <s v="WCNX"/>
    <n v="0"/>
    <n v="6514.93"/>
    <m/>
    <x v="15"/>
    <n v="8"/>
    <n v="2013"/>
    <n v="2016"/>
    <n v="2016.6666666666667"/>
    <n v="180.9702777777778"/>
    <n v="2171.6433333333334"/>
    <n v="0"/>
    <n v="6514.93"/>
    <n v="6514.93"/>
    <x v="1"/>
    <x v="1"/>
  </r>
  <r>
    <n v="2112"/>
    <n v="173799"/>
    <x v="0"/>
    <x v="316"/>
    <n v="10"/>
    <m/>
    <m/>
    <n v="0"/>
    <s v="ENTERPRISE SALES, INC."/>
    <m/>
    <s v="2 YD FEL/REL/SL Metal"/>
    <d v="2013-06-30T00:00:00"/>
    <d v="2013-06-30T00:00:00"/>
    <s v="2148-13-0006-1"/>
    <n v="1200"/>
    <n v="14050"/>
    <n v="5878.53"/>
    <n v="14056"/>
    <n v="4939.62"/>
    <n v="938.90999999999985"/>
    <n v="285.76"/>
    <n v="54260"/>
    <n v="40.82"/>
    <s v="P"/>
    <m/>
    <n v="5900"/>
    <m/>
    <s v="Internal"/>
    <s v="A"/>
    <s v="SL"/>
    <d v="2016-12-31T00:00:00"/>
    <s v="WCNX"/>
    <n v="0"/>
    <n v="1714.58"/>
    <m/>
    <x v="15"/>
    <n v="6"/>
    <n v="2013"/>
    <n v="2025"/>
    <n v="2025.5"/>
    <n v="40.823124999999997"/>
    <n v="489.87749999999994"/>
    <n v="489.87749999999994"/>
    <n v="4490.5437500000371"/>
    <n v="4980.4212500000367"/>
    <x v="231"/>
    <x v="1"/>
  </r>
  <r>
    <n v="2112"/>
    <n v="173798"/>
    <x v="0"/>
    <x v="317"/>
    <n v="10"/>
    <m/>
    <m/>
    <n v="0"/>
    <s v="ENTERPRISE SALES, INC."/>
    <m/>
    <s v="4 YD FEL/REL/SL Metal"/>
    <d v="2013-06-30T00:00:00"/>
    <d v="2013-06-30T00:00:00"/>
    <s v="2148-13-0005-1"/>
    <n v="1200"/>
    <n v="14050"/>
    <n v="6528.93"/>
    <n v="14056"/>
    <n v="5486.14"/>
    <n v="1042.79"/>
    <n v="317.38"/>
    <n v="54260"/>
    <n v="45.34"/>
    <s v="P"/>
    <m/>
    <n v="5900"/>
    <m/>
    <s v="Internal"/>
    <s v="A"/>
    <s v="SL"/>
    <d v="2016-12-31T00:00:00"/>
    <s v="WCNX"/>
    <n v="0"/>
    <n v="1904.28"/>
    <m/>
    <x v="15"/>
    <n v="6"/>
    <n v="2013"/>
    <n v="2025"/>
    <n v="2025.5"/>
    <n v="45.339791666666663"/>
    <n v="544.07749999999999"/>
    <n v="544.07749999999999"/>
    <n v="4987.3770833333747"/>
    <n v="5531.454583333375"/>
    <x v="232"/>
    <x v="1"/>
  </r>
  <r>
    <n v="2112"/>
    <n v="173797"/>
    <x v="0"/>
    <x v="318"/>
    <n v="0"/>
    <s v="1HTMMAAM34H596924"/>
    <s v="C18201U"/>
    <n v="2004"/>
    <s v="International 4300"/>
    <s v="Flatbed"/>
    <s v="Container Delivery Truck"/>
    <d v="2007-11-21T00:00:00"/>
    <d v="2007-11-21T00:00:00"/>
    <s v="07-2112-006"/>
    <n v="500"/>
    <n v="14040"/>
    <n v="30747.200000000001"/>
    <n v="14046"/>
    <n v="30747.200000000001"/>
    <n v="0"/>
    <n v="0"/>
    <n v="51260"/>
    <n v="0"/>
    <s v="P"/>
    <m/>
    <s v="VIN 596924"/>
    <s v="CD1"/>
    <s v="Internal"/>
    <s v="A"/>
    <s v="SL"/>
    <d v="2016-12-31T00:00:00"/>
    <s v="WCNX"/>
    <n v="0"/>
    <n v="30747.200000000001"/>
    <m/>
    <x v="15"/>
    <n v="11"/>
    <n v="2007"/>
    <n v="2012"/>
    <n v="2012.9166666666667"/>
    <n v="512.45333333333338"/>
    <n v="6149.4400000000005"/>
    <n v="0"/>
    <n v="30747.200000000001"/>
    <n v="30747.200000000001"/>
    <x v="1"/>
    <x v="1"/>
  </r>
  <r>
    <n v="2112"/>
    <n v="173796"/>
    <x v="37"/>
    <x v="319"/>
    <n v="960"/>
    <m/>
    <m/>
    <n v="0"/>
    <s v="THUNDERBIRD PLASTICS LTD"/>
    <m/>
    <m/>
    <d v="2013-04-01T00:00:00"/>
    <d v="2013-04-01T00:00:00"/>
    <s v="2148-13-0016-1"/>
    <n v="500"/>
    <n v="14050"/>
    <n v="691.5"/>
    <n v="14056"/>
    <n v="691.5"/>
    <n v="0"/>
    <n v="0"/>
    <n v="54260"/>
    <n v="0"/>
    <s v="P"/>
    <m/>
    <s v="21951Adj"/>
    <m/>
    <s v="Internal"/>
    <s v="A"/>
    <s v="SL"/>
    <d v="2016-12-31T00:00:00"/>
    <s v="WCNX"/>
    <n v="0"/>
    <n v="518.63"/>
    <m/>
    <x v="15"/>
    <n v="4"/>
    <n v="2013"/>
    <n v="2018"/>
    <n v="2018.3333333333333"/>
    <n v="11.525"/>
    <n v="138.30000000000001"/>
    <n v="0"/>
    <n v="691.5"/>
    <n v="691.5"/>
    <x v="1"/>
    <x v="1"/>
  </r>
  <r>
    <n v="2112"/>
    <n v="173795"/>
    <x v="38"/>
    <x v="320"/>
    <n v="0"/>
    <m/>
    <m/>
    <n v="0"/>
    <s v="LINCOLN INDUSTRIAL CORP I"/>
    <m/>
    <s v="Non-Rolling Stock"/>
    <d v="2013-06-03T00:00:00"/>
    <d v="2013-06-03T00:00:00"/>
    <s v="2148-13-0001-1"/>
    <n v="300"/>
    <n v="14040"/>
    <n v="7159.82"/>
    <n v="14046"/>
    <n v="7159.82"/>
    <n v="0"/>
    <n v="0"/>
    <n v="51260"/>
    <n v="0"/>
    <s v="P"/>
    <m/>
    <s v="W/O 7726"/>
    <m/>
    <s v="Internal"/>
    <s v="A"/>
    <s v="SL"/>
    <d v="2016-12-31T00:00:00"/>
    <s v="WCNX"/>
    <n v="0"/>
    <n v="7159.82"/>
    <m/>
    <x v="15"/>
    <n v="6"/>
    <n v="2013"/>
    <n v="2016"/>
    <n v="2016.5"/>
    <n v="198.88388888888889"/>
    <n v="2386.6066666666666"/>
    <n v="0"/>
    <n v="7159.82"/>
    <n v="7159.82"/>
    <x v="1"/>
    <x v="1"/>
  </r>
  <r>
    <n v="2112"/>
    <n v="173794"/>
    <x v="0"/>
    <x v="321"/>
    <n v="270"/>
    <m/>
    <m/>
    <n v="0"/>
    <s v="REHRIG PACIFIC COMPANY"/>
    <m/>
    <m/>
    <d v="2013-04-23T00:00:00"/>
    <d v="2013-04-23T00:00:00"/>
    <s v="2148-13-0010-1"/>
    <n v="700"/>
    <n v="14050"/>
    <n v="9859.27"/>
    <n v="14056"/>
    <n v="9859.27"/>
    <n v="0"/>
    <n v="0"/>
    <n v="54260"/>
    <n v="0"/>
    <s v="P"/>
    <m/>
    <s v="LA177653"/>
    <m/>
    <s v="Internal"/>
    <s v="A"/>
    <s v="SL"/>
    <d v="2016-12-31T00:00:00"/>
    <s v="WCNX"/>
    <n v="0"/>
    <n v="5164.3900000000003"/>
    <m/>
    <x v="15"/>
    <n v="4"/>
    <n v="2013"/>
    <n v="2020"/>
    <n v="2020.3333333333333"/>
    <n v="117.37226190476191"/>
    <n v="1408.467142857143"/>
    <n v="0"/>
    <n v="9859.27"/>
    <n v="9859.27"/>
    <x v="1"/>
    <x v="1"/>
  </r>
  <r>
    <n v="2112"/>
    <n v="173793"/>
    <x v="0"/>
    <x v="322"/>
    <n v="3"/>
    <m/>
    <m/>
    <n v="0"/>
    <s v="ENTERPRISE SALES, INC."/>
    <m/>
    <s v="30 YD RO Box"/>
    <d v="2013-05-30T00:00:00"/>
    <d v="2013-05-30T00:00:00"/>
    <s v="2148-13-0004-1"/>
    <n v="1200"/>
    <n v="14050"/>
    <n v="18255.64"/>
    <n v="14056"/>
    <n v="15466.56"/>
    <n v="2789.08"/>
    <n v="887.43"/>
    <n v="54260"/>
    <n v="126.78"/>
    <s v="P"/>
    <m/>
    <n v="5852"/>
    <m/>
    <s v="Internal"/>
    <s v="A"/>
    <s v="SL"/>
    <d v="2016-12-31T00:00:00"/>
    <s v="WCNX"/>
    <n v="0"/>
    <n v="5451.33"/>
    <m/>
    <x v="15"/>
    <n v="5"/>
    <n v="2013"/>
    <n v="2025"/>
    <n v="2025.4166666666667"/>
    <n v="126.77527777777777"/>
    <n v="1521.3033333333333"/>
    <n v="1521.3033333333333"/>
    <n v="14072.055833333332"/>
    <n v="15593.359166666665"/>
    <x v="233"/>
    <x v="1"/>
  </r>
  <r>
    <n v="2112"/>
    <n v="173792"/>
    <x v="0"/>
    <x v="24"/>
    <n v="3"/>
    <m/>
    <m/>
    <n v="0"/>
    <s v="ENTERPRISE SALES, INC."/>
    <m/>
    <s v="6 YD FEL/REL/SL Metal"/>
    <d v="2013-05-30T00:00:00"/>
    <d v="2013-05-30T00:00:00"/>
    <s v="2148-13-0009-1"/>
    <n v="1200"/>
    <n v="14050"/>
    <n v="2563.66"/>
    <n v="14056"/>
    <n v="2172"/>
    <n v="391.65999999999985"/>
    <n v="124.62"/>
    <n v="54260"/>
    <n v="17.8"/>
    <s v="P"/>
    <m/>
    <s v="58/51"/>
    <m/>
    <s v="Internal"/>
    <s v="A"/>
    <s v="SL"/>
    <d v="2016-12-31T00:00:00"/>
    <s v="WCNX"/>
    <n v="0"/>
    <n v="765.54"/>
    <m/>
    <x v="15"/>
    <n v="5"/>
    <n v="2013"/>
    <n v="2025"/>
    <n v="2025.4166666666667"/>
    <n v="17.803194444444443"/>
    <n v="213.63833333333332"/>
    <n v="213.63833333333332"/>
    <n v="1976.1545833333332"/>
    <n v="2189.7929166666663"/>
    <x v="234"/>
    <x v="1"/>
  </r>
  <r>
    <n v="2112"/>
    <n v="173791"/>
    <x v="0"/>
    <x v="323"/>
    <n v="5"/>
    <m/>
    <m/>
    <n v="0"/>
    <s v="ENTERPRISE SALES, INC."/>
    <m/>
    <s v="4 YD FEL/REL/SL Metal"/>
    <d v="2013-05-30T00:00:00"/>
    <d v="2013-05-30T00:00:00"/>
    <s v="2148-13-0008-1"/>
    <n v="1200"/>
    <n v="14050"/>
    <n v="2976.66"/>
    <n v="14056"/>
    <n v="2521.94"/>
    <n v="454.7199999999998"/>
    <n v="144.69999999999999"/>
    <n v="54260"/>
    <n v="20.67"/>
    <s v="P"/>
    <m/>
    <n v="5850"/>
    <m/>
    <s v="Internal"/>
    <s v="A"/>
    <s v="SL"/>
    <d v="2016-12-31T00:00:00"/>
    <s v="WCNX"/>
    <n v="0"/>
    <n v="888.88"/>
    <m/>
    <x v="15"/>
    <n v="5"/>
    <n v="2013"/>
    <n v="2025"/>
    <n v="2025.4166666666667"/>
    <n v="20.671249999999997"/>
    <n v="248.05499999999995"/>
    <n v="248.05499999999995"/>
    <n v="2294.50875"/>
    <n v="2542.5637499999998"/>
    <x v="235"/>
    <x v="1"/>
  </r>
  <r>
    <n v="2112"/>
    <n v="173790"/>
    <x v="0"/>
    <x v="324"/>
    <n v="10"/>
    <m/>
    <m/>
    <n v="0"/>
    <s v="ENTERPRISE SALES, INC."/>
    <m/>
    <s v="3 YD FEL/REL/SL Metal"/>
    <d v="2013-05-30T00:00:00"/>
    <d v="2013-05-30T00:00:00"/>
    <s v="2148-13-0007-1"/>
    <n v="1200"/>
    <n v="14050"/>
    <n v="4944.12"/>
    <n v="14056"/>
    <n v="4188.7700000000004"/>
    <n v="755.34999999999945"/>
    <n v="240.34"/>
    <n v="54260"/>
    <n v="34.33"/>
    <s v="P"/>
    <m/>
    <n v="5849"/>
    <m/>
    <s v="Internal"/>
    <s v="A"/>
    <s v="SL"/>
    <d v="2016-12-31T00:00:00"/>
    <s v="WCNX"/>
    <n v="0"/>
    <n v="1476.37"/>
    <m/>
    <x v="15"/>
    <n v="5"/>
    <n v="2013"/>
    <n v="2025"/>
    <n v="2025.4166666666667"/>
    <n v="34.334166666666668"/>
    <n v="412.01"/>
    <n v="412.01"/>
    <n v="3811.0924999999997"/>
    <n v="4223.1025"/>
    <x v="236"/>
    <x v="1"/>
  </r>
  <r>
    <n v="2112"/>
    <n v="173789"/>
    <x v="0"/>
    <x v="325"/>
    <n v="243"/>
    <m/>
    <m/>
    <n v="0"/>
    <s v="REHRIG PACIFIC COMPANY"/>
    <m/>
    <m/>
    <d v="2013-05-06T00:00:00"/>
    <d v="2013-05-06T00:00:00"/>
    <s v="2148-13-0011-1"/>
    <n v="700"/>
    <n v="14050"/>
    <n v="11506.99"/>
    <n v="14056"/>
    <n v="11506.99"/>
    <n v="0"/>
    <n v="0"/>
    <n v="54260"/>
    <n v="0"/>
    <s v="P"/>
    <m/>
    <s v="LA177652"/>
    <m/>
    <s v="Internal"/>
    <s v="A"/>
    <s v="SL"/>
    <d v="2016-12-31T00:00:00"/>
    <s v="WCNX"/>
    <n v="0"/>
    <n v="6027.48"/>
    <m/>
    <x v="15"/>
    <n v="5"/>
    <n v="2013"/>
    <n v="2020"/>
    <n v="2020.4166666666667"/>
    <n v="136.98797619047619"/>
    <n v="1643.8557142857144"/>
    <n v="0"/>
    <n v="11506.99"/>
    <n v="11506.99"/>
    <x v="1"/>
    <x v="1"/>
  </r>
  <r>
    <n v="2112"/>
    <n v="173788"/>
    <x v="0"/>
    <x v="326"/>
    <n v="960"/>
    <m/>
    <m/>
    <n v="0"/>
    <s v="THUNDERBIRD PLASTICS LTD"/>
    <m/>
    <m/>
    <d v="2013-04-01T00:00:00"/>
    <d v="2013-04-01T00:00:00"/>
    <s v="2148-13-0016-1"/>
    <n v="500"/>
    <n v="14050"/>
    <n v="6580.98"/>
    <n v="14056"/>
    <n v="6580.98"/>
    <n v="0"/>
    <n v="0"/>
    <n v="54260"/>
    <n v="0"/>
    <s v="P"/>
    <m/>
    <n v="21951"/>
    <m/>
    <s v="Internal"/>
    <s v="A"/>
    <s v="SL"/>
    <d v="2016-12-31T00:00:00"/>
    <s v="WCNX"/>
    <n v="0"/>
    <n v="4935.75"/>
    <m/>
    <x v="15"/>
    <n v="4"/>
    <n v="2013"/>
    <n v="2018"/>
    <n v="2018.3333333333333"/>
    <n v="109.68299999999999"/>
    <n v="1316.1959999999999"/>
    <n v="0"/>
    <n v="6580.98"/>
    <n v="6580.98"/>
    <x v="1"/>
    <x v="1"/>
  </r>
  <r>
    <n v="2112"/>
    <n v="173787"/>
    <x v="0"/>
    <x v="327"/>
    <n v="0"/>
    <m/>
    <m/>
    <n v="0"/>
    <s v="MATCO TOOLS"/>
    <m/>
    <m/>
    <d v="2013-01-28T00:00:00"/>
    <d v="2013-01-28T00:00:00"/>
    <s v="2148-13-0017-1"/>
    <n v="500"/>
    <n v="14070"/>
    <n v="4848.63"/>
    <n v="14076"/>
    <n v="4848.63"/>
    <n v="0"/>
    <n v="0"/>
    <n v="51260"/>
    <n v="0"/>
    <s v="P"/>
    <m/>
    <n v="130798"/>
    <m/>
    <s v="Internal"/>
    <s v="A"/>
    <s v="SL"/>
    <d v="2016-12-31T00:00:00"/>
    <s v="WCNX"/>
    <n v="0"/>
    <n v="3798.08"/>
    <m/>
    <x v="15"/>
    <n v="1"/>
    <n v="2013"/>
    <n v="2018"/>
    <n v="2018.0833333333333"/>
    <n v="80.810500000000005"/>
    <n v="969.72600000000011"/>
    <n v="0"/>
    <n v="4848.63"/>
    <n v="4848.63"/>
    <x v="1"/>
    <x v="1"/>
  </r>
  <r>
    <n v="2112"/>
    <n v="173786"/>
    <x v="0"/>
    <x v="328"/>
    <n v="243"/>
    <s v="(004743 - 004985)"/>
    <m/>
    <n v="0"/>
    <s v="REHRIG PACIFIC COMPANY"/>
    <m/>
    <m/>
    <d v="2012-11-02T00:00:00"/>
    <d v="2012-11-02T00:00:00"/>
    <s v="2148-12-0018-1"/>
    <n v="700"/>
    <n v="14050"/>
    <n v="12783.38"/>
    <n v="14056"/>
    <n v="12783.38"/>
    <n v="0"/>
    <n v="0"/>
    <n v="54260"/>
    <n v="0"/>
    <s v="P"/>
    <m/>
    <s v="LA173846"/>
    <m/>
    <s v="Internal"/>
    <s v="A"/>
    <s v="SL"/>
    <d v="2016-12-31T00:00:00"/>
    <s v="WCNX"/>
    <n v="0"/>
    <n v="7609.17"/>
    <m/>
    <x v="15"/>
    <n v="11"/>
    <n v="2012"/>
    <n v="2019"/>
    <n v="2019.9166666666667"/>
    <n v="152.18309523809523"/>
    <n v="1826.1971428571428"/>
    <n v="0"/>
    <n v="12783.38"/>
    <n v="12783.38"/>
    <x v="1"/>
    <x v="1"/>
  </r>
  <r>
    <n v="2112"/>
    <n v="173785"/>
    <x v="0"/>
    <x v="329"/>
    <n v="18"/>
    <m/>
    <m/>
    <n v="0"/>
    <s v="ENTERPRISE SALES, INC."/>
    <m/>
    <s v="6 YD FEL/REL/SL Metal"/>
    <d v="2012-11-01T00:00:00"/>
    <d v="2012-11-01T00:00:00"/>
    <s v="2148-12-0017-1"/>
    <n v="1200"/>
    <n v="14050"/>
    <n v="12121.29"/>
    <n v="14056"/>
    <n v="10858.68"/>
    <n v="1262.6100000000006"/>
    <n v="589.23"/>
    <n v="54260"/>
    <n v="84.17"/>
    <s v="P"/>
    <m/>
    <n v="5598"/>
    <m/>
    <s v="Internal"/>
    <s v="A"/>
    <s v="SL"/>
    <d v="2016-12-31T00:00:00"/>
    <s v="WCNX"/>
    <n v="0"/>
    <n v="4208.79"/>
    <m/>
    <x v="15"/>
    <n v="11"/>
    <n v="2012"/>
    <n v="2024"/>
    <n v="2024.9166666666667"/>
    <n v="84.175625000000011"/>
    <n v="1010.1075000000001"/>
    <n v="1010.1075000000001"/>
    <n v="9848.5481250000012"/>
    <n v="10858.655625000001"/>
    <x v="237"/>
    <x v="1"/>
  </r>
  <r>
    <n v="2112"/>
    <n v="173784"/>
    <x v="0"/>
    <x v="330"/>
    <n v="18"/>
    <m/>
    <m/>
    <n v="0"/>
    <s v="ENTERPRISE SALES, INC."/>
    <m/>
    <s v="4 YD FEL/REL/SL Metal"/>
    <d v="2012-11-01T00:00:00"/>
    <d v="2012-11-01T00:00:00"/>
    <s v="2148-12-0016-1"/>
    <n v="1200"/>
    <n v="14050"/>
    <n v="11867.63"/>
    <n v="14056"/>
    <n v="10631.43"/>
    <n v="1236.1999999999989"/>
    <n v="576.9"/>
    <n v="54260"/>
    <n v="82.41"/>
    <s v="P"/>
    <m/>
    <n v="5597"/>
    <m/>
    <s v="Internal"/>
    <s v="A"/>
    <s v="SL"/>
    <d v="2016-12-31T00:00:00"/>
    <s v="WCNX"/>
    <n v="0"/>
    <n v="4120.71"/>
    <m/>
    <x v="15"/>
    <n v="11"/>
    <n v="2012"/>
    <n v="2024"/>
    <n v="2024.9166666666667"/>
    <n v="82.414097222222225"/>
    <n v="988.96916666666675"/>
    <n v="988.96916666666675"/>
    <n v="9642.4493750000001"/>
    <n v="10631.418541666666"/>
    <x v="238"/>
    <x v="1"/>
  </r>
  <r>
    <n v="2112"/>
    <n v="173783"/>
    <x v="0"/>
    <x v="158"/>
    <n v="20"/>
    <m/>
    <m/>
    <n v="0"/>
    <s v="ENTERPRISE SALES INC"/>
    <m/>
    <s v="3 YD FEL/REL/SL Metal"/>
    <d v="2012-08-28T00:00:00"/>
    <d v="2012-08-28T00:00:00"/>
    <s v="2148-12-0001-1"/>
    <n v="1200"/>
    <n v="14050"/>
    <n v="10644.88"/>
    <n v="14056"/>
    <n v="9683.85"/>
    <n v="961.02999999999884"/>
    <n v="517.46"/>
    <n v="54260"/>
    <n v="73.92"/>
    <s v="P"/>
    <m/>
    <n v="5515"/>
    <m/>
    <s v="Internal"/>
    <s v="A"/>
    <s v="SL"/>
    <d v="2016-12-31T00:00:00"/>
    <s v="WCNX"/>
    <n v="0"/>
    <n v="3843.97"/>
    <m/>
    <x v="15"/>
    <n v="8"/>
    <n v="2012"/>
    <n v="2024"/>
    <n v="2024.6666666666667"/>
    <n v="73.922777777777767"/>
    <n v="887.07333333333327"/>
    <n v="887.07333333333327"/>
    <n v="8870.7333333333336"/>
    <n v="9757.8066666666673"/>
    <x v="239"/>
    <x v="1"/>
  </r>
  <r>
    <n v="2112"/>
    <n v="173782"/>
    <x v="0"/>
    <x v="331"/>
    <n v="80"/>
    <s v="000244-000323"/>
    <m/>
    <n v="0"/>
    <s v="REHRIG PACIFIC COMPANY"/>
    <m/>
    <m/>
    <d v="2012-07-06T00:00:00"/>
    <d v="2012-07-06T00:00:00"/>
    <s v="2148-12-0015-1"/>
    <n v="700"/>
    <n v="14050"/>
    <n v="4260.12"/>
    <n v="14056"/>
    <n v="4260.12"/>
    <n v="0"/>
    <n v="0"/>
    <n v="54260"/>
    <n v="0"/>
    <s v="P"/>
    <m/>
    <s v="LA171282"/>
    <m/>
    <s v="Internal"/>
    <s v="A"/>
    <s v="SL"/>
    <d v="2016-12-31T00:00:00"/>
    <s v="WCNX"/>
    <n v="0"/>
    <n v="2738.66"/>
    <m/>
    <x v="15"/>
    <n v="7"/>
    <n v="2012"/>
    <n v="2019"/>
    <n v="2019.5833333333333"/>
    <n v="50.715714285714284"/>
    <n v="608.58857142857141"/>
    <n v="0"/>
    <n v="4260.12"/>
    <n v="4260.12"/>
    <x v="1"/>
    <x v="1"/>
  </r>
  <r>
    <n v="2112"/>
    <n v="173781"/>
    <x v="0"/>
    <x v="332"/>
    <n v="100"/>
    <s v="002637-002736"/>
    <m/>
    <n v="0"/>
    <s v="REHRIG PACIFIC COMPANY"/>
    <m/>
    <m/>
    <d v="2012-07-06T00:00:00"/>
    <d v="2012-07-06T00:00:00"/>
    <s v="2148-12-0014-1"/>
    <n v="700"/>
    <n v="14050"/>
    <n v="5325.7"/>
    <n v="14056"/>
    <n v="5325.7"/>
    <n v="0"/>
    <n v="0"/>
    <n v="54260"/>
    <n v="0"/>
    <s v="P"/>
    <m/>
    <s v="LA171283"/>
    <m/>
    <s v="Internal"/>
    <s v="A"/>
    <s v="SL"/>
    <d v="2016-12-31T00:00:00"/>
    <s v="WCNX"/>
    <n v="0"/>
    <n v="3423.69"/>
    <m/>
    <x v="15"/>
    <n v="7"/>
    <n v="2012"/>
    <n v="2019"/>
    <n v="2019.5833333333333"/>
    <n v="63.401190476190472"/>
    <n v="760.81428571428569"/>
    <n v="0"/>
    <n v="5325.7"/>
    <n v="5325.7"/>
    <x v="1"/>
    <x v="1"/>
  </r>
  <r>
    <n v="2112"/>
    <n v="173780"/>
    <x v="0"/>
    <x v="333"/>
    <n v="306"/>
    <s v="004437-004742"/>
    <m/>
    <n v="0"/>
    <s v="REHRIG PACIFIC COMPANY"/>
    <m/>
    <m/>
    <d v="2012-07-06T00:00:00"/>
    <d v="2012-07-06T00:00:00"/>
    <s v="2148-12-0006-1"/>
    <n v="700"/>
    <n v="14050"/>
    <n v="16296.32"/>
    <n v="14056"/>
    <n v="16296.32"/>
    <n v="0"/>
    <n v="0"/>
    <n v="54260"/>
    <n v="0"/>
    <s v="P"/>
    <m/>
    <s v="LA171281"/>
    <m/>
    <s v="Internal"/>
    <s v="A"/>
    <s v="SL"/>
    <d v="2016-12-31T00:00:00"/>
    <s v="WCNX"/>
    <n v="0"/>
    <n v="10476.219999999999"/>
    <m/>
    <x v="15"/>
    <n v="7"/>
    <n v="2012"/>
    <n v="2019"/>
    <n v="2019.5833333333333"/>
    <n v="194.00380952380954"/>
    <n v="2328.0457142857144"/>
    <n v="0"/>
    <n v="16296.32"/>
    <n v="16296.32"/>
    <x v="1"/>
    <x v="1"/>
  </r>
  <r>
    <n v="2112"/>
    <n v="173779"/>
    <x v="0"/>
    <x v="334"/>
    <n v="0"/>
    <m/>
    <m/>
    <n v="0"/>
    <s v="CDW"/>
    <m/>
    <m/>
    <d v="2012-04-30T00:00:00"/>
    <d v="2012-04-30T00:00:00"/>
    <s v="1010-12-0021-1"/>
    <n v="300"/>
    <n v="14110"/>
    <n v="466.06"/>
    <n v="14116"/>
    <n v="466.06"/>
    <n v="0"/>
    <n v="0"/>
    <n v="70260"/>
    <n v="0"/>
    <s v="P"/>
    <m/>
    <s v="J787178"/>
    <m/>
    <s v="Internal"/>
    <s v="A"/>
    <s v="SL"/>
    <d v="2016-12-31T00:00:00"/>
    <s v="WCNX"/>
    <n v="0"/>
    <n v="466.06"/>
    <m/>
    <x v="15"/>
    <n v="4"/>
    <n v="2012"/>
    <n v="2015"/>
    <n v="2015.3333333333333"/>
    <n v="12.94611111111111"/>
    <n v="155.35333333333332"/>
    <n v="0"/>
    <n v="466.06"/>
    <n v="466.06"/>
    <x v="1"/>
    <x v="1"/>
  </r>
  <r>
    <n v="2112"/>
    <n v="173778"/>
    <x v="0"/>
    <x v="157"/>
    <n v="8"/>
    <m/>
    <m/>
    <n v="0"/>
    <s v="CAPITAL INDUSTRIES, INC."/>
    <m/>
    <s v="6 YD FEL/REL/SL Metal"/>
    <d v="2012-04-01T00:00:00"/>
    <d v="2012-04-01T00:00:00"/>
    <s v="2148-12-0008-1"/>
    <n v="1200"/>
    <n v="14050"/>
    <n v="7457.92"/>
    <n v="14056"/>
    <n v="7043.56"/>
    <n v="414.35999999999967"/>
    <n v="362.54"/>
    <n v="54260"/>
    <n v="51.79"/>
    <s v="P"/>
    <m/>
    <n v="68347"/>
    <m/>
    <s v="Internal"/>
    <s v="A"/>
    <s v="SL"/>
    <d v="2016-12-31T00:00:00"/>
    <s v="WCNX"/>
    <n v="0"/>
    <n v="2952.08"/>
    <m/>
    <x v="15"/>
    <n v="4"/>
    <n v="2012"/>
    <n v="2024"/>
    <n v="2024.3333333333333"/>
    <n v="51.791111111111114"/>
    <n v="621.49333333333334"/>
    <n v="621.49333333333334"/>
    <n v="6422.0977777778717"/>
    <n v="7043.5911111112055"/>
    <x v="240"/>
    <x v="1"/>
  </r>
  <r>
    <n v="2112"/>
    <n v="173777"/>
    <x v="0"/>
    <x v="335"/>
    <n v="960"/>
    <m/>
    <m/>
    <n v="0"/>
    <s v="THUNDERBIRD PLASTICS LTD"/>
    <m/>
    <m/>
    <d v="2012-03-01T00:00:00"/>
    <d v="2012-03-01T00:00:00"/>
    <s v="2148-12-0011-1"/>
    <n v="500"/>
    <n v="14050"/>
    <n v="7024.32"/>
    <n v="14056"/>
    <n v="7024.32"/>
    <n v="0"/>
    <n v="0"/>
    <n v="54260"/>
    <n v="0"/>
    <s v="P"/>
    <m/>
    <n v="20706"/>
    <m/>
    <s v="Internal"/>
    <s v="A"/>
    <s v="SL"/>
    <d v="2016-12-31T00:00:00"/>
    <s v="WCNX"/>
    <n v="0"/>
    <n v="6790.16"/>
    <m/>
    <x v="15"/>
    <n v="3"/>
    <n v="2012"/>
    <n v="2017"/>
    <n v="2017.25"/>
    <n v="117.072"/>
    <n v="1404.864"/>
    <n v="0"/>
    <n v="7024.32"/>
    <n v="7024.32"/>
    <x v="1"/>
    <x v="1"/>
  </r>
  <r>
    <n v="2112"/>
    <n v="173776"/>
    <x v="0"/>
    <x v="336"/>
    <n v="0"/>
    <m/>
    <m/>
    <n v="0"/>
    <s v="cdw"/>
    <m/>
    <m/>
    <d v="2012-01-25T00:00:00"/>
    <d v="2012-01-25T00:00:00"/>
    <s v="1010-12-0018-1"/>
    <n v="500"/>
    <n v="14110"/>
    <n v="562.89"/>
    <n v="14116"/>
    <n v="562.89"/>
    <n v="0"/>
    <n v="0"/>
    <n v="70260"/>
    <n v="0"/>
    <s v="P"/>
    <m/>
    <s v="D119957"/>
    <m/>
    <s v="Internal"/>
    <s v="A"/>
    <s v="SL"/>
    <d v="2016-12-31T00:00:00"/>
    <s v="WCNX"/>
    <n v="0"/>
    <n v="553.51"/>
    <m/>
    <x v="15"/>
    <n v="1"/>
    <n v="2012"/>
    <n v="2017"/>
    <n v="2017.0833333333333"/>
    <n v="9.3815000000000008"/>
    <n v="112.578"/>
    <n v="0"/>
    <n v="562.89"/>
    <n v="562.89"/>
    <x v="1"/>
    <x v="1"/>
  </r>
  <r>
    <n v="2112"/>
    <n v="173775"/>
    <x v="0"/>
    <x v="337"/>
    <n v="0"/>
    <m/>
    <m/>
    <n v="0"/>
    <s v="Snap-On Tools"/>
    <m/>
    <m/>
    <d v="2011-12-28T00:00:00"/>
    <d v="2011-12-28T00:00:00"/>
    <s v="2148-11-0015-1"/>
    <n v="500"/>
    <n v="14070"/>
    <n v="4747.92"/>
    <n v="14076"/>
    <n v="4747.92"/>
    <n v="0"/>
    <n v="0"/>
    <n v="51260"/>
    <n v="0"/>
    <s v="P"/>
    <m/>
    <n v="209748"/>
    <m/>
    <s v="Internal"/>
    <s v="A"/>
    <s v="SL"/>
    <d v="2016-12-31T00:00:00"/>
    <s v="WCNX"/>
    <n v="0"/>
    <n v="4747.92"/>
    <m/>
    <x v="15"/>
    <n v="12"/>
    <n v="2011"/>
    <n v="2016"/>
    <n v="2017"/>
    <n v="79.132000000000005"/>
    <n v="949.58400000000006"/>
    <n v="0"/>
    <n v="4747.92"/>
    <n v="4747.92"/>
    <x v="1"/>
    <x v="1"/>
  </r>
  <r>
    <n v="2112"/>
    <n v="173774"/>
    <x v="0"/>
    <x v="333"/>
    <n v="243"/>
    <m/>
    <m/>
    <n v="0"/>
    <s v="REHRIG PACIFIC COMPANY"/>
    <m/>
    <m/>
    <d v="2011-11-01T00:00:00"/>
    <d v="2011-11-01T00:00:00"/>
    <s v="2148-11-0005-1"/>
    <n v="700"/>
    <n v="14050"/>
    <n v="13602.59"/>
    <n v="14056"/>
    <n v="13602.59"/>
    <n v="0"/>
    <n v="0"/>
    <n v="54260"/>
    <n v="0"/>
    <s v="P"/>
    <m/>
    <s v="LA166567"/>
    <m/>
    <s v="Internal"/>
    <s v="A"/>
    <s v="SL"/>
    <d v="2016-12-31T00:00:00"/>
    <s v="WCNX"/>
    <n v="0"/>
    <n v="10040.02"/>
    <m/>
    <x v="15"/>
    <n v="11"/>
    <n v="2011"/>
    <n v="2018"/>
    <n v="2018.9166666666667"/>
    <n v="161.93559523809523"/>
    <n v="1943.2271428571428"/>
    <n v="0"/>
    <n v="13602.59"/>
    <n v="13602.59"/>
    <x v="1"/>
    <x v="1"/>
  </r>
  <r>
    <n v="2112"/>
    <n v="173773"/>
    <x v="0"/>
    <x v="338"/>
    <n v="324"/>
    <m/>
    <m/>
    <n v="0"/>
    <s v="REHRIG PACIFIC COMPANY"/>
    <m/>
    <m/>
    <d v="2011-11-01T00:00:00"/>
    <d v="2011-11-01T00:00:00"/>
    <s v="2148-11-0005-1"/>
    <n v="700"/>
    <n v="14050"/>
    <n v="15990.87"/>
    <n v="14056"/>
    <n v="15990.87"/>
    <n v="0"/>
    <n v="0"/>
    <n v="54260"/>
    <n v="0"/>
    <s v="P"/>
    <m/>
    <s v="LA166566"/>
    <m/>
    <s v="Internal"/>
    <s v="A"/>
    <s v="SL"/>
    <d v="2016-12-31T00:00:00"/>
    <s v="WCNX"/>
    <n v="0"/>
    <n v="11802.79"/>
    <m/>
    <x v="15"/>
    <n v="11"/>
    <n v="2011"/>
    <n v="2018"/>
    <n v="2018.9166666666667"/>
    <n v="190.36750000000004"/>
    <n v="2284.4100000000003"/>
    <n v="0"/>
    <n v="15990.87"/>
    <n v="15990.87"/>
    <x v="1"/>
    <x v="1"/>
  </r>
  <r>
    <n v="2112"/>
    <n v="173772"/>
    <x v="0"/>
    <x v="339"/>
    <n v="0"/>
    <s v="1HTWGAATX5J146592"/>
    <s v="C18567T"/>
    <n v="2005"/>
    <s v="International 7400"/>
    <s v="McNeilus"/>
    <s v="REL Truck"/>
    <d v="2011-11-01T00:00:00"/>
    <d v="2011-11-01T00:00:00"/>
    <s v="2148-11-0001-1"/>
    <n v="300"/>
    <n v="14040"/>
    <n v="100004"/>
    <n v="14046"/>
    <n v="100004"/>
    <n v="0"/>
    <n v="0"/>
    <n v="51260"/>
    <n v="0"/>
    <s v="P"/>
    <m/>
    <s v="TW1110038RL"/>
    <n v="667"/>
    <s v="Internal"/>
    <s v="A"/>
    <s v="SL"/>
    <d v="2016-12-31T00:00:00"/>
    <s v="WCNX"/>
    <n v="0"/>
    <n v="100004"/>
    <m/>
    <x v="15"/>
    <n v="11"/>
    <n v="2011"/>
    <n v="2014"/>
    <n v="2014.9166666666667"/>
    <n v="2777.8888888888887"/>
    <n v="33334.666666666664"/>
    <n v="0"/>
    <n v="100004"/>
    <n v="100004"/>
    <x v="1"/>
    <x v="1"/>
  </r>
  <r>
    <n v="2112"/>
    <n v="173771"/>
    <x v="0"/>
    <x v="340"/>
    <n v="20"/>
    <m/>
    <m/>
    <n v="0"/>
    <s v="WASTEQUIP  WEST COAST"/>
    <m/>
    <s v="2 YD FEL/REL/SL Metal"/>
    <d v="2011-11-25T00:00:00"/>
    <d v="2011-11-25T00:00:00"/>
    <s v="2148-11-0014-1"/>
    <n v="1200"/>
    <n v="14050"/>
    <n v="13463.28"/>
    <n v="14056"/>
    <n v="13089.3"/>
    <n v="373.98000000000138"/>
    <n v="654.46"/>
    <n v="54260"/>
    <n v="93.5"/>
    <s v="P"/>
    <m/>
    <n v="37203805"/>
    <m/>
    <s v="Internal"/>
    <s v="A"/>
    <s v="SL"/>
    <d v="2016-12-31T00:00:00"/>
    <s v="WCNX"/>
    <n v="0"/>
    <n v="5703.2"/>
    <m/>
    <x v="15"/>
    <n v="11"/>
    <n v="2011"/>
    <n v="2023"/>
    <n v="2023.9166666666667"/>
    <n v="93.495000000000005"/>
    <n v="1121.94"/>
    <n v="1121.94"/>
    <n v="12060.855"/>
    <n v="13182.795"/>
    <x v="241"/>
    <x v="1"/>
  </r>
  <r>
    <n v="2112"/>
    <n v="173770"/>
    <x v="39"/>
    <x v="341"/>
    <n v="0"/>
    <m/>
    <m/>
    <n v="2006"/>
    <s v="John Deere"/>
    <s v="N/A"/>
    <s v="Non-Rolling Stock"/>
    <d v="2011-08-10T00:00:00"/>
    <d v="2011-08-10T00:00:00"/>
    <s v="2148-11-0002-1"/>
    <n v="1000"/>
    <n v="14030"/>
    <n v="3794"/>
    <n v="14036"/>
    <n v="3794"/>
    <n v="0"/>
    <n v="0"/>
    <n v="51260"/>
    <n v="0"/>
    <s v="P"/>
    <m/>
    <s v="95509559-001"/>
    <m/>
    <s v="Internal"/>
    <s v="A"/>
    <s v="SL"/>
    <d v="2016-12-31T00:00:00"/>
    <s v="WCNX"/>
    <n v="0"/>
    <n v="2055.08"/>
    <m/>
    <x v="15"/>
    <n v="8"/>
    <n v="2011"/>
    <n v="2021"/>
    <n v="2021.6666666666667"/>
    <n v="31.616666666666664"/>
    <n v="379.4"/>
    <n v="0"/>
    <n v="3794"/>
    <n v="3794"/>
    <x v="1"/>
    <x v="1"/>
  </r>
  <r>
    <n v="2112"/>
    <n v="173769"/>
    <x v="0"/>
    <x v="342"/>
    <n v="0"/>
    <s v="593040A"/>
    <m/>
    <n v="2006"/>
    <s v="N/A"/>
    <s v="N/A"/>
    <s v="Forklift"/>
    <d v="2011-09-28T00:00:00"/>
    <d v="2011-09-28T00:00:00"/>
    <s v="2148-11-0003-1"/>
    <n v="400"/>
    <n v="14030"/>
    <n v="17344"/>
    <n v="14036"/>
    <n v="17344"/>
    <n v="0"/>
    <n v="0"/>
    <n v="51260"/>
    <n v="0"/>
    <s v="P"/>
    <m/>
    <s v="95719277-001"/>
    <s v="MRF-FL3"/>
    <s v="Internal"/>
    <s v="A"/>
    <s v="SL"/>
    <d v="2016-12-31T00:00:00"/>
    <s v="WCNX"/>
    <n v="0"/>
    <n v="17344"/>
    <m/>
    <x v="15"/>
    <n v="9"/>
    <n v="2011"/>
    <n v="2015"/>
    <n v="2015.75"/>
    <n v="361.33333333333331"/>
    <n v="4336"/>
    <n v="0"/>
    <n v="17344"/>
    <n v="17344"/>
    <x v="1"/>
    <x v="1"/>
  </r>
  <r>
    <n v="2112"/>
    <n v="173767"/>
    <x v="0"/>
    <x v="343"/>
    <n v="2"/>
    <m/>
    <m/>
    <n v="0"/>
    <s v="ENTERPRISE SALES, INC."/>
    <m/>
    <s v="4 YD FEL/REL/SL Metal"/>
    <d v="2011-08-05T00:00:00"/>
    <d v="2011-08-05T00:00:00"/>
    <s v="2148-11-0012-1"/>
    <n v="1200"/>
    <n v="14050"/>
    <n v="2679.65"/>
    <n v="14056"/>
    <n v="2679.65"/>
    <n v="0"/>
    <n v="130.19999999999999"/>
    <n v="54260"/>
    <n v="18.55"/>
    <s v="P"/>
    <m/>
    <n v="5017"/>
    <m/>
    <s v="Internal"/>
    <s v="A"/>
    <s v="SL"/>
    <d v="2016-12-31T00:00:00"/>
    <s v="WCNX"/>
    <n v="0"/>
    <n v="1209.5899999999999"/>
    <m/>
    <x v="15"/>
    <n v="8"/>
    <n v="2011"/>
    <n v="2023"/>
    <n v="2023.6666666666667"/>
    <n v="18.608680555555555"/>
    <n v="223.30416666666667"/>
    <n v="223.30416666666667"/>
    <n v="2456.3458333333333"/>
    <n v="2679.65"/>
    <x v="1"/>
    <x v="1"/>
  </r>
  <r>
    <n v="2112"/>
    <n v="173766"/>
    <x v="0"/>
    <x v="1"/>
    <n v="14"/>
    <m/>
    <m/>
    <n v="0"/>
    <s v="ENTERPRISE SALES, INC."/>
    <m/>
    <s v="1 YD FEL/REL/SL Metal"/>
    <d v="2011-08-05T00:00:00"/>
    <d v="2011-08-05T00:00:00"/>
    <s v="2148-11-0008-1"/>
    <n v="1200"/>
    <n v="14050"/>
    <n v="7373.37"/>
    <n v="14056"/>
    <n v="7373.37"/>
    <n v="0"/>
    <n v="358.4"/>
    <n v="54260"/>
    <n v="51.16"/>
    <s v="P"/>
    <m/>
    <n v="5013"/>
    <m/>
    <s v="Internal"/>
    <s v="A"/>
    <s v="SL"/>
    <d v="2016-12-31T00:00:00"/>
    <s v="WCNX"/>
    <n v="0"/>
    <n v="3328.27"/>
    <m/>
    <x v="15"/>
    <n v="8"/>
    <n v="2011"/>
    <n v="2023"/>
    <n v="2023.6666666666667"/>
    <n v="51.203958333333333"/>
    <n v="614.44749999999999"/>
    <n v="614.44749999999999"/>
    <n v="6758.9224999999997"/>
    <n v="7373.37"/>
    <x v="1"/>
    <x v="1"/>
  </r>
  <r>
    <n v="2112"/>
    <n v="173765"/>
    <x v="0"/>
    <x v="160"/>
    <n v="13"/>
    <m/>
    <m/>
    <n v="0"/>
    <s v="ENTERPRISE SALES, INC."/>
    <m/>
    <s v="1.5 YD FEL/REL/SL Metal"/>
    <d v="2011-08-05T00:00:00"/>
    <d v="2011-08-05T00:00:00"/>
    <s v="2148-11-0007-1"/>
    <n v="1200"/>
    <n v="14050"/>
    <n v="7043.83"/>
    <n v="14056"/>
    <n v="7043.83"/>
    <n v="0"/>
    <n v="342.36"/>
    <n v="54260"/>
    <n v="48.86"/>
    <s v="P"/>
    <m/>
    <n v="5012"/>
    <m/>
    <s v="Internal"/>
    <s v="A"/>
    <s v="SL"/>
    <d v="2016-12-31T00:00:00"/>
    <s v="WCNX"/>
    <n v="0"/>
    <n v="3179.53"/>
    <m/>
    <x v="15"/>
    <n v="8"/>
    <n v="2011"/>
    <n v="2023"/>
    <n v="2023.6666666666667"/>
    <n v="48.915486111111107"/>
    <n v="586.98583333333329"/>
    <n v="586.98583333333329"/>
    <n v="6456.8441666666668"/>
    <n v="7043.83"/>
    <x v="1"/>
    <x v="1"/>
  </r>
  <r>
    <n v="2112"/>
    <n v="173764"/>
    <x v="0"/>
    <x v="344"/>
    <n v="5"/>
    <m/>
    <m/>
    <n v="0"/>
    <s v="ENTERPRISE SALES, INC."/>
    <m/>
    <s v="2 YD FEL/REL/SL Metal"/>
    <d v="2011-08-05T00:00:00"/>
    <d v="2011-08-05T00:00:00"/>
    <s v="2148-11-0006-1"/>
    <n v="1200"/>
    <n v="14050"/>
    <n v="2780.46"/>
    <n v="14056"/>
    <n v="2780.46"/>
    <n v="0"/>
    <n v="135.11000000000001"/>
    <n v="54260"/>
    <n v="19.260000000000002"/>
    <s v="P"/>
    <m/>
    <n v="5011"/>
    <m/>
    <s v="Internal"/>
    <s v="A"/>
    <s v="SL"/>
    <d v="2016-12-31T00:00:00"/>
    <s v="WCNX"/>
    <n v="0"/>
    <n v="1255.0899999999999"/>
    <m/>
    <x v="15"/>
    <n v="8"/>
    <n v="2011"/>
    <n v="2023"/>
    <n v="2023.6666666666667"/>
    <n v="19.30875"/>
    <n v="231.70499999999998"/>
    <n v="231.70499999999998"/>
    <n v="2548.7550000000001"/>
    <n v="2780.46"/>
    <x v="1"/>
    <x v="1"/>
  </r>
  <r>
    <n v="2112"/>
    <n v="173763"/>
    <x v="0"/>
    <x v="345"/>
    <n v="0"/>
    <s v="3BPZL00X4BF117807"/>
    <s v="C18574T"/>
    <n v="2011"/>
    <s v="Petebilt 320"/>
    <s v="McNeilus"/>
    <s v="Automated Sideload"/>
    <d v="2010-11-08T00:00:00"/>
    <d v="2010-11-08T00:00:00"/>
    <s v="2148-10-0012-1"/>
    <n v="1000"/>
    <n v="14040"/>
    <n v="276838.92"/>
    <n v="14046"/>
    <n v="276838.92"/>
    <n v="0"/>
    <n v="0"/>
    <n v="51260"/>
    <n v="0"/>
    <s v="P"/>
    <m/>
    <n v="1422655"/>
    <n v="883"/>
    <s v="Internal"/>
    <s v="A"/>
    <s v="SL"/>
    <d v="2016-12-31T00:00:00"/>
    <s v="WCNX"/>
    <n v="0"/>
    <n v="170717.2"/>
    <m/>
    <x v="15"/>
    <n v="11"/>
    <n v="2010"/>
    <n v="2020"/>
    <n v="2020.9166666666667"/>
    <n v="2306.991"/>
    <n v="27683.892"/>
    <n v="0"/>
    <n v="276838.92"/>
    <n v="276838.92"/>
    <x v="1"/>
    <x v="1"/>
  </r>
  <r>
    <n v="2112"/>
    <n v="173762"/>
    <x v="0"/>
    <x v="346"/>
    <n v="0"/>
    <m/>
    <m/>
    <n v="0"/>
    <s v="SOLID WASTE SYSTEMS"/>
    <m/>
    <s v="Non-Rolling Stock"/>
    <d v="2010-09-01T00:00:00"/>
    <d v="2010-09-01T00:00:00"/>
    <s v="2148-10-0008-1"/>
    <n v="1200"/>
    <n v="14030"/>
    <n v="36651"/>
    <n v="14036"/>
    <n v="36651"/>
    <n v="0"/>
    <n v="0"/>
    <n v="51260"/>
    <n v="0"/>
    <s v="P"/>
    <m/>
    <s v="0046599-IN"/>
    <m/>
    <s v="Internal"/>
    <s v="A"/>
    <s v="SL"/>
    <d v="2016-12-31T00:00:00"/>
    <s v="WCNX"/>
    <n v="0"/>
    <n v="19343.580000000002"/>
    <m/>
    <x v="15"/>
    <n v="9"/>
    <n v="2010"/>
    <n v="2022"/>
    <n v="2022.75"/>
    <n v="254.52083333333334"/>
    <n v="3054.25"/>
    <n v="0"/>
    <n v="36396.479166666897"/>
    <n v="36651"/>
    <x v="1"/>
    <x v="1"/>
  </r>
  <r>
    <n v="2112"/>
    <n v="173761"/>
    <x v="0"/>
    <x v="1"/>
    <n v="10"/>
    <m/>
    <m/>
    <n v="0"/>
    <s v="WASTEQUIP"/>
    <m/>
    <s v="1 YD FEL/REL/SL Metal"/>
    <d v="2010-07-01T00:00:00"/>
    <d v="2010-07-01T00:00:00"/>
    <s v="2148-10-0010-1"/>
    <n v="1200"/>
    <n v="14050"/>
    <n v="4392.91"/>
    <n v="14056"/>
    <n v="4392.91"/>
    <n v="0"/>
    <n v="0"/>
    <n v="54260"/>
    <n v="0"/>
    <s v="P"/>
    <m/>
    <n v="37201269"/>
    <m/>
    <s v="Internal"/>
    <s v="A"/>
    <s v="SL"/>
    <d v="2016-12-31T00:00:00"/>
    <s v="WCNX"/>
    <n v="0"/>
    <n v="2379.52"/>
    <m/>
    <x v="15"/>
    <n v="7"/>
    <n v="2010"/>
    <n v="2022"/>
    <n v="2022.5833333333333"/>
    <n v="30.506319444444443"/>
    <n v="366.07583333333332"/>
    <n v="0"/>
    <n v="4392.91"/>
    <n v="4392.91"/>
    <x v="1"/>
    <x v="1"/>
  </r>
  <r>
    <n v="2112"/>
    <n v="173760"/>
    <x v="0"/>
    <x v="160"/>
    <n v="10"/>
    <m/>
    <m/>
    <n v="0"/>
    <s v="WASTEQUIP"/>
    <m/>
    <s v="1.5 YD FEL/REL/SL Metal"/>
    <d v="2010-07-01T00:00:00"/>
    <d v="2010-07-01T00:00:00"/>
    <s v="2148-10-0009-1"/>
    <n v="1200"/>
    <n v="14050"/>
    <n v="4501.3100000000004"/>
    <n v="14056"/>
    <n v="4501.3100000000004"/>
    <n v="0"/>
    <n v="0"/>
    <n v="54260"/>
    <n v="0"/>
    <s v="P"/>
    <m/>
    <n v="37201271"/>
    <m/>
    <s v="Internal"/>
    <s v="A"/>
    <s v="SL"/>
    <d v="2016-12-31T00:00:00"/>
    <s v="WCNX"/>
    <n v="0"/>
    <n v="2438.2199999999998"/>
    <m/>
    <x v="15"/>
    <n v="7"/>
    <n v="2010"/>
    <n v="2022"/>
    <n v="2022.5833333333333"/>
    <n v="31.259097222222223"/>
    <n v="375.10916666666668"/>
    <n v="0"/>
    <n v="4501.3100000000004"/>
    <n v="4501.3100000000004"/>
    <x v="1"/>
    <x v="1"/>
  </r>
  <r>
    <n v="2112"/>
    <n v="173759"/>
    <x v="0"/>
    <x v="347"/>
    <n v="0"/>
    <m/>
    <m/>
    <n v="0"/>
    <s v="HOCH CONSTRUCTION"/>
    <m/>
    <m/>
    <d v="2010-07-01T00:00:00"/>
    <d v="2010-07-01T00:00:00"/>
    <s v="2148-10-0007-1"/>
    <n v="800"/>
    <n v="14090"/>
    <n v="7121.88"/>
    <n v="14096"/>
    <n v="7121.88"/>
    <n v="0"/>
    <n v="0"/>
    <n v="57260"/>
    <n v="0"/>
    <s v="P"/>
    <m/>
    <n v="6302010"/>
    <m/>
    <s v="Internal"/>
    <s v="A"/>
    <s v="SL"/>
    <d v="2016-12-31T00:00:00"/>
    <s v="WCNX"/>
    <n v="0"/>
    <n v="5786.56"/>
    <m/>
    <x v="15"/>
    <n v="7"/>
    <n v="2010"/>
    <n v="2018"/>
    <n v="2018.5833333333333"/>
    <n v="74.186250000000001"/>
    <n v="890.23500000000001"/>
    <n v="0"/>
    <n v="7121.88"/>
    <n v="7121.88"/>
    <x v="1"/>
    <x v="1"/>
  </r>
  <r>
    <n v="2112"/>
    <n v="173758"/>
    <x v="0"/>
    <x v="348"/>
    <n v="203"/>
    <m/>
    <m/>
    <n v="0"/>
    <s v="REHRIG PACIFIC COMPANY"/>
    <m/>
    <m/>
    <d v="2010-06-09T00:00:00"/>
    <d v="2010-06-09T00:00:00"/>
    <s v="2148-10-0013-1"/>
    <n v="700"/>
    <n v="14050"/>
    <n v="9024.34"/>
    <n v="14056"/>
    <n v="9024.34"/>
    <n v="0"/>
    <n v="0"/>
    <n v="54260"/>
    <n v="0"/>
    <s v="P"/>
    <m/>
    <s v="KE69404"/>
    <m/>
    <s v="Internal"/>
    <s v="A"/>
    <s v="SL"/>
    <d v="2016-12-31T00:00:00"/>
    <s v="WCNX"/>
    <n v="0"/>
    <n v="8487.17"/>
    <m/>
    <x v="15"/>
    <n v="6"/>
    <n v="2010"/>
    <n v="2017"/>
    <n v="2017.5"/>
    <n v="107.43261904761904"/>
    <n v="1289.1914285714286"/>
    <n v="0"/>
    <n v="9024.34"/>
    <n v="9024.34"/>
    <x v="1"/>
    <x v="1"/>
  </r>
  <r>
    <n v="2112"/>
    <n v="173757"/>
    <x v="0"/>
    <x v="349"/>
    <n v="2"/>
    <m/>
    <m/>
    <n v="0"/>
    <s v="ENTERPRISE SALES, INC."/>
    <m/>
    <s v="20 YD RO Box"/>
    <d v="2010-06-03T00:00:00"/>
    <d v="2010-06-03T00:00:00"/>
    <s v="2148-10-0002-1"/>
    <n v="1200"/>
    <n v="14050"/>
    <n v="14430.21"/>
    <n v="14056"/>
    <n v="14430.21"/>
    <n v="0"/>
    <n v="0"/>
    <n v="54260"/>
    <n v="0"/>
    <s v="P"/>
    <m/>
    <n v="4558"/>
    <m/>
    <s v="Internal"/>
    <s v="A"/>
    <s v="SL"/>
    <d v="2016-12-31T00:00:00"/>
    <s v="WCNX"/>
    <n v="0"/>
    <n v="7916.59"/>
    <m/>
    <x v="15"/>
    <n v="6"/>
    <n v="2010"/>
    <n v="2022"/>
    <n v="2022.5"/>
    <n v="100.20979166666666"/>
    <n v="1202.5174999999999"/>
    <n v="0"/>
    <n v="14430.21"/>
    <n v="14430.21"/>
    <x v="1"/>
    <x v="1"/>
  </r>
  <r>
    <n v="2112"/>
    <n v="173756"/>
    <x v="0"/>
    <x v="271"/>
    <n v="243"/>
    <m/>
    <m/>
    <n v="0"/>
    <s v="REHRIG PACIFIC COMPANY"/>
    <m/>
    <m/>
    <d v="2010-05-26T00:00:00"/>
    <d v="2010-05-26T00:00:00"/>
    <s v="2148-10-0005-1"/>
    <n v="700"/>
    <n v="14050"/>
    <n v="11784.62"/>
    <n v="14056"/>
    <n v="11784.62"/>
    <n v="0"/>
    <n v="0"/>
    <n v="54260"/>
    <n v="0"/>
    <s v="P"/>
    <m/>
    <s v="LA156154"/>
    <m/>
    <s v="Internal"/>
    <s v="A"/>
    <s v="SL"/>
    <d v="2016-12-31T00:00:00"/>
    <s v="WCNX"/>
    <n v="0"/>
    <n v="11083.16"/>
    <m/>
    <x v="15"/>
    <n v="5"/>
    <n v="2010"/>
    <n v="2017"/>
    <n v="2017.4166666666667"/>
    <n v="140.29309523809525"/>
    <n v="1683.517142857143"/>
    <n v="0"/>
    <n v="11784.62"/>
    <n v="11784.62"/>
    <x v="1"/>
    <x v="1"/>
  </r>
  <r>
    <n v="2112"/>
    <n v="173755"/>
    <x v="0"/>
    <x v="271"/>
    <n v="243"/>
    <m/>
    <m/>
    <n v="0"/>
    <s v="REHRIG PACIFIC COMPANY"/>
    <m/>
    <m/>
    <d v="2010-05-26T00:00:00"/>
    <d v="2010-05-26T00:00:00"/>
    <s v="2148-10-0005-1"/>
    <n v="700"/>
    <n v="14050"/>
    <n v="11784.62"/>
    <n v="14056"/>
    <n v="11784.62"/>
    <n v="0"/>
    <n v="0"/>
    <n v="54260"/>
    <n v="0"/>
    <s v="P"/>
    <m/>
    <s v="LA156153R"/>
    <m/>
    <s v="Internal"/>
    <s v="A"/>
    <s v="SL"/>
    <d v="2016-12-31T00:00:00"/>
    <s v="WCNX"/>
    <n v="0"/>
    <n v="11083.16"/>
    <m/>
    <x v="15"/>
    <n v="5"/>
    <n v="2010"/>
    <n v="2017"/>
    <n v="2017.4166666666667"/>
    <n v="140.29309523809525"/>
    <n v="1683.517142857143"/>
    <n v="0"/>
    <n v="11784.62"/>
    <n v="11784.62"/>
    <x v="1"/>
    <x v="1"/>
  </r>
  <r>
    <n v="2112"/>
    <n v="173754"/>
    <x v="40"/>
    <x v="350"/>
    <n v="0"/>
    <m/>
    <m/>
    <n v="2010"/>
    <s v="N/A"/>
    <m/>
    <s v="Non-Rolling Stock"/>
    <d v="2010-04-27T00:00:00"/>
    <d v="2010-04-27T00:00:00"/>
    <s v="2148-10-0011-1"/>
    <n v="300"/>
    <n v="14030"/>
    <n v="32658.75"/>
    <n v="14036"/>
    <n v="32658.75"/>
    <n v="0"/>
    <n v="0"/>
    <n v="51260"/>
    <n v="0"/>
    <s v="P"/>
    <m/>
    <s v="10-059"/>
    <m/>
    <s v="Internal"/>
    <s v="A"/>
    <s v="SL"/>
    <d v="2016-12-31T00:00:00"/>
    <s v="WCNX"/>
    <n v="0"/>
    <n v="32658.75"/>
    <m/>
    <x v="15"/>
    <n v="4"/>
    <n v="2010"/>
    <n v="2013"/>
    <n v="2013.3333333333333"/>
    <n v="907.1875"/>
    <n v="10886.25"/>
    <n v="0"/>
    <n v="32658.75"/>
    <n v="32658.75"/>
    <x v="1"/>
    <x v="1"/>
  </r>
  <r>
    <n v="2112"/>
    <n v="173752"/>
    <x v="0"/>
    <x v="351"/>
    <n v="206"/>
    <m/>
    <m/>
    <n v="0"/>
    <s v="REHRIG PACIFIC COMPANY"/>
    <m/>
    <m/>
    <d v="2010-02-01T00:00:00"/>
    <d v="2010-02-01T00:00:00"/>
    <s v="2148-10-0013-1"/>
    <n v="700"/>
    <n v="14050"/>
    <n v="9365.36"/>
    <n v="14056"/>
    <n v="9365.36"/>
    <n v="0"/>
    <n v="0"/>
    <n v="54260"/>
    <n v="0"/>
    <s v="P"/>
    <m/>
    <s v="LA153948"/>
    <m/>
    <s v="Internal"/>
    <s v="A"/>
    <s v="SL"/>
    <d v="2016-12-31T00:00:00"/>
    <s v="WCNX"/>
    <n v="0"/>
    <n v="9253.8799999999992"/>
    <m/>
    <x v="15"/>
    <n v="2"/>
    <n v="2010"/>
    <n v="2017"/>
    <n v="2017.1666666666667"/>
    <n v="111.49238095238097"/>
    <n v="1337.9085714285716"/>
    <n v="0"/>
    <n v="9365.36"/>
    <n v="9365.36"/>
    <x v="1"/>
    <x v="1"/>
  </r>
  <r>
    <n v="2112"/>
    <n v="173751"/>
    <x v="0"/>
    <x v="352"/>
    <n v="486"/>
    <m/>
    <m/>
    <n v="0"/>
    <s v="REHRIG PACIFIC COMPANY"/>
    <m/>
    <m/>
    <d v="2010-02-01T00:00:00"/>
    <d v="2010-02-01T00:00:00"/>
    <s v="2148-10-0013-1"/>
    <n v="700"/>
    <n v="14050"/>
    <n v="22095"/>
    <n v="14056"/>
    <n v="22095"/>
    <n v="0"/>
    <n v="0"/>
    <n v="54260"/>
    <n v="0"/>
    <s v="P"/>
    <m/>
    <s v="LA153905"/>
    <m/>
    <s v="Internal"/>
    <s v="A"/>
    <s v="SL"/>
    <d v="2016-12-31T00:00:00"/>
    <s v="WCNX"/>
    <n v="0"/>
    <n v="21831.97"/>
    <m/>
    <x v="15"/>
    <n v="2"/>
    <n v="2010"/>
    <n v="2017"/>
    <n v="2017.1666666666667"/>
    <n v="263.03571428571428"/>
    <n v="3156.4285714285716"/>
    <n v="0"/>
    <n v="22095"/>
    <n v="22095"/>
    <x v="1"/>
    <x v="1"/>
  </r>
  <r>
    <n v="2112"/>
    <n v="173750"/>
    <x v="0"/>
    <x v="352"/>
    <n v="486"/>
    <m/>
    <m/>
    <n v="0"/>
    <s v="REHRIG PACIFIC COMPANY"/>
    <m/>
    <m/>
    <d v="2010-02-01T00:00:00"/>
    <d v="2010-02-01T00:00:00"/>
    <s v="2148-10-0013-1"/>
    <n v="700"/>
    <n v="14050"/>
    <n v="22095"/>
    <n v="14056"/>
    <n v="22095"/>
    <n v="0"/>
    <n v="0"/>
    <n v="54260"/>
    <n v="0"/>
    <s v="P"/>
    <m/>
    <s v="LA153904"/>
    <m/>
    <s v="Internal"/>
    <s v="A"/>
    <s v="SL"/>
    <d v="2016-12-31T00:00:00"/>
    <s v="WCNX"/>
    <n v="0"/>
    <n v="21831.97"/>
    <m/>
    <x v="15"/>
    <n v="2"/>
    <n v="2010"/>
    <n v="2017"/>
    <n v="2017.1666666666667"/>
    <n v="263.03571428571428"/>
    <n v="3156.4285714285716"/>
    <n v="0"/>
    <n v="22095"/>
    <n v="22095"/>
    <x v="1"/>
    <x v="1"/>
  </r>
  <r>
    <n v="2112"/>
    <n v="173749"/>
    <x v="0"/>
    <x v="352"/>
    <n v="486"/>
    <m/>
    <m/>
    <n v="0"/>
    <s v="REHRIG PACIFIC COMPANY"/>
    <m/>
    <m/>
    <d v="2010-02-01T00:00:00"/>
    <d v="2010-02-01T00:00:00"/>
    <s v="2148-10-0013-1"/>
    <n v="700"/>
    <n v="14050"/>
    <n v="22095"/>
    <n v="14056"/>
    <n v="22095"/>
    <n v="0"/>
    <n v="0"/>
    <n v="54260"/>
    <n v="0"/>
    <s v="P"/>
    <m/>
    <s v="LA153927"/>
    <m/>
    <s v="Internal"/>
    <s v="A"/>
    <s v="SL"/>
    <d v="2016-12-31T00:00:00"/>
    <s v="WCNX"/>
    <n v="0"/>
    <n v="21831.97"/>
    <m/>
    <x v="15"/>
    <n v="2"/>
    <n v="2010"/>
    <n v="2017"/>
    <n v="2017.1666666666667"/>
    <n v="263.03571428571428"/>
    <n v="3156.4285714285716"/>
    <n v="0"/>
    <n v="22095"/>
    <n v="22095"/>
    <x v="1"/>
    <x v="1"/>
  </r>
  <r>
    <n v="2112"/>
    <n v="173748"/>
    <x v="0"/>
    <x v="352"/>
    <n v="486"/>
    <m/>
    <m/>
    <n v="0"/>
    <s v="REHRIG PACIFIC COMPANY"/>
    <m/>
    <m/>
    <d v="2010-02-01T00:00:00"/>
    <d v="2010-02-01T00:00:00"/>
    <s v="2148-10-0013-1"/>
    <n v="700"/>
    <n v="14050"/>
    <n v="22095"/>
    <n v="14056"/>
    <n v="22095"/>
    <n v="0"/>
    <n v="0"/>
    <n v="54260"/>
    <n v="0"/>
    <s v="P"/>
    <m/>
    <s v="LA153926"/>
    <m/>
    <s v="Internal"/>
    <s v="A"/>
    <s v="SL"/>
    <d v="2016-12-31T00:00:00"/>
    <s v="WCNX"/>
    <n v="0"/>
    <n v="21831.97"/>
    <m/>
    <x v="15"/>
    <n v="2"/>
    <n v="2010"/>
    <n v="2017"/>
    <n v="2017.1666666666667"/>
    <n v="263.03571428571428"/>
    <n v="3156.4285714285716"/>
    <n v="0"/>
    <n v="22095"/>
    <n v="22095"/>
    <x v="1"/>
    <x v="1"/>
  </r>
  <r>
    <n v="2112"/>
    <n v="173747"/>
    <x v="0"/>
    <x v="353"/>
    <n v="486"/>
    <m/>
    <m/>
    <n v="0"/>
    <s v="REHRIG PACIFIC COMPANY"/>
    <m/>
    <m/>
    <d v="2010-02-01T00:00:00"/>
    <d v="2010-02-01T00:00:00"/>
    <s v="2148-10-0013-1"/>
    <n v="700"/>
    <n v="14050"/>
    <n v="22095"/>
    <n v="14056"/>
    <n v="22095"/>
    <n v="0"/>
    <n v="0"/>
    <n v="54260"/>
    <n v="0"/>
    <s v="P"/>
    <m/>
    <s v="LA153886"/>
    <m/>
    <s v="Internal"/>
    <s v="A"/>
    <s v="SL"/>
    <d v="2016-12-31T00:00:00"/>
    <s v="WCNX"/>
    <n v="0"/>
    <n v="21831.97"/>
    <m/>
    <x v="15"/>
    <n v="2"/>
    <n v="2010"/>
    <n v="2017"/>
    <n v="2017.1666666666667"/>
    <n v="263.03571428571428"/>
    <n v="3156.4285714285716"/>
    <n v="0"/>
    <n v="22095"/>
    <n v="22095"/>
    <x v="1"/>
    <x v="1"/>
  </r>
  <r>
    <n v="2112"/>
    <n v="173746"/>
    <x v="0"/>
    <x v="354"/>
    <n v="0"/>
    <m/>
    <m/>
    <n v="0"/>
    <s v="Drivecam"/>
    <m/>
    <m/>
    <d v="2009-08-01T00:00:00"/>
    <d v="2009-08-01T00:00:00"/>
    <s v="2148-9-0018-1"/>
    <n v="500"/>
    <n v="14070"/>
    <n v="1428"/>
    <n v="14076"/>
    <n v="1428"/>
    <n v="0"/>
    <n v="0"/>
    <n v="51260"/>
    <n v="0"/>
    <s v="P"/>
    <m/>
    <s v="4070926-IN"/>
    <m/>
    <s v="Internal"/>
    <s v="A"/>
    <s v="SL"/>
    <d v="2016-12-31T00:00:00"/>
    <s v="WCNX"/>
    <n v="0"/>
    <n v="1428"/>
    <m/>
    <x v="15"/>
    <n v="8"/>
    <n v="2009"/>
    <n v="2014"/>
    <n v="2014.6666666666667"/>
    <n v="23.8"/>
    <n v="285.60000000000002"/>
    <n v="0"/>
    <n v="1428"/>
    <n v="1428"/>
    <x v="1"/>
    <x v="1"/>
  </r>
  <r>
    <n v="2112"/>
    <n v="173745"/>
    <x v="0"/>
    <x v="355"/>
    <n v="0"/>
    <m/>
    <m/>
    <n v="0"/>
    <s v="DriveCam"/>
    <m/>
    <m/>
    <d v="2009-08-01T00:00:00"/>
    <d v="2009-08-01T00:00:00"/>
    <s v="2148-9-0018-1"/>
    <n v="500"/>
    <n v="14070"/>
    <n v="7939.23"/>
    <n v="14076"/>
    <n v="7939.23"/>
    <n v="0"/>
    <n v="0"/>
    <n v="51260"/>
    <n v="0"/>
    <s v="P"/>
    <m/>
    <s v="4070885-1N"/>
    <m/>
    <s v="Internal"/>
    <s v="A"/>
    <s v="SL"/>
    <d v="2016-12-31T00:00:00"/>
    <s v="WCNX"/>
    <n v="0"/>
    <n v="7939.23"/>
    <m/>
    <x v="15"/>
    <n v="8"/>
    <n v="2009"/>
    <n v="2014"/>
    <n v="2014.6666666666667"/>
    <n v="132.32050000000001"/>
    <n v="1587.846"/>
    <n v="0"/>
    <n v="7939.23"/>
    <n v="7939.23"/>
    <x v="1"/>
    <x v="1"/>
  </r>
  <r>
    <n v="2112"/>
    <n v="173744"/>
    <x v="0"/>
    <x v="356"/>
    <n v="0"/>
    <m/>
    <m/>
    <n v="0"/>
    <s v="Drive Cam"/>
    <m/>
    <m/>
    <d v="2009-08-01T00:00:00"/>
    <d v="2009-08-01T00:00:00"/>
    <s v="2148-9-0018-1"/>
    <n v="500"/>
    <n v="14070"/>
    <n v="4250.3999999999996"/>
    <n v="14076"/>
    <n v="4250.3999999999996"/>
    <n v="0"/>
    <n v="0"/>
    <n v="51260"/>
    <n v="0"/>
    <s v="P"/>
    <m/>
    <s v="4072177-IN"/>
    <m/>
    <s v="Internal"/>
    <s v="A"/>
    <s v="SL"/>
    <d v="2016-12-31T00:00:00"/>
    <s v="WCNX"/>
    <n v="0"/>
    <n v="4250.3999999999996"/>
    <m/>
    <x v="15"/>
    <n v="8"/>
    <n v="2009"/>
    <n v="2014"/>
    <n v="2014.6666666666667"/>
    <n v="70.839999999999989"/>
    <n v="850.07999999999993"/>
    <n v="0"/>
    <n v="4250.3999999999996"/>
    <n v="4250.3999999999996"/>
    <x v="1"/>
    <x v="1"/>
  </r>
  <r>
    <n v="2112"/>
    <n v="173743"/>
    <x v="40"/>
    <x v="357"/>
    <n v="0"/>
    <n v="0"/>
    <m/>
    <n v="0"/>
    <s v="PACIFIC WIRE PRODUCTS"/>
    <m/>
    <s v="Non-Rolling Stock"/>
    <d v="2007-08-14T00:00:00"/>
    <d v="2007-08-14T00:00:00"/>
    <s v="07-2170-004"/>
    <n v="300"/>
    <n v="14030"/>
    <n v="7871.16"/>
    <n v="14036"/>
    <n v="7871.16"/>
    <n v="0"/>
    <n v="0"/>
    <n v="51260"/>
    <n v="0"/>
    <s v="P"/>
    <m/>
    <n v="10618"/>
    <m/>
    <s v="Internal"/>
    <s v="A"/>
    <s v="SL"/>
    <d v="2016-12-31T00:00:00"/>
    <s v="WCNX"/>
    <n v="0"/>
    <n v="7871.16"/>
    <m/>
    <x v="15"/>
    <n v="8"/>
    <n v="2007"/>
    <n v="2010"/>
    <n v="2010.6666666666667"/>
    <n v="218.64333333333332"/>
    <n v="2623.72"/>
    <n v="0"/>
    <n v="7871.16"/>
    <n v="7871.16"/>
    <x v="1"/>
    <x v="1"/>
  </r>
  <r>
    <n v="2112"/>
    <n v="173742"/>
    <x v="0"/>
    <x v="358"/>
    <n v="0"/>
    <n v="1"/>
    <m/>
    <n v="1997"/>
    <s v="OTHER"/>
    <s v="Other"/>
    <s v="MRF Equipment"/>
    <d v="1997-12-01T00:00:00"/>
    <d v="1997-12-01T00:00:00"/>
    <m/>
    <n v="700"/>
    <n v="14030"/>
    <n v="30000"/>
    <n v="14036"/>
    <n v="30000"/>
    <n v="0"/>
    <n v="0"/>
    <n v="51260"/>
    <n v="0"/>
    <s v="A"/>
    <s v="DM Disposal Port Angelas"/>
    <m/>
    <m/>
    <s v="Internal"/>
    <s v="A"/>
    <s v="SL"/>
    <d v="2016-12-31T00:00:00"/>
    <s v="WCNX"/>
    <n v="0"/>
    <n v="30000"/>
    <m/>
    <x v="15"/>
    <n v="12"/>
    <n v="1997"/>
    <n v="2004"/>
    <n v="2005"/>
    <n v="357.14285714285711"/>
    <n v="4285.7142857142853"/>
    <n v="0"/>
    <n v="30000"/>
    <n v="30000"/>
    <x v="1"/>
    <x v="1"/>
  </r>
  <r>
    <n v="2112"/>
    <n v="173741"/>
    <x v="41"/>
    <x v="359"/>
    <n v="0"/>
    <m/>
    <m/>
    <n v="0"/>
    <m/>
    <m/>
    <s v="Non-Rolling Stock "/>
    <d v="2008-03-20T00:00:00"/>
    <d v="2008-03-20T00:00:00"/>
    <s v="2010-8-0023-1"/>
    <n v="300"/>
    <n v="14040"/>
    <n v="14816.8"/>
    <n v="14046"/>
    <n v="14816.8"/>
    <n v="0"/>
    <n v="0"/>
    <n v="51260"/>
    <n v="0"/>
    <s v="P"/>
    <m/>
    <s v="11749846/16267"/>
    <n v="227"/>
    <s v="Internal"/>
    <s v="A"/>
    <s v="SL"/>
    <d v="2016-12-31T00:00:00"/>
    <s v="WCNX"/>
    <n v="0"/>
    <n v="14816.8"/>
    <m/>
    <x v="15"/>
    <n v="3"/>
    <n v="2008"/>
    <n v="2011"/>
    <n v="2011.25"/>
    <n v="411.57777777777778"/>
    <n v="4938.9333333333334"/>
    <n v="0"/>
    <n v="14816.8"/>
    <n v="14816.8"/>
    <x v="1"/>
    <x v="1"/>
  </r>
  <r>
    <n v="2112"/>
    <n v="173740"/>
    <x v="41"/>
    <x v="360"/>
    <n v="100"/>
    <m/>
    <m/>
    <n v="0"/>
    <m/>
    <m/>
    <s v="Non-Rolling Stock"/>
    <d v="1999-02-01T00:00:00"/>
    <d v="1999-02-01T00:00:00"/>
    <m/>
    <n v="1000"/>
    <n v="14040"/>
    <n v="678.85"/>
    <n v="14046"/>
    <n v="678.85"/>
    <n v="0"/>
    <n v="0"/>
    <n v="51260"/>
    <n v="0"/>
    <s v="P"/>
    <m/>
    <m/>
    <n v="227"/>
    <s v="Internal"/>
    <s v="A"/>
    <s v="SL"/>
    <d v="2016-12-31T00:00:00"/>
    <s v="WCNX"/>
    <n v="0"/>
    <n v="678.85"/>
    <m/>
    <x v="15"/>
    <n v="2"/>
    <n v="1999"/>
    <n v="2009"/>
    <n v="2009.1666666666667"/>
    <n v="5.6570833333333335"/>
    <n v="67.885000000000005"/>
    <n v="0"/>
    <n v="678.85"/>
    <n v="678.85"/>
    <x v="1"/>
    <x v="1"/>
  </r>
  <r>
    <n v="2112"/>
    <n v="173739"/>
    <x v="41"/>
    <x v="361"/>
    <n v="100"/>
    <m/>
    <m/>
    <n v="0"/>
    <m/>
    <m/>
    <s v="Non-Rolling Stock "/>
    <d v="1999-02-01T00:00:00"/>
    <d v="1999-02-01T00:00:00"/>
    <m/>
    <n v="1000"/>
    <n v="14040"/>
    <n v="2582.4"/>
    <n v="14046"/>
    <n v="2582.4"/>
    <n v="0"/>
    <n v="0"/>
    <n v="51260"/>
    <n v="0"/>
    <s v="P"/>
    <m/>
    <m/>
    <n v="227"/>
    <s v="Internal"/>
    <s v="A"/>
    <s v="SL"/>
    <d v="2016-12-31T00:00:00"/>
    <s v="WCNX"/>
    <n v="0"/>
    <n v="2582.4"/>
    <m/>
    <x v="15"/>
    <n v="2"/>
    <n v="1999"/>
    <n v="2009"/>
    <n v="2009.1666666666667"/>
    <n v="21.52"/>
    <n v="258.24"/>
    <n v="0"/>
    <n v="2582.4"/>
    <n v="2582.4"/>
    <x v="1"/>
    <x v="1"/>
  </r>
  <r>
    <n v="2112"/>
    <n v="173737"/>
    <x v="0"/>
    <x v="362"/>
    <n v="624"/>
    <m/>
    <m/>
    <n v="0"/>
    <s v="TOTER INCORPORATED"/>
    <m/>
    <m/>
    <d v="2008-09-05T00:00:00"/>
    <d v="2008-09-05T00:00:00"/>
    <s v="2148-8-0010-1"/>
    <n v="700"/>
    <n v="14050"/>
    <n v="37973.21"/>
    <n v="14056"/>
    <n v="37973.21"/>
    <n v="0"/>
    <n v="0"/>
    <n v="54260"/>
    <n v="0"/>
    <s v="P"/>
    <m/>
    <s v="KB 232383"/>
    <m/>
    <s v="Internal"/>
    <s v="A"/>
    <s v="SL"/>
    <d v="2016-12-31T00:00:00"/>
    <s v="WCNX"/>
    <n v="0"/>
    <n v="37973.21"/>
    <m/>
    <x v="15"/>
    <n v="9"/>
    <n v="2008"/>
    <n v="2015"/>
    <n v="2015.75"/>
    <n v="452.06202380952385"/>
    <n v="5424.744285714286"/>
    <n v="0"/>
    <n v="37973.21"/>
    <n v="37973.21"/>
    <x v="1"/>
    <x v="1"/>
  </r>
  <r>
    <n v="2112"/>
    <n v="173736"/>
    <x v="0"/>
    <x v="363"/>
    <n v="5"/>
    <m/>
    <m/>
    <n v="0"/>
    <s v="ENTERPRISE SALES, INC."/>
    <m/>
    <s v="30 YD RO Box"/>
    <d v="2008-07-24T00:00:00"/>
    <d v="2008-07-24T00:00:00"/>
    <s v="2148-8-0009-1"/>
    <n v="1200"/>
    <n v="14050"/>
    <n v="27728.720000000001"/>
    <n v="14056"/>
    <n v="27728.720000000001"/>
    <n v="0"/>
    <n v="0"/>
    <n v="54260"/>
    <n v="0"/>
    <s v="P"/>
    <m/>
    <n v="3831"/>
    <m/>
    <s v="Internal"/>
    <s v="A"/>
    <s v="SL"/>
    <d v="2016-12-31T00:00:00"/>
    <s v="WCNX"/>
    <n v="0"/>
    <n v="19448.5"/>
    <m/>
    <x v="15"/>
    <n v="7"/>
    <n v="2008"/>
    <n v="2020"/>
    <n v="2020.5833333333333"/>
    <n v="192.56055555555557"/>
    <n v="2310.7266666666669"/>
    <n v="0"/>
    <n v="27728.720000000001"/>
    <n v="27728.720000000001"/>
    <x v="1"/>
    <x v="1"/>
  </r>
  <r>
    <n v="2112"/>
    <n v="173735"/>
    <x v="0"/>
    <x v="364"/>
    <n v="15"/>
    <m/>
    <m/>
    <n v="0"/>
    <s v="ENTERPRISE SALES, INC."/>
    <m/>
    <s v="6 YD FEL/REL/SL Metal"/>
    <d v="2008-07-24T00:00:00"/>
    <d v="2008-07-24T00:00:00"/>
    <s v="2148-8-0015-1"/>
    <n v="1200"/>
    <n v="14050"/>
    <n v="13631.3"/>
    <n v="14056"/>
    <n v="13631.3"/>
    <n v="0"/>
    <n v="0"/>
    <n v="54260"/>
    <n v="0"/>
    <s v="P"/>
    <m/>
    <n v="3832"/>
    <m/>
    <s v="Internal"/>
    <s v="A"/>
    <s v="SL"/>
    <d v="2016-12-31T00:00:00"/>
    <s v="WCNX"/>
    <n v="0"/>
    <n v="9560.83"/>
    <m/>
    <x v="15"/>
    <n v="7"/>
    <n v="2008"/>
    <n v="2020"/>
    <n v="2020.5833333333333"/>
    <n v="94.661805555555546"/>
    <n v="1135.9416666666666"/>
    <n v="0"/>
    <n v="13631.3"/>
    <n v="13631.3"/>
    <x v="1"/>
    <x v="1"/>
  </r>
  <r>
    <n v="2112"/>
    <n v="173733"/>
    <x v="34"/>
    <x v="365"/>
    <n v="0"/>
    <n v="201124"/>
    <m/>
    <n v="2005"/>
    <m/>
    <m/>
    <s v="Non-Rolling Stock"/>
    <d v="2008-01-01T00:00:00"/>
    <d v="2008-01-01T00:00:00"/>
    <s v="2148-8-0013-1"/>
    <n v="700"/>
    <n v="14040"/>
    <n v="16747.5"/>
    <n v="14046"/>
    <n v="16747.5"/>
    <n v="0"/>
    <n v="0"/>
    <n v="51260"/>
    <n v="0"/>
    <s v="P"/>
    <m/>
    <d v="5127-01-01T00:00:00"/>
    <m/>
    <s v="Internal"/>
    <s v="A"/>
    <s v="SL"/>
    <d v="2016-12-31T00:00:00"/>
    <s v="WCNX"/>
    <n v="0"/>
    <n v="16747.5"/>
    <m/>
    <x v="15"/>
    <n v="1"/>
    <n v="2008"/>
    <n v="2015"/>
    <n v="2015.0833333333333"/>
    <n v="199.375"/>
    <n v="2392.5"/>
    <n v="0"/>
    <n v="16747.5"/>
    <n v="16747.5"/>
    <x v="1"/>
    <x v="1"/>
  </r>
  <r>
    <n v="2112"/>
    <n v="173731"/>
    <x v="0"/>
    <x v="366"/>
    <n v="15"/>
    <n v="0"/>
    <m/>
    <n v="0"/>
    <s v="ENTERPRISE SALES, INC."/>
    <m/>
    <s v="4 YD FEL/REL/SL Metal"/>
    <d v="2008-01-01T00:00:00"/>
    <d v="2008-01-01T00:00:00"/>
    <s v="07-2148-005"/>
    <n v="1110"/>
    <n v="14050"/>
    <n v="10124.17"/>
    <n v="14056"/>
    <n v="10124.17"/>
    <n v="0"/>
    <n v="0"/>
    <n v="54260"/>
    <n v="0"/>
    <s v="P"/>
    <m/>
    <n v="3543"/>
    <m/>
    <s v="Internal"/>
    <s v="A"/>
    <s v="SL"/>
    <d v="2016-12-31T00:00:00"/>
    <s v="WCNX"/>
    <n v="0"/>
    <n v="7700.04"/>
    <m/>
    <x v="15"/>
    <n v="1"/>
    <n v="2008"/>
    <n v="2019.1"/>
    <n v="2019.1833333333332"/>
    <n v="76.00728228228229"/>
    <n v="912.08738738738748"/>
    <n v="0"/>
    <n v="10124.17"/>
    <n v="10124.17"/>
    <x v="1"/>
    <x v="1"/>
  </r>
  <r>
    <n v="2112"/>
    <n v="173730"/>
    <x v="0"/>
    <x v="367"/>
    <n v="0"/>
    <m/>
    <m/>
    <n v="0"/>
    <m/>
    <m/>
    <m/>
    <d v="2007-12-31T00:00:00"/>
    <d v="2007-12-31T00:00:00"/>
    <m/>
    <n v="500"/>
    <n v="15250"/>
    <n v="620440"/>
    <n v="15256"/>
    <n v="620440"/>
    <n v="0"/>
    <n v="0"/>
    <n v="70269"/>
    <n v="0"/>
    <s v="A"/>
    <s v="City of Sequim"/>
    <m/>
    <m/>
    <s v="Internal"/>
    <s v="A"/>
    <s v="SL"/>
    <d v="2016-12-31T00:00:00"/>
    <s v="WCNX"/>
    <n v="0"/>
    <n v="620440"/>
    <m/>
    <x v="15"/>
    <n v="12"/>
    <n v="2007"/>
    <n v="2012"/>
    <n v="2013"/>
    <n v="10340.666666666666"/>
    <n v="124088"/>
    <n v="0"/>
    <n v="620440"/>
    <n v="620440"/>
    <x v="1"/>
    <x v="1"/>
  </r>
  <r>
    <n v="2112"/>
    <n v="173729"/>
    <x v="0"/>
    <x v="368"/>
    <n v="3761"/>
    <m/>
    <m/>
    <n v="0"/>
    <m/>
    <m/>
    <m/>
    <d v="2007-12-31T00:00:00"/>
    <d v="2007-12-31T00:00:00"/>
    <m/>
    <n v="500"/>
    <n v="14050"/>
    <n v="37610"/>
    <n v="14056"/>
    <n v="37610"/>
    <n v="0"/>
    <n v="0"/>
    <n v="54260"/>
    <n v="0"/>
    <s v="A"/>
    <s v="City of Sequim"/>
    <m/>
    <m/>
    <s v="Internal"/>
    <s v="A"/>
    <s v="SL"/>
    <d v="2016-12-31T00:00:00"/>
    <s v="WCNX"/>
    <n v="0"/>
    <n v="37610"/>
    <m/>
    <x v="15"/>
    <n v="12"/>
    <n v="2007"/>
    <n v="2012"/>
    <n v="2013"/>
    <n v="626.83333333333337"/>
    <n v="7522"/>
    <n v="0"/>
    <n v="37610"/>
    <n v="37610"/>
    <x v="1"/>
    <x v="1"/>
  </r>
  <r>
    <n v="2112"/>
    <n v="173728"/>
    <x v="0"/>
    <x v="369"/>
    <n v="18"/>
    <m/>
    <m/>
    <n v="0"/>
    <m/>
    <m/>
    <s v="6 YD FEL/REL/SL Metal"/>
    <d v="2007-12-31T00:00:00"/>
    <d v="2007-12-31T00:00:00"/>
    <m/>
    <n v="700"/>
    <n v="14050"/>
    <n v="1350"/>
    <n v="14056"/>
    <n v="1350"/>
    <n v="0"/>
    <n v="0"/>
    <n v="54260"/>
    <n v="0"/>
    <s v="A"/>
    <s v="City of Sequim"/>
    <m/>
    <m/>
    <s v="Internal"/>
    <s v="A"/>
    <s v="SL"/>
    <d v="2016-12-31T00:00:00"/>
    <s v="WCNX"/>
    <n v="0"/>
    <n v="1350"/>
    <m/>
    <x v="15"/>
    <n v="12"/>
    <n v="2007"/>
    <n v="2014"/>
    <n v="2015"/>
    <n v="16.071428571428573"/>
    <n v="192.85714285714289"/>
    <n v="0"/>
    <n v="1350"/>
    <n v="1350"/>
    <x v="1"/>
    <x v="1"/>
  </r>
  <r>
    <n v="2112"/>
    <n v="173727"/>
    <x v="0"/>
    <x v="370"/>
    <n v="28"/>
    <m/>
    <m/>
    <n v="0"/>
    <m/>
    <m/>
    <s v="4 YD FEL/REL/SL Metal"/>
    <d v="2007-12-31T00:00:00"/>
    <d v="2007-12-31T00:00:00"/>
    <m/>
    <n v="700"/>
    <n v="14050"/>
    <n v="2100"/>
    <n v="14056"/>
    <n v="2100"/>
    <n v="0"/>
    <n v="0"/>
    <n v="54260"/>
    <n v="0"/>
    <s v="A"/>
    <s v="City of Sequim"/>
    <m/>
    <m/>
    <s v="Internal"/>
    <s v="A"/>
    <s v="SL"/>
    <d v="2016-12-31T00:00:00"/>
    <s v="WCNX"/>
    <n v="0"/>
    <n v="2100"/>
    <m/>
    <x v="15"/>
    <n v="12"/>
    <n v="2007"/>
    <n v="2014"/>
    <n v="2015"/>
    <n v="25"/>
    <n v="300"/>
    <n v="0"/>
    <n v="2100"/>
    <n v="2100"/>
    <x v="1"/>
    <x v="1"/>
  </r>
  <r>
    <n v="2112"/>
    <n v="173726"/>
    <x v="0"/>
    <x v="371"/>
    <n v="37"/>
    <m/>
    <m/>
    <n v="0"/>
    <m/>
    <m/>
    <s v="2 YD FEL/REL/SL Metal"/>
    <d v="2007-12-31T00:00:00"/>
    <d v="2007-12-31T00:00:00"/>
    <m/>
    <n v="700"/>
    <n v="14050"/>
    <n v="2775"/>
    <n v="14056"/>
    <n v="2775"/>
    <n v="0"/>
    <n v="0"/>
    <n v="54260"/>
    <n v="0"/>
    <s v="A"/>
    <s v="City of Sequim"/>
    <m/>
    <m/>
    <s v="Internal"/>
    <s v="A"/>
    <s v="SL"/>
    <d v="2016-12-31T00:00:00"/>
    <s v="WCNX"/>
    <n v="0"/>
    <n v="2775"/>
    <m/>
    <x v="15"/>
    <n v="12"/>
    <n v="2007"/>
    <n v="2014"/>
    <n v="2015"/>
    <n v="33.035714285714285"/>
    <n v="396.42857142857144"/>
    <n v="0"/>
    <n v="2775"/>
    <n v="2775"/>
    <x v="1"/>
    <x v="1"/>
  </r>
  <r>
    <n v="2112"/>
    <n v="173725"/>
    <x v="0"/>
    <x v="158"/>
    <n v="58"/>
    <m/>
    <m/>
    <n v="0"/>
    <m/>
    <m/>
    <s v="3 YD FEL/REL/SL Metal"/>
    <d v="2007-12-31T00:00:00"/>
    <d v="2007-12-31T00:00:00"/>
    <m/>
    <n v="700"/>
    <n v="14050"/>
    <n v="2607.34"/>
    <n v="14056"/>
    <n v="2607.34"/>
    <n v="0"/>
    <n v="0"/>
    <n v="54260"/>
    <n v="0"/>
    <s v="A"/>
    <s v="City of Sequim"/>
    <m/>
    <m/>
    <s v="Internal"/>
    <s v="A"/>
    <s v="SL"/>
    <d v="2016-12-31T00:00:00"/>
    <s v="WCNX"/>
    <n v="0"/>
    <n v="2607.34"/>
    <m/>
    <x v="15"/>
    <n v="12"/>
    <n v="2007"/>
    <n v="2014"/>
    <n v="2015"/>
    <n v="31.039761904761907"/>
    <n v="372.47714285714289"/>
    <n v="0"/>
    <n v="2607.34"/>
    <n v="2607.34"/>
    <x v="1"/>
    <x v="1"/>
  </r>
  <r>
    <n v="2112"/>
    <n v="173724"/>
    <x v="0"/>
    <x v="372"/>
    <n v="114"/>
    <m/>
    <m/>
    <n v="0"/>
    <m/>
    <m/>
    <s v="1.5 YD FEL/REL/SL Metal"/>
    <d v="2007-12-31T00:00:00"/>
    <d v="2007-12-31T00:00:00"/>
    <m/>
    <n v="700"/>
    <n v="14050"/>
    <n v="8550"/>
    <n v="14056"/>
    <n v="8550"/>
    <n v="0"/>
    <n v="0"/>
    <n v="54260"/>
    <n v="0"/>
    <s v="A"/>
    <s v="City of Sequim"/>
    <m/>
    <m/>
    <s v="Internal"/>
    <s v="A"/>
    <s v="SL"/>
    <d v="2016-12-31T00:00:00"/>
    <s v="WCNX"/>
    <n v="0"/>
    <n v="8550"/>
    <m/>
    <x v="15"/>
    <n v="12"/>
    <n v="2007"/>
    <n v="2014"/>
    <n v="2015"/>
    <n v="101.78571428571428"/>
    <n v="1221.4285714285713"/>
    <n v="0"/>
    <n v="8550"/>
    <n v="8550"/>
    <x v="1"/>
    <x v="1"/>
  </r>
  <r>
    <n v="2112"/>
    <n v="173720"/>
    <x v="0"/>
    <x v="312"/>
    <n v="588"/>
    <n v="0"/>
    <m/>
    <n v="0"/>
    <s v="TOTER INCORPORATED"/>
    <m/>
    <m/>
    <d v="2007-09-12T00:00:00"/>
    <d v="2007-09-12T00:00:00"/>
    <s v="07-2148-003"/>
    <n v="700"/>
    <n v="14050"/>
    <n v="33731.910000000003"/>
    <n v="14056"/>
    <n v="33731.910000000003"/>
    <n v="0"/>
    <n v="0"/>
    <n v="54260"/>
    <n v="0"/>
    <s v="P"/>
    <m/>
    <n v="210572"/>
    <m/>
    <s v="Internal"/>
    <s v="A"/>
    <s v="SL"/>
    <d v="2016-12-31T00:00:00"/>
    <s v="WCNX"/>
    <n v="0"/>
    <n v="33731.910000000003"/>
    <m/>
    <x v="15"/>
    <n v="9"/>
    <n v="2007"/>
    <n v="2014"/>
    <n v="2014.75"/>
    <n v="401.57035714285718"/>
    <n v="4818.8442857142863"/>
    <n v="0"/>
    <n v="33731.910000000003"/>
    <n v="33731.910000000003"/>
    <x v="1"/>
    <x v="1"/>
  </r>
  <r>
    <n v="2112"/>
    <n v="173719"/>
    <x v="0"/>
    <x v="21"/>
    <n v="54"/>
    <n v="0"/>
    <m/>
    <n v="0"/>
    <s v="ENTERPRISE SALES, INC."/>
    <m/>
    <s v="1 YD FEL/REL/SL Metal"/>
    <d v="2007-08-16T00:00:00"/>
    <d v="2007-08-16T00:00:00"/>
    <s v="07-2148-004"/>
    <n v="1200"/>
    <n v="14050"/>
    <n v="24767.23"/>
    <n v="14056"/>
    <n v="24767.23"/>
    <n v="0"/>
    <n v="0"/>
    <n v="54260"/>
    <n v="0"/>
    <s v="P"/>
    <m/>
    <n v="3496"/>
    <m/>
    <s v="Internal"/>
    <s v="A"/>
    <s v="SL"/>
    <d v="2016-12-31T00:00:00"/>
    <s v="WCNX"/>
    <n v="0"/>
    <n v="19263.439999999999"/>
    <m/>
    <x v="15"/>
    <n v="8"/>
    <n v="2007"/>
    <n v="2019"/>
    <n v="2019.6666666666667"/>
    <n v="171.99465277777779"/>
    <n v="2063.9358333333334"/>
    <n v="0"/>
    <n v="24767.23"/>
    <n v="24767.23"/>
    <x v="1"/>
    <x v="1"/>
  </r>
  <r>
    <n v="2112"/>
    <n v="173718"/>
    <x v="42"/>
    <x v="373"/>
    <n v="0"/>
    <s v="5VCH36UEX3N194761"/>
    <m/>
    <n v="2006"/>
    <m/>
    <m/>
    <s v="Non-Rolling Stock"/>
    <d v="2007-07-17T00:00:00"/>
    <d v="2007-07-17T00:00:00"/>
    <s v="07-2148-410"/>
    <n v="800"/>
    <n v="14040"/>
    <n v="15321.5"/>
    <n v="14046"/>
    <n v="15321.5"/>
    <n v="0"/>
    <n v="0"/>
    <n v="51260"/>
    <n v="0"/>
    <s v="P"/>
    <m/>
    <d v="7003-02-01T00:00:00"/>
    <m/>
    <s v="Internal"/>
    <s v="A"/>
    <s v="SL"/>
    <d v="2016-12-31T00:00:00"/>
    <s v="WCNX"/>
    <n v="0"/>
    <n v="15321.5"/>
    <m/>
    <x v="15"/>
    <n v="7"/>
    <n v="2007"/>
    <n v="2015"/>
    <n v="2015.5833333333333"/>
    <n v="159.59895833333334"/>
    <n v="1915.1875"/>
    <n v="0"/>
    <n v="15321.5"/>
    <n v="15321.5"/>
    <x v="1"/>
    <x v="1"/>
  </r>
  <r>
    <n v="2112"/>
    <n v="173717"/>
    <x v="43"/>
    <x v="374"/>
    <n v="0"/>
    <s v="5VCEC6LFX3N194918"/>
    <m/>
    <n v="2003"/>
    <m/>
    <m/>
    <s v="Non-Rolling Stock"/>
    <d v="2007-07-17T00:00:00"/>
    <d v="2007-07-17T00:00:00"/>
    <s v="07-2148-411"/>
    <n v="500"/>
    <n v="14040"/>
    <n v="15321.5"/>
    <n v="14046"/>
    <n v="15321.5"/>
    <n v="0"/>
    <n v="0"/>
    <n v="51260"/>
    <n v="0"/>
    <s v="P"/>
    <m/>
    <d v="7004-02-01T00:00:00"/>
    <m/>
    <s v="Internal"/>
    <s v="A"/>
    <s v="SL"/>
    <d v="2016-12-31T00:00:00"/>
    <s v="WCNX"/>
    <n v="0"/>
    <n v="15321.5"/>
    <m/>
    <x v="15"/>
    <n v="7"/>
    <n v="2007"/>
    <n v="2012"/>
    <n v="2012.5833333333333"/>
    <n v="255.35833333333335"/>
    <n v="3064.3"/>
    <n v="0"/>
    <n v="15321.5"/>
    <n v="15321.5"/>
    <x v="1"/>
    <x v="1"/>
  </r>
  <r>
    <n v="2112"/>
    <n v="173715"/>
    <x v="0"/>
    <x v="375"/>
    <n v="0"/>
    <n v="0"/>
    <m/>
    <n v="0"/>
    <s v="DESERT MICRO"/>
    <m/>
    <m/>
    <d v="2007-01-25T00:00:00"/>
    <d v="2007-01-25T00:00:00"/>
    <s v="07-2148-409"/>
    <n v="300"/>
    <n v="14110"/>
    <n v="875"/>
    <n v="14116"/>
    <n v="875"/>
    <n v="0"/>
    <n v="0"/>
    <n v="70260"/>
    <n v="0"/>
    <s v="P"/>
    <m/>
    <n v="9249"/>
    <m/>
    <s v="Internal"/>
    <s v="A"/>
    <s v="SL"/>
    <d v="2016-12-31T00:00:00"/>
    <s v="WCNX"/>
    <n v="0"/>
    <n v="875"/>
    <m/>
    <x v="15"/>
    <n v="1"/>
    <n v="2007"/>
    <n v="2010"/>
    <n v="2010.0833333333333"/>
    <n v="24.305555555555557"/>
    <n v="291.66666666666669"/>
    <n v="0"/>
    <n v="875"/>
    <n v="875"/>
    <x v="1"/>
    <x v="1"/>
  </r>
  <r>
    <n v="2112"/>
    <n v="173711"/>
    <x v="0"/>
    <x v="376"/>
    <n v="588"/>
    <n v="0"/>
    <m/>
    <n v="0"/>
    <s v="TOTER INCORPORATED"/>
    <m/>
    <m/>
    <d v="2006-08-16T00:00:00"/>
    <d v="2006-08-16T00:00:00"/>
    <s v="06-2148-406"/>
    <n v="700"/>
    <n v="14050"/>
    <n v="33623.51"/>
    <n v="14056"/>
    <n v="33623.51"/>
    <n v="0"/>
    <n v="0"/>
    <n v="54260"/>
    <n v="0"/>
    <s v="P"/>
    <m/>
    <n v="186277"/>
    <m/>
    <s v="Internal"/>
    <s v="A"/>
    <s v="SL"/>
    <d v="2016-12-31T00:00:00"/>
    <s v="WCNX"/>
    <n v="0"/>
    <n v="33623.51"/>
    <m/>
    <x v="15"/>
    <n v="8"/>
    <n v="2006"/>
    <n v="2013"/>
    <n v="2013.6666666666667"/>
    <n v="400.27988095238101"/>
    <n v="4803.3585714285718"/>
    <n v="0"/>
    <n v="33623.51"/>
    <n v="33623.51"/>
    <x v="1"/>
    <x v="1"/>
  </r>
  <r>
    <n v="2112"/>
    <n v="173710"/>
    <x v="0"/>
    <x v="312"/>
    <n v="588"/>
    <n v="0"/>
    <m/>
    <n v="0"/>
    <s v="TOTER INCORPORATED"/>
    <m/>
    <m/>
    <d v="2006-08-25T00:00:00"/>
    <d v="2006-08-25T00:00:00"/>
    <s v="06-2148-407"/>
    <n v="700"/>
    <n v="14050"/>
    <n v="33623.51"/>
    <n v="14056"/>
    <n v="33623.51"/>
    <n v="0"/>
    <n v="0"/>
    <n v="54260"/>
    <n v="0"/>
    <s v="P"/>
    <m/>
    <n v="186750"/>
    <m/>
    <s v="Internal"/>
    <s v="A"/>
    <s v="SL"/>
    <d v="2016-12-31T00:00:00"/>
    <s v="WCNX"/>
    <n v="0"/>
    <n v="33623.51"/>
    <m/>
    <x v="15"/>
    <n v="8"/>
    <n v="2006"/>
    <n v="2013"/>
    <n v="2013.6666666666667"/>
    <n v="400.27988095238101"/>
    <n v="4803.3585714285718"/>
    <n v="0"/>
    <n v="33623.51"/>
    <n v="33623.51"/>
    <x v="1"/>
    <x v="1"/>
  </r>
  <r>
    <n v="2112"/>
    <n v="173709"/>
    <x v="0"/>
    <x v="377"/>
    <n v="768"/>
    <n v="0"/>
    <m/>
    <n v="0"/>
    <s v="TOTER INCORPORATED"/>
    <m/>
    <s v="Non Audit Assets"/>
    <d v="2006-07-11T00:00:00"/>
    <d v="2006-07-11T00:00:00"/>
    <s v="06-2148-402"/>
    <n v="700"/>
    <n v="14050"/>
    <n v="1247.6199999999999"/>
    <n v="14056"/>
    <n v="1247.6199999999999"/>
    <n v="0"/>
    <n v="0"/>
    <n v="54260"/>
    <n v="0"/>
    <s v="P"/>
    <m/>
    <n v="184241"/>
    <m/>
    <s v="Internal"/>
    <s v="A"/>
    <s v="SL"/>
    <d v="2016-12-31T00:00:00"/>
    <s v="WCNX"/>
    <n v="0"/>
    <n v="1247.6199999999999"/>
    <m/>
    <x v="15"/>
    <n v="7"/>
    <n v="2006"/>
    <n v="2013"/>
    <n v="2013.5833333333333"/>
    <n v="14.852619047619045"/>
    <n v="178.23142857142855"/>
    <n v="0"/>
    <n v="1247.6199999999999"/>
    <n v="1247.6199999999999"/>
    <x v="1"/>
    <x v="1"/>
  </r>
  <r>
    <n v="2112"/>
    <n v="173708"/>
    <x v="0"/>
    <x v="312"/>
    <n v="200"/>
    <n v="0"/>
    <m/>
    <n v="0"/>
    <s v="TOTER INCORPORATED"/>
    <m/>
    <m/>
    <d v="2006-06-19T00:00:00"/>
    <d v="2006-06-19T00:00:00"/>
    <s v="06-2148-402"/>
    <n v="700"/>
    <n v="14050"/>
    <n v="6389.7"/>
    <n v="14056"/>
    <n v="6389.7"/>
    <n v="0"/>
    <n v="0"/>
    <n v="54260"/>
    <n v="0"/>
    <s v="P"/>
    <m/>
    <n v="183338"/>
    <m/>
    <s v="Internal"/>
    <s v="A"/>
    <s v="SL"/>
    <d v="2016-12-31T00:00:00"/>
    <s v="WCNX"/>
    <n v="0"/>
    <n v="6389.7"/>
    <m/>
    <x v="15"/>
    <n v="6"/>
    <n v="2006"/>
    <n v="2013"/>
    <n v="2013.5"/>
    <n v="76.067857142857136"/>
    <n v="912.81428571428569"/>
    <n v="0"/>
    <n v="6389.7"/>
    <n v="6389.7"/>
    <x v="1"/>
    <x v="1"/>
  </r>
  <r>
    <n v="2112"/>
    <n v="173707"/>
    <x v="0"/>
    <x v="378"/>
    <n v="1184"/>
    <n v="0"/>
    <m/>
    <n v="0"/>
    <s v="TOTER INCORPORATED"/>
    <m/>
    <s v="Non Audit Assets"/>
    <d v="2006-07-12T00:00:00"/>
    <d v="2006-07-12T00:00:00"/>
    <s v="06-2148-402"/>
    <n v="700"/>
    <n v="14050"/>
    <n v="2140.0100000000002"/>
    <n v="14056"/>
    <n v="2140.0100000000002"/>
    <n v="0"/>
    <n v="0"/>
    <n v="54260"/>
    <n v="0"/>
    <s v="P"/>
    <m/>
    <n v="184298"/>
    <m/>
    <s v="Internal"/>
    <s v="A"/>
    <s v="SL"/>
    <d v="2016-12-31T00:00:00"/>
    <s v="WCNX"/>
    <n v="0"/>
    <n v="2140.0100000000002"/>
    <m/>
    <x v="15"/>
    <n v="7"/>
    <n v="2006"/>
    <n v="2013"/>
    <n v="2013.5833333333333"/>
    <n v="25.47630952380953"/>
    <n v="305.71571428571434"/>
    <n v="0"/>
    <n v="2140.0100000000002"/>
    <n v="2140.0100000000002"/>
    <x v="1"/>
    <x v="1"/>
  </r>
  <r>
    <n v="2112"/>
    <n v="173706"/>
    <x v="0"/>
    <x v="312"/>
    <n v="588"/>
    <n v="0"/>
    <m/>
    <n v="0"/>
    <s v="TOTER INCORPORATED"/>
    <m/>
    <m/>
    <d v="2006-07-12T00:00:00"/>
    <d v="2006-07-12T00:00:00"/>
    <s v="06-2148-405"/>
    <n v="700"/>
    <n v="14050"/>
    <n v="33592.49"/>
    <n v="14056"/>
    <n v="33592.49"/>
    <n v="0"/>
    <n v="0"/>
    <n v="54260"/>
    <n v="0"/>
    <s v="P"/>
    <m/>
    <n v="184347"/>
    <m/>
    <s v="Internal"/>
    <s v="A"/>
    <s v="SL"/>
    <d v="2016-12-31T00:00:00"/>
    <s v="WCNX"/>
    <n v="0"/>
    <n v="33592.49"/>
    <m/>
    <x v="15"/>
    <n v="7"/>
    <n v="2006"/>
    <n v="2013"/>
    <n v="2013.5833333333333"/>
    <n v="399.91059523809525"/>
    <n v="4798.9271428571428"/>
    <n v="0"/>
    <n v="33592.49"/>
    <n v="33592.49"/>
    <x v="1"/>
    <x v="1"/>
  </r>
  <r>
    <n v="2112"/>
    <n v="173705"/>
    <x v="0"/>
    <x v="378"/>
    <n v="2000"/>
    <n v="0"/>
    <m/>
    <n v="0"/>
    <s v="TOTER INCORPORATED"/>
    <m/>
    <s v="Non Audit Assets"/>
    <d v="2006-07-11T00:00:00"/>
    <d v="2006-07-11T00:00:00"/>
    <s v="06-2148-008"/>
    <n v="700"/>
    <n v="14050"/>
    <n v="6498"/>
    <n v="14056"/>
    <n v="6498"/>
    <n v="0"/>
    <n v="0"/>
    <n v="54260"/>
    <n v="0"/>
    <s v="P"/>
    <m/>
    <n v="184239"/>
    <m/>
    <s v="Internal"/>
    <s v="A"/>
    <s v="SL"/>
    <d v="2016-12-31T00:00:00"/>
    <s v="WCNX"/>
    <n v="0"/>
    <n v="6498"/>
    <m/>
    <x v="15"/>
    <n v="7"/>
    <n v="2006"/>
    <n v="2013"/>
    <n v="2013.5833333333333"/>
    <n v="77.357142857142861"/>
    <n v="928.28571428571433"/>
    <n v="0"/>
    <n v="6498"/>
    <n v="6498"/>
    <x v="1"/>
    <x v="1"/>
  </r>
  <r>
    <n v="2112"/>
    <n v="173704"/>
    <x v="0"/>
    <x v="378"/>
    <n v="2116"/>
    <n v="0"/>
    <m/>
    <n v="0"/>
    <s v="TOTER INCORPORATED"/>
    <m/>
    <s v="Non Audit Assets"/>
    <d v="2006-07-11T00:00:00"/>
    <d v="2006-07-11T00:00:00"/>
    <s v="06-2148-008"/>
    <n v="700"/>
    <n v="14050"/>
    <n v="6874.88"/>
    <n v="14056"/>
    <n v="6874.88"/>
    <n v="0"/>
    <n v="0"/>
    <n v="54260"/>
    <n v="0"/>
    <s v="P"/>
    <m/>
    <n v="184240"/>
    <m/>
    <s v="Internal"/>
    <s v="A"/>
    <s v="SL"/>
    <d v="2016-12-31T00:00:00"/>
    <s v="WCNX"/>
    <n v="0"/>
    <n v="6874.88"/>
    <m/>
    <x v="15"/>
    <n v="7"/>
    <n v="2006"/>
    <n v="2013"/>
    <n v="2013.5833333333333"/>
    <n v="81.843809523809526"/>
    <n v="982.12571428571437"/>
    <n v="0"/>
    <n v="6874.88"/>
    <n v="6874.88"/>
    <x v="1"/>
    <x v="1"/>
  </r>
  <r>
    <n v="2112"/>
    <n v="173703"/>
    <x v="0"/>
    <x v="312"/>
    <n v="588"/>
    <n v="0"/>
    <m/>
    <n v="0"/>
    <s v="TOTER INCORPORATED"/>
    <m/>
    <m/>
    <d v="2006-06-16T00:00:00"/>
    <d v="2006-06-16T00:00:00"/>
    <s v="06-2148-402"/>
    <n v="700"/>
    <n v="14050"/>
    <n v="33592.49"/>
    <n v="14056"/>
    <n v="33592.49"/>
    <n v="0"/>
    <n v="0"/>
    <n v="54260"/>
    <n v="0"/>
    <s v="P"/>
    <m/>
    <n v="183298"/>
    <m/>
    <s v="Internal"/>
    <s v="A"/>
    <s v="SL"/>
    <d v="2016-12-31T00:00:00"/>
    <s v="WCNX"/>
    <n v="0"/>
    <n v="33592.49"/>
    <m/>
    <x v="15"/>
    <n v="6"/>
    <n v="2006"/>
    <n v="2013"/>
    <n v="2013.5"/>
    <n v="399.91059523809525"/>
    <n v="4798.9271428571428"/>
    <n v="0"/>
    <n v="33592.49"/>
    <n v="33592.49"/>
    <x v="1"/>
    <x v="1"/>
  </r>
  <r>
    <n v="2112"/>
    <n v="173702"/>
    <x v="0"/>
    <x v="312"/>
    <n v="588"/>
    <n v="0"/>
    <m/>
    <n v="0"/>
    <s v="TOTER INCORPORATED"/>
    <m/>
    <m/>
    <d v="2006-06-16T00:00:00"/>
    <d v="2006-06-16T00:00:00"/>
    <s v="06-2148-402"/>
    <n v="700"/>
    <n v="14050"/>
    <n v="33592.49"/>
    <n v="14056"/>
    <n v="33592.49"/>
    <n v="0"/>
    <n v="0"/>
    <n v="54260"/>
    <n v="0"/>
    <s v="P"/>
    <m/>
    <n v="183297"/>
    <m/>
    <s v="Internal"/>
    <s v="A"/>
    <s v="SL"/>
    <d v="2016-12-31T00:00:00"/>
    <s v="WCNX"/>
    <n v="0"/>
    <n v="33592.49"/>
    <m/>
    <x v="15"/>
    <n v="6"/>
    <n v="2006"/>
    <n v="2013"/>
    <n v="2013.5"/>
    <n v="399.91059523809525"/>
    <n v="4798.9271428571428"/>
    <n v="0"/>
    <n v="33592.49"/>
    <n v="33592.49"/>
    <x v="1"/>
    <x v="1"/>
  </r>
  <r>
    <n v="2112"/>
    <n v="173701"/>
    <x v="0"/>
    <x v="379"/>
    <n v="720"/>
    <n v="0"/>
    <m/>
    <n v="0"/>
    <s v="TOTER INCORPORATED"/>
    <m/>
    <m/>
    <d v="2006-06-02T00:00:00"/>
    <d v="2006-06-02T00:00:00"/>
    <s v="06-2148-008"/>
    <n v="700"/>
    <n v="14050"/>
    <n v="40525.86"/>
    <n v="14056"/>
    <n v="40525.86"/>
    <n v="0"/>
    <n v="0"/>
    <n v="54260"/>
    <n v="0"/>
    <s v="P"/>
    <m/>
    <n v="182605"/>
    <m/>
    <s v="Internal"/>
    <s v="A"/>
    <s v="SL"/>
    <d v="2016-12-31T00:00:00"/>
    <s v="WCNX"/>
    <n v="0"/>
    <n v="40525.86"/>
    <m/>
    <x v="15"/>
    <n v="6"/>
    <n v="2006"/>
    <n v="2013"/>
    <n v="2013.5"/>
    <n v="482.45071428571424"/>
    <n v="5789.4085714285711"/>
    <n v="0"/>
    <n v="40525.86"/>
    <n v="40525.86"/>
    <x v="1"/>
    <x v="1"/>
  </r>
  <r>
    <n v="2112"/>
    <n v="173700"/>
    <x v="0"/>
    <x v="379"/>
    <n v="720"/>
    <n v="0"/>
    <m/>
    <n v="0"/>
    <s v="TOTER INCORPORATED"/>
    <m/>
    <m/>
    <d v="2006-06-02T00:00:00"/>
    <d v="2006-06-02T00:00:00"/>
    <s v="06-2148-008"/>
    <n v="700"/>
    <n v="14050"/>
    <n v="40525.86"/>
    <n v="14056"/>
    <n v="40525.86"/>
    <n v="0"/>
    <n v="0"/>
    <n v="54260"/>
    <n v="0"/>
    <s v="P"/>
    <m/>
    <n v="182615"/>
    <m/>
    <s v="Internal"/>
    <s v="A"/>
    <s v="SL"/>
    <d v="2016-12-31T00:00:00"/>
    <s v="WCNX"/>
    <n v="0"/>
    <n v="40525.86"/>
    <m/>
    <x v="15"/>
    <n v="6"/>
    <n v="2006"/>
    <n v="2013"/>
    <n v="2013.5"/>
    <n v="482.45071428571424"/>
    <n v="5789.4085714285711"/>
    <n v="0"/>
    <n v="40525.86"/>
    <n v="40525.86"/>
    <x v="1"/>
    <x v="1"/>
  </r>
  <r>
    <n v="2112"/>
    <n v="173699"/>
    <x v="0"/>
    <x v="379"/>
    <n v="720"/>
    <n v="0"/>
    <m/>
    <n v="0"/>
    <s v="TOTER INCORPORATED"/>
    <m/>
    <m/>
    <d v="2006-06-02T00:00:00"/>
    <d v="2006-06-02T00:00:00"/>
    <s v="06-2148-008"/>
    <n v="700"/>
    <n v="14050"/>
    <n v="40525.86"/>
    <n v="14056"/>
    <n v="40525.86"/>
    <n v="0"/>
    <n v="0"/>
    <n v="54260"/>
    <n v="0"/>
    <s v="P"/>
    <m/>
    <n v="182614"/>
    <m/>
    <s v="Internal"/>
    <s v="A"/>
    <s v="SL"/>
    <d v="2016-12-31T00:00:00"/>
    <s v="WCNX"/>
    <n v="0"/>
    <n v="40525.86"/>
    <m/>
    <x v="15"/>
    <n v="6"/>
    <n v="2006"/>
    <n v="2013"/>
    <n v="2013.5"/>
    <n v="482.45071428571424"/>
    <n v="5789.4085714285711"/>
    <n v="0"/>
    <n v="40525.86"/>
    <n v="40525.86"/>
    <x v="1"/>
    <x v="1"/>
  </r>
  <r>
    <n v="2112"/>
    <n v="173698"/>
    <x v="0"/>
    <x v="379"/>
    <n v="516"/>
    <n v="0"/>
    <m/>
    <n v="0"/>
    <s v="TOTER INCORPORATED"/>
    <m/>
    <m/>
    <d v="2006-06-02T00:00:00"/>
    <d v="2006-06-02T00:00:00"/>
    <s v="06-2148-008"/>
    <n v="700"/>
    <n v="14050"/>
    <n v="29810.66"/>
    <n v="14056"/>
    <n v="29810.66"/>
    <n v="0"/>
    <n v="0"/>
    <n v="54260"/>
    <n v="0"/>
    <s v="P"/>
    <m/>
    <n v="182612"/>
    <m/>
    <s v="Internal"/>
    <s v="A"/>
    <s v="SL"/>
    <d v="2016-12-31T00:00:00"/>
    <s v="WCNX"/>
    <n v="0"/>
    <n v="29810.66"/>
    <m/>
    <x v="15"/>
    <n v="6"/>
    <n v="2006"/>
    <n v="2013"/>
    <n v="2013.5"/>
    <n v="354.88880952380947"/>
    <n v="4258.6657142857139"/>
    <n v="0"/>
    <n v="29810.66"/>
    <n v="29810.66"/>
    <x v="1"/>
    <x v="1"/>
  </r>
  <r>
    <n v="2112"/>
    <n v="173697"/>
    <x v="0"/>
    <x v="380"/>
    <n v="40"/>
    <n v="0"/>
    <m/>
    <n v="0"/>
    <s v="ENTERPRISE SALES, INC."/>
    <m/>
    <s v="2 YD FEL/REL/SL Metal"/>
    <d v="2006-06-01T00:00:00"/>
    <d v="2006-06-01T00:00:00"/>
    <s v="06-2148-010"/>
    <n v="1200"/>
    <n v="14050"/>
    <n v="18428"/>
    <n v="14056"/>
    <n v="18428"/>
    <n v="0"/>
    <n v="0"/>
    <n v="54260"/>
    <n v="0"/>
    <s v="P"/>
    <m/>
    <n v="2974"/>
    <m/>
    <s v="Internal"/>
    <s v="A"/>
    <s v="SL"/>
    <d v="2016-12-31T00:00:00"/>
    <s v="WCNX"/>
    <n v="0"/>
    <n v="16252.51"/>
    <m/>
    <x v="15"/>
    <n v="6"/>
    <n v="2006"/>
    <n v="2018"/>
    <n v="2018.5"/>
    <n v="127.97222222222223"/>
    <n v="1535.6666666666667"/>
    <n v="0"/>
    <n v="18428"/>
    <n v="18428"/>
    <x v="1"/>
    <x v="1"/>
  </r>
  <r>
    <n v="2112"/>
    <n v="173696"/>
    <x v="0"/>
    <x v="379"/>
    <n v="720"/>
    <n v="0"/>
    <m/>
    <n v="0"/>
    <s v="TOTER INCORPORATED"/>
    <m/>
    <m/>
    <d v="2006-06-01T00:00:00"/>
    <d v="2006-06-01T00:00:00"/>
    <s v="06-2148-008"/>
    <n v="700"/>
    <n v="14050"/>
    <n v="40525.86"/>
    <n v="14056"/>
    <n v="40525.86"/>
    <n v="0"/>
    <n v="0"/>
    <n v="54260"/>
    <n v="0"/>
    <s v="P"/>
    <m/>
    <n v="182535"/>
    <m/>
    <s v="Internal"/>
    <s v="A"/>
    <s v="SL"/>
    <d v="2016-12-31T00:00:00"/>
    <s v="WCNX"/>
    <n v="0"/>
    <n v="40525.86"/>
    <m/>
    <x v="15"/>
    <n v="6"/>
    <n v="2006"/>
    <n v="2013"/>
    <n v="2013.5"/>
    <n v="482.45071428571424"/>
    <n v="5789.4085714285711"/>
    <n v="0"/>
    <n v="40525.86"/>
    <n v="40525.86"/>
    <x v="1"/>
    <x v="1"/>
  </r>
  <r>
    <n v="2112"/>
    <n v="173695"/>
    <x v="0"/>
    <x v="379"/>
    <n v="720"/>
    <n v="0"/>
    <m/>
    <n v="0"/>
    <s v="TOTER INCORPORATED"/>
    <m/>
    <m/>
    <d v="2006-06-01T00:00:00"/>
    <d v="2006-06-01T00:00:00"/>
    <s v="06-2148-008"/>
    <n v="700"/>
    <n v="14050"/>
    <n v="40525.86"/>
    <n v="14056"/>
    <n v="40525.86"/>
    <n v="0"/>
    <n v="0"/>
    <n v="54260"/>
    <n v="0"/>
    <s v="P"/>
    <m/>
    <n v="182534"/>
    <m/>
    <s v="Internal"/>
    <s v="A"/>
    <s v="SL"/>
    <d v="2016-12-31T00:00:00"/>
    <s v="WCNX"/>
    <n v="0"/>
    <n v="40525.86"/>
    <m/>
    <x v="15"/>
    <n v="6"/>
    <n v="2006"/>
    <n v="2013"/>
    <n v="2013.5"/>
    <n v="482.45071428571424"/>
    <n v="5789.4085714285711"/>
    <n v="0"/>
    <n v="40525.86"/>
    <n v="40525.86"/>
    <x v="1"/>
    <x v="1"/>
  </r>
  <r>
    <n v="2112"/>
    <n v="173693"/>
    <x v="0"/>
    <x v="381"/>
    <n v="240"/>
    <n v="0"/>
    <m/>
    <n v="0"/>
    <s v="WASTE MANAGEMENT"/>
    <m/>
    <m/>
    <d v="2006-05-12T00:00:00"/>
    <d v="2006-05-12T00:00:00"/>
    <s v="06-2148-009"/>
    <n v="1200"/>
    <n v="14050"/>
    <n v="68443.759999999995"/>
    <n v="14056"/>
    <n v="68443.759999999995"/>
    <n v="0"/>
    <n v="0"/>
    <n v="54260"/>
    <n v="0"/>
    <s v="P"/>
    <m/>
    <s v="PS2148"/>
    <m/>
    <s v="Internal"/>
    <s v="A"/>
    <s v="SL"/>
    <d v="2016-12-31T00:00:00"/>
    <s v="WCNX"/>
    <n v="0"/>
    <n v="60838.93"/>
    <m/>
    <x v="15"/>
    <n v="5"/>
    <n v="2006"/>
    <n v="2018"/>
    <n v="2018.4166666666667"/>
    <n v="475.30388888888888"/>
    <n v="5703.6466666666665"/>
    <n v="0"/>
    <n v="68443.759999999995"/>
    <n v="68443.759999999995"/>
    <x v="1"/>
    <x v="1"/>
  </r>
  <r>
    <n v="2112"/>
    <n v="173692"/>
    <x v="0"/>
    <x v="382"/>
    <n v="1"/>
    <m/>
    <m/>
    <n v="0"/>
    <s v="Capital Industries, Inc."/>
    <m/>
    <s v="30 YD RO Box"/>
    <d v="2005-11-14T00:00:00"/>
    <d v="2005-11-14T00:00:00"/>
    <n v="52148005"/>
    <n v="1200"/>
    <n v="14050"/>
    <n v="5347.52"/>
    <n v="14056"/>
    <n v="5347.52"/>
    <n v="0"/>
    <n v="0"/>
    <n v="54260"/>
    <n v="0"/>
    <s v="P"/>
    <n v="0"/>
    <n v="4867"/>
    <m/>
    <s v="Internal"/>
    <s v="A"/>
    <s v="SL"/>
    <d v="2016-12-31T00:00:00"/>
    <s v="WCNX"/>
    <n v="0"/>
    <n v="4976.2"/>
    <m/>
    <x v="15"/>
    <n v="11"/>
    <n v="2005"/>
    <n v="2017"/>
    <n v="2017.9166666666667"/>
    <n v="37.135555555555563"/>
    <n v="445.62666666666678"/>
    <n v="0"/>
    <n v="5347.52"/>
    <n v="5347.52"/>
    <x v="1"/>
    <x v="1"/>
  </r>
  <r>
    <n v="2112"/>
    <n v="173691"/>
    <x v="0"/>
    <x v="383"/>
    <n v="12"/>
    <m/>
    <m/>
    <n v="0"/>
    <s v="Capital Industries, Inc."/>
    <m/>
    <s v="2 YD FEL/REL/SL Metal"/>
    <d v="2005-11-14T00:00:00"/>
    <d v="2005-11-14T00:00:00"/>
    <n v="52148005"/>
    <n v="1200"/>
    <n v="14050"/>
    <n v="5679.36"/>
    <n v="14056"/>
    <n v="5679.36"/>
    <n v="0"/>
    <n v="0"/>
    <n v="54260"/>
    <n v="0"/>
    <s v="P"/>
    <n v="0"/>
    <n v="4865"/>
    <m/>
    <s v="Internal"/>
    <s v="A"/>
    <s v="SL"/>
    <d v="2016-12-31T00:00:00"/>
    <s v="WCNX"/>
    <n v="0"/>
    <n v="5284.96"/>
    <m/>
    <x v="15"/>
    <n v="11"/>
    <n v="2005"/>
    <n v="2017"/>
    <n v="2017.9166666666667"/>
    <n v="39.44"/>
    <n v="473.28"/>
    <n v="0"/>
    <n v="5679.36"/>
    <n v="5679.36"/>
    <x v="1"/>
    <x v="1"/>
  </r>
  <r>
    <n v="2112"/>
    <n v="173690"/>
    <x v="0"/>
    <x v="384"/>
    <n v="25"/>
    <m/>
    <m/>
    <n v="0"/>
    <s v="Enterprise Sales, Inc"/>
    <m/>
    <s v="1 YD FEL/REL/SL Metal"/>
    <d v="2005-07-22T00:00:00"/>
    <d v="2005-07-22T00:00:00"/>
    <n v="52148003"/>
    <n v="1200"/>
    <n v="14050"/>
    <n v="10758.7"/>
    <n v="14056"/>
    <n v="10758.7"/>
    <n v="0"/>
    <n v="0"/>
    <n v="54260"/>
    <n v="0"/>
    <s v="P"/>
    <n v="0"/>
    <n v="2536"/>
    <m/>
    <s v="Internal"/>
    <s v="A"/>
    <s v="SL"/>
    <d v="2016-12-31T00:00:00"/>
    <s v="WCNX"/>
    <n v="0"/>
    <n v="10235.73"/>
    <m/>
    <x v="15"/>
    <n v="7"/>
    <n v="2005"/>
    <n v="2017"/>
    <n v="2017.5833333333333"/>
    <n v="74.713194444444454"/>
    <n v="896.55833333333339"/>
    <n v="0"/>
    <n v="10758.7"/>
    <n v="10758.7"/>
    <x v="1"/>
    <x v="1"/>
  </r>
  <r>
    <n v="2112"/>
    <n v="173689"/>
    <x v="44"/>
    <x v="385"/>
    <n v="0"/>
    <s v="1HTWCAAN43J067543"/>
    <m/>
    <n v="2003"/>
    <m/>
    <m/>
    <s v="Non-Rolling Stock"/>
    <d v="2005-09-15T00:00:00"/>
    <d v="2005-09-15T00:00:00"/>
    <s v="U052148006"/>
    <n v="700"/>
    <n v="14040"/>
    <n v="7215.4"/>
    <n v="14046"/>
    <n v="7215.4"/>
    <n v="0"/>
    <n v="0"/>
    <n v="51260"/>
    <n v="0"/>
    <s v="P"/>
    <n v="0"/>
    <d v="2093-03-01T00:00:00"/>
    <m/>
    <s v="Internal"/>
    <s v="A"/>
    <s v="SL"/>
    <d v="2016-12-31T00:00:00"/>
    <s v="WCNX"/>
    <n v="0"/>
    <n v="7215.4"/>
    <m/>
    <x v="15"/>
    <n v="9"/>
    <n v="2005"/>
    <n v="2012"/>
    <n v="2012.75"/>
    <n v="85.897619047619045"/>
    <n v="1030.7714285714285"/>
    <n v="0"/>
    <n v="7215.4"/>
    <n v="7215.4"/>
    <x v="1"/>
    <x v="1"/>
  </r>
  <r>
    <n v="2112"/>
    <n v="173684"/>
    <x v="0"/>
    <x v="383"/>
    <n v="22"/>
    <m/>
    <m/>
    <n v="0"/>
    <s v="Enterprise Sales, Inc"/>
    <m/>
    <s v="2 YD FEL/REL/SL Metal"/>
    <d v="2004-06-30T00:00:00"/>
    <d v="2004-06-30T00:00:00"/>
    <n v="42148003"/>
    <n v="1200"/>
    <n v="14050"/>
    <n v="10159.25"/>
    <n v="14056"/>
    <n v="10159.25"/>
    <n v="0"/>
    <n v="0"/>
    <n v="54260"/>
    <n v="0"/>
    <s v="P"/>
    <n v="0"/>
    <n v="2119"/>
    <s v="P"/>
    <s v="Internal"/>
    <s v="A"/>
    <s v="SL"/>
    <d v="2016-12-31T00:00:00"/>
    <s v="WCNX"/>
    <n v="0"/>
    <n v="10159.25"/>
    <m/>
    <x v="15"/>
    <n v="6"/>
    <n v="2004"/>
    <n v="2016"/>
    <n v="2016.5"/>
    <n v="70.550347222222214"/>
    <n v="846.60416666666652"/>
    <n v="0"/>
    <n v="10159.25"/>
    <n v="10159.25"/>
    <x v="1"/>
    <x v="1"/>
  </r>
  <r>
    <n v="2112"/>
    <n v="173683"/>
    <x v="0"/>
    <x v="386"/>
    <n v="300"/>
    <m/>
    <m/>
    <n v="0"/>
    <s v="Otto Environmental System"/>
    <m/>
    <m/>
    <d v="2004-03-02T00:00:00"/>
    <d v="2004-03-02T00:00:00"/>
    <n v="42148004"/>
    <n v="500"/>
    <n v="14050"/>
    <n v="1605.56"/>
    <n v="14056"/>
    <n v="1605.56"/>
    <n v="0"/>
    <n v="0"/>
    <n v="54260"/>
    <n v="0"/>
    <s v="P"/>
    <n v="0"/>
    <s v="ELOY334c"/>
    <m/>
    <s v="Internal"/>
    <s v="A"/>
    <s v="SL"/>
    <d v="2016-12-31T00:00:00"/>
    <s v="WCNX"/>
    <n v="0"/>
    <n v="1605.56"/>
    <m/>
    <x v="15"/>
    <n v="3"/>
    <n v="2004"/>
    <n v="2009"/>
    <n v="2009.25"/>
    <n v="26.759333333333331"/>
    <n v="321.11199999999997"/>
    <n v="0"/>
    <n v="1605.56"/>
    <n v="1605.56"/>
    <x v="1"/>
    <x v="1"/>
  </r>
  <r>
    <n v="2112"/>
    <n v="173682"/>
    <x v="0"/>
    <x v="387"/>
    <n v="300"/>
    <m/>
    <m/>
    <n v="0"/>
    <s v="Otto Environmental System"/>
    <m/>
    <m/>
    <d v="2004-03-02T00:00:00"/>
    <d v="2004-03-02T00:00:00"/>
    <n v="42148004"/>
    <n v="500"/>
    <n v="14050"/>
    <n v="1605.55"/>
    <n v="14056"/>
    <n v="1605.55"/>
    <n v="0"/>
    <n v="0"/>
    <n v="54260"/>
    <n v="0"/>
    <s v="P"/>
    <n v="0"/>
    <s v="ELOY334b"/>
    <m/>
    <s v="Internal"/>
    <s v="A"/>
    <s v="SL"/>
    <d v="2016-12-31T00:00:00"/>
    <s v="WCNX"/>
    <n v="0"/>
    <n v="1605.55"/>
    <m/>
    <x v="15"/>
    <n v="3"/>
    <n v="2004"/>
    <n v="2009"/>
    <n v="2009.25"/>
    <n v="26.759166666666669"/>
    <n v="321.11"/>
    <n v="0"/>
    <n v="1605.55"/>
    <n v="1605.55"/>
    <x v="1"/>
    <x v="1"/>
  </r>
  <r>
    <n v="2112"/>
    <n v="173681"/>
    <x v="0"/>
    <x v="388"/>
    <n v="300"/>
    <m/>
    <m/>
    <n v="0"/>
    <s v="Otto Environmental System"/>
    <m/>
    <m/>
    <d v="2004-03-02T00:00:00"/>
    <d v="2004-03-02T00:00:00"/>
    <n v="42148004"/>
    <n v="500"/>
    <n v="14050"/>
    <n v="1605.55"/>
    <n v="14056"/>
    <n v="1605.55"/>
    <n v="0"/>
    <n v="0"/>
    <n v="54260"/>
    <n v="0"/>
    <s v="P"/>
    <n v="0"/>
    <s v="ELOY334"/>
    <m/>
    <s v="Internal"/>
    <s v="A"/>
    <s v="SL"/>
    <d v="2016-12-31T00:00:00"/>
    <s v="WCNX"/>
    <n v="0"/>
    <n v="1605.55"/>
    <m/>
    <x v="15"/>
    <n v="3"/>
    <n v="2004"/>
    <n v="2009"/>
    <n v="2009.25"/>
    <n v="26.759166666666669"/>
    <n v="321.11"/>
    <n v="0"/>
    <n v="1605.55"/>
    <n v="1605.55"/>
    <x v="1"/>
    <x v="1"/>
  </r>
  <r>
    <n v="2112"/>
    <n v="173680"/>
    <x v="0"/>
    <x v="389"/>
    <n v="20"/>
    <m/>
    <m/>
    <n v="0"/>
    <s v="Capital Industries, inc."/>
    <m/>
    <s v="1 YD FEL/REL/SL Metal"/>
    <d v="2004-04-30T00:00:00"/>
    <d v="2004-04-30T00:00:00"/>
    <n v="42148001"/>
    <n v="1200"/>
    <n v="14050"/>
    <n v="7616"/>
    <n v="14056"/>
    <n v="7616"/>
    <n v="0"/>
    <n v="0"/>
    <n v="54260"/>
    <n v="0"/>
    <s v="P"/>
    <n v="0"/>
    <n v="148198"/>
    <m/>
    <s v="Internal"/>
    <s v="A"/>
    <s v="SL"/>
    <d v="2016-12-31T00:00:00"/>
    <s v="WCNX"/>
    <n v="0"/>
    <n v="7616"/>
    <m/>
    <x v="15"/>
    <n v="4"/>
    <n v="2004"/>
    <n v="2016"/>
    <n v="2016.3333333333333"/>
    <n v="52.888888888888886"/>
    <n v="634.66666666666663"/>
    <n v="0"/>
    <n v="7616"/>
    <n v="7616"/>
    <x v="1"/>
    <x v="1"/>
  </r>
  <r>
    <n v="2112"/>
    <n v="173679"/>
    <x v="0"/>
    <x v="390"/>
    <n v="0"/>
    <n v="2148"/>
    <m/>
    <n v="2004"/>
    <s v="CAMCAL Inc."/>
    <s v="Other"/>
    <m/>
    <d v="2004-04-19T00:00:00"/>
    <d v="2004-04-19T00:00:00"/>
    <n v="42148007"/>
    <n v="500"/>
    <n v="14070"/>
    <n v="5315.1"/>
    <n v="14076"/>
    <n v="5315.1"/>
    <n v="0"/>
    <n v="0"/>
    <n v="51260"/>
    <n v="0"/>
    <s v="P"/>
    <n v="0"/>
    <s v="IVC00839"/>
    <m/>
    <s v="Internal"/>
    <s v="A"/>
    <s v="SL"/>
    <d v="2016-12-31T00:00:00"/>
    <s v="WCNX"/>
    <n v="0"/>
    <n v="5315.1"/>
    <m/>
    <x v="15"/>
    <n v="4"/>
    <n v="2004"/>
    <n v="2009"/>
    <n v="2009.3333333333333"/>
    <n v="88.584999999999994"/>
    <n v="1063.02"/>
    <n v="0"/>
    <n v="5315.1"/>
    <n v="5315.1"/>
    <x v="1"/>
    <x v="1"/>
  </r>
  <r>
    <n v="2112"/>
    <n v="173678"/>
    <x v="0"/>
    <x v="391"/>
    <n v="50"/>
    <m/>
    <m/>
    <n v="0"/>
    <s v="Otto Industries"/>
    <m/>
    <m/>
    <d v="2003-09-01T00:00:00"/>
    <d v="2003-09-01T00:00:00"/>
    <s v="03-2148-007"/>
    <n v="700"/>
    <n v="14050"/>
    <n v="1584.96"/>
    <n v="14056"/>
    <n v="1584.96"/>
    <n v="0"/>
    <n v="0"/>
    <n v="54260"/>
    <n v="0"/>
    <s v="P"/>
    <m/>
    <s v="OWS 1205"/>
    <m/>
    <s v="Internal"/>
    <s v="A"/>
    <s v="SL"/>
    <d v="2016-12-31T00:00:00"/>
    <s v="WCNX"/>
    <n v="0"/>
    <n v="1584.96"/>
    <m/>
    <x v="15"/>
    <n v="9"/>
    <n v="2003"/>
    <n v="2010"/>
    <n v="2010.75"/>
    <n v="18.868571428571428"/>
    <n v="226.42285714285714"/>
    <n v="0"/>
    <n v="1584.96"/>
    <n v="1584.96"/>
    <x v="1"/>
    <x v="1"/>
  </r>
  <r>
    <n v="2112"/>
    <n v="173677"/>
    <x v="0"/>
    <x v="392"/>
    <n v="26"/>
    <m/>
    <m/>
    <n v="0"/>
    <s v="Wasteline Industries"/>
    <m/>
    <s v="2 YD FEL/REL/SL Metal"/>
    <d v="2003-08-01T00:00:00"/>
    <d v="2003-08-01T00:00:00"/>
    <s v="03-2148-005, 006"/>
    <n v="1200"/>
    <n v="14050"/>
    <n v="9200.19"/>
    <n v="14056"/>
    <n v="9200.19"/>
    <n v="0"/>
    <n v="0"/>
    <n v="54260"/>
    <n v="0"/>
    <s v="P"/>
    <m/>
    <n v="2658"/>
    <m/>
    <s v="Internal"/>
    <s v="A"/>
    <s v="SL"/>
    <d v="2016-12-31T00:00:00"/>
    <s v="WCNX"/>
    <n v="0"/>
    <n v="9200.19"/>
    <m/>
    <x v="15"/>
    <n v="8"/>
    <n v="2003"/>
    <n v="2015"/>
    <n v="2015.6666666666667"/>
    <n v="63.890208333333334"/>
    <n v="766.6825"/>
    <n v="0"/>
    <n v="9200.19"/>
    <n v="9200.19"/>
    <x v="1"/>
    <x v="1"/>
  </r>
  <r>
    <n v="2112"/>
    <n v="173676"/>
    <x v="0"/>
    <x v="393"/>
    <n v="600"/>
    <m/>
    <m/>
    <n v="0"/>
    <s v="Rehrig Pacific"/>
    <m/>
    <m/>
    <d v="2002-12-31T00:00:00"/>
    <d v="2002-12-31T00:00:00"/>
    <s v="02-2148-002"/>
    <n v="1000"/>
    <n v="14050"/>
    <n v="3916.8"/>
    <n v="14056"/>
    <n v="3916.8"/>
    <n v="0"/>
    <n v="0"/>
    <n v="54260"/>
    <n v="0"/>
    <s v="P"/>
    <m/>
    <s v="LA100044"/>
    <m/>
    <s v="Internal"/>
    <s v="A"/>
    <s v="SL"/>
    <d v="2016-12-31T00:00:00"/>
    <s v="WCNX"/>
    <n v="0"/>
    <n v="3916.8"/>
    <m/>
    <x v="15"/>
    <n v="12"/>
    <n v="2002"/>
    <n v="2012"/>
    <n v="2013"/>
    <n v="32.64"/>
    <n v="391.68"/>
    <n v="0"/>
    <n v="3916.8"/>
    <n v="3916.8"/>
    <x v="1"/>
    <x v="1"/>
  </r>
  <r>
    <n v="2112"/>
    <n v="171683"/>
    <x v="0"/>
    <x v="394"/>
    <m/>
    <m/>
    <m/>
    <n v="0"/>
    <s v="Snap-On"/>
    <m/>
    <m/>
    <d v="2016-12-07T00:00:00"/>
    <d v="2016-12-07T00:00:00"/>
    <s v="2112-16-0033-1"/>
    <n v="500"/>
    <n v="14070"/>
    <n v="4742.5"/>
    <n v="14076"/>
    <n v="4742.5"/>
    <n v="0"/>
    <n v="0"/>
    <n v="51260"/>
    <n v="0"/>
    <s v="P"/>
    <m/>
    <n v="11101650438"/>
    <m/>
    <s v="Internal"/>
    <s v="A"/>
    <s v="SL"/>
    <m/>
    <s v="WCNX"/>
    <n v="0"/>
    <n v="0"/>
    <m/>
    <x v="15"/>
    <n v="12"/>
    <n v="2016"/>
    <n v="2021"/>
    <n v="2022"/>
    <n v="79.041666666666671"/>
    <n v="948.5"/>
    <n v="0"/>
    <n v="4742.5"/>
    <n v="4742.5"/>
    <x v="1"/>
    <x v="1"/>
  </r>
  <r>
    <n v="2112"/>
    <n v="171642"/>
    <x v="0"/>
    <x v="395"/>
    <m/>
    <n v="27011829"/>
    <m/>
    <n v="0"/>
    <s v="Snap-On"/>
    <s v="Skyjack SJIII3226"/>
    <s v="Manlift"/>
    <d v="2016-12-09T00:00:00"/>
    <d v="2016-12-09T00:00:00"/>
    <s v="2112-16-0034-1"/>
    <n v="1000"/>
    <n v="14030"/>
    <n v="13518.4"/>
    <n v="14036"/>
    <n v="9012.26"/>
    <n v="4506.1399999999994"/>
    <n v="788.57"/>
    <n v="51260"/>
    <n v="112.65"/>
    <s v="P"/>
    <m/>
    <s v="141750916-001"/>
    <m/>
    <s v="Internal"/>
    <s v="A"/>
    <s v="SL"/>
    <m/>
    <s v="WCNX"/>
    <n v="0"/>
    <n v="0"/>
    <m/>
    <x v="15"/>
    <n v="12"/>
    <n v="2016"/>
    <n v="2026"/>
    <n v="2027"/>
    <n v="112.65333333333332"/>
    <n v="1351.84"/>
    <n v="1351.84"/>
    <n v="7660.4266666667691"/>
    <n v="9012.2666666667683"/>
    <x v="242"/>
    <x v="1"/>
  </r>
  <r>
    <n v="2112"/>
    <n v="170273"/>
    <x v="0"/>
    <x v="364"/>
    <n v="10"/>
    <m/>
    <m/>
    <n v="0"/>
    <s v="Rule Steel"/>
    <m/>
    <s v="6 YD FEL/REL/SL Metal"/>
    <d v="2016-09-30T00:00:00"/>
    <d v="2016-09-30T00:00:00"/>
    <s v="2112-16-0029-6"/>
    <n v="1200"/>
    <n v="14050"/>
    <n v="8329"/>
    <n v="14056"/>
    <n v="4742.88"/>
    <n v="3586.12"/>
    <n v="404.88"/>
    <n v="54260"/>
    <n v="57.84"/>
    <s v="P"/>
    <m/>
    <s v="0024843-IN"/>
    <m/>
    <s v="Internal"/>
    <s v="A"/>
    <s v="SL"/>
    <m/>
    <s v="WCNX"/>
    <n v="0"/>
    <n v="0"/>
    <m/>
    <x v="15"/>
    <n v="9"/>
    <n v="2016"/>
    <n v="2028"/>
    <n v="2028.75"/>
    <n v="57.840277777777779"/>
    <n v="694.08333333333337"/>
    <n v="694.08333333333337"/>
    <n v="4106.6597222222745"/>
    <n v="4800.7430555556075"/>
    <x v="243"/>
    <x v="1"/>
  </r>
  <r>
    <n v="2112"/>
    <n v="170272"/>
    <x v="0"/>
    <x v="279"/>
    <n v="10"/>
    <m/>
    <m/>
    <n v="0"/>
    <s v="Rule Steel"/>
    <m/>
    <s v="1 YD FEL/REL/SL Metal"/>
    <d v="2016-09-30T00:00:00"/>
    <d v="2016-09-30T00:00:00"/>
    <s v="2112-16-0029-3"/>
    <n v="1200"/>
    <n v="14050"/>
    <n v="4675.7299999999996"/>
    <n v="14056"/>
    <n v="2662.61"/>
    <n v="2013.1199999999994"/>
    <n v="227.3"/>
    <n v="54260"/>
    <n v="32.47"/>
    <s v="P"/>
    <m/>
    <s v="0024843-IN"/>
    <m/>
    <s v="Internal"/>
    <s v="A"/>
    <s v="SL"/>
    <m/>
    <s v="WCNX"/>
    <n v="0"/>
    <n v="0"/>
    <m/>
    <x v="15"/>
    <n v="9"/>
    <n v="2016"/>
    <n v="2028"/>
    <n v="2028.75"/>
    <n v="32.470347222222223"/>
    <n v="389.64416666666671"/>
    <n v="389.64416666666671"/>
    <n v="2305.3946527778066"/>
    <n v="2695.0388194444731"/>
    <x v="244"/>
    <x v="1"/>
  </r>
  <r>
    <n v="2112"/>
    <n v="170271"/>
    <x v="0"/>
    <x v="396"/>
    <n v="10"/>
    <m/>
    <m/>
    <n v="0"/>
    <s v="Rule Steel"/>
    <m/>
    <s v="1 YD FEL/REL/SL Metal"/>
    <d v="2016-09-30T00:00:00"/>
    <d v="2016-09-30T00:00:00"/>
    <s v="2112-16-0029-1"/>
    <n v="1200"/>
    <n v="14050"/>
    <n v="4711"/>
    <n v="14056"/>
    <n v="2682.64"/>
    <n v="2028.3600000000001"/>
    <n v="229.01"/>
    <n v="54260"/>
    <n v="32.72"/>
    <s v="P"/>
    <m/>
    <s v="0024843-IN"/>
    <m/>
    <s v="Internal"/>
    <s v="A"/>
    <s v="SL"/>
    <m/>
    <s v="WCNX"/>
    <n v="0"/>
    <n v="0"/>
    <m/>
    <x v="15"/>
    <n v="9"/>
    <n v="2016"/>
    <n v="2028"/>
    <n v="2028.75"/>
    <n v="32.715277777777779"/>
    <n v="392.58333333333337"/>
    <n v="392.58333333333337"/>
    <n v="2322.7847222222517"/>
    <n v="2715.3680555555852"/>
    <x v="245"/>
    <x v="1"/>
  </r>
  <r>
    <n v="2112"/>
    <n v="170270"/>
    <x v="0"/>
    <x v="68"/>
    <n v="20"/>
    <m/>
    <m/>
    <n v="0"/>
    <s v="Rule Steel"/>
    <m/>
    <s v="2 YD FEL/REL/SL Metal"/>
    <d v="2016-09-30T00:00:00"/>
    <d v="2016-09-30T00:00:00"/>
    <s v="2112-16-0029-2"/>
    <n v="1200"/>
    <n v="14050"/>
    <n v="10972"/>
    <n v="14056"/>
    <n v="6247.92"/>
    <n v="4724.08"/>
    <n v="533.36"/>
    <n v="54260"/>
    <n v="76.19"/>
    <s v="P"/>
    <m/>
    <s v="0024843-IN"/>
    <m/>
    <s v="Internal"/>
    <s v="A"/>
    <s v="SL"/>
    <m/>
    <s v="WCNX"/>
    <n v="0"/>
    <n v="0"/>
    <m/>
    <x v="15"/>
    <n v="9"/>
    <n v="2016"/>
    <n v="2028"/>
    <n v="2028.75"/>
    <n v="76.194444444444443"/>
    <n v="914.33333333333326"/>
    <n v="914.33333333333326"/>
    <n v="5409.8055555556248"/>
    <n v="6324.1388888889578"/>
    <x v="246"/>
    <x v="1"/>
  </r>
  <r>
    <n v="2112"/>
    <n v="170269"/>
    <x v="0"/>
    <x v="397"/>
    <n v="10"/>
    <m/>
    <m/>
    <n v="0"/>
    <s v="Rule Steel"/>
    <m/>
    <s v="2 YD FEL/REL/SL Metal"/>
    <d v="2016-09-30T00:00:00"/>
    <d v="2016-09-30T00:00:00"/>
    <s v="2112-16-0029-4"/>
    <n v="1200"/>
    <n v="14050"/>
    <n v="5991"/>
    <n v="14056"/>
    <n v="3411.48"/>
    <n v="2579.52"/>
    <n v="291.23"/>
    <n v="54260"/>
    <n v="41.6"/>
    <s v="P"/>
    <m/>
    <s v="0024843-IN"/>
    <m/>
    <s v="Internal"/>
    <s v="A"/>
    <s v="SL"/>
    <m/>
    <s v="WCNX"/>
    <n v="0"/>
    <n v="0"/>
    <m/>
    <x v="15"/>
    <n v="9"/>
    <n v="2016"/>
    <n v="2028"/>
    <n v="2028.75"/>
    <n v="41.604166666666664"/>
    <n v="499.25"/>
    <n v="499.25"/>
    <n v="2953.8958333333712"/>
    <n v="3453.1458333333712"/>
    <x v="247"/>
    <x v="1"/>
  </r>
  <r>
    <n v="2112"/>
    <n v="170268"/>
    <x v="0"/>
    <x v="323"/>
    <n v="10"/>
    <m/>
    <m/>
    <n v="0"/>
    <s v="Rule Steel"/>
    <m/>
    <s v="4 YD FEL/REL/SL Metal"/>
    <d v="2016-09-30T00:00:00"/>
    <d v="2016-09-30T00:00:00"/>
    <s v="2112-16-0029-5"/>
    <n v="1200"/>
    <n v="14050"/>
    <n v="7413"/>
    <n v="14056"/>
    <n v="4221.29"/>
    <n v="3191.71"/>
    <n v="360.35"/>
    <n v="54260"/>
    <n v="51.47"/>
    <s v="P"/>
    <m/>
    <s v="0024843-IN"/>
    <m/>
    <s v="Internal"/>
    <s v="A"/>
    <s v="SL"/>
    <m/>
    <s v="WCNX"/>
    <n v="0"/>
    <n v="0"/>
    <m/>
    <x v="15"/>
    <n v="9"/>
    <n v="2016"/>
    <n v="2028"/>
    <n v="2028.75"/>
    <n v="51.479166666666664"/>
    <n v="617.75"/>
    <n v="617.75"/>
    <n v="3655.0208333333803"/>
    <n v="4272.7708333333803"/>
    <x v="248"/>
    <x v="1"/>
  </r>
  <r>
    <n v="2112"/>
    <n v="167239"/>
    <x v="0"/>
    <x v="398"/>
    <n v="2"/>
    <m/>
    <m/>
    <n v="0"/>
    <s v="ENTERPRISE SALES, INC."/>
    <m/>
    <s v="20 YD RO Box"/>
    <d v="2016-06-07T00:00:00"/>
    <d v="2016-06-07T00:00:00"/>
    <s v="2112-16-0013-1"/>
    <n v="1200"/>
    <n v="14050"/>
    <n v="11626"/>
    <n v="14056"/>
    <n v="6943.28"/>
    <n v="4682.72"/>
    <n v="565.15"/>
    <n v="54260"/>
    <n v="80.73"/>
    <s v="P"/>
    <m/>
    <n v="7129"/>
    <m/>
    <s v="Internal"/>
    <s v="A"/>
    <s v="SL"/>
    <m/>
    <s v="WCNX"/>
    <n v="0"/>
    <n v="0"/>
    <m/>
    <x v="15"/>
    <n v="6"/>
    <n v="2016"/>
    <n v="2028"/>
    <n v="2028.5"/>
    <n v="80.736111111111114"/>
    <n v="968.83333333333337"/>
    <n v="968.83333333333337"/>
    <n v="5974.4722222222954"/>
    <n v="6943.3055555556284"/>
    <x v="249"/>
    <x v="1"/>
  </r>
  <r>
    <n v="2112"/>
    <n v="167238"/>
    <x v="0"/>
    <x v="399"/>
    <n v="1"/>
    <m/>
    <m/>
    <n v="0"/>
    <s v="ENTERPRISE SALES, INC."/>
    <m/>
    <s v="30 YD RO Box"/>
    <d v="2016-06-07T00:00:00"/>
    <d v="2016-06-07T00:00:00"/>
    <s v="2112-16-0013-1"/>
    <n v="1200"/>
    <n v="14050"/>
    <n v="5981"/>
    <n v="14056"/>
    <n v="3571.94"/>
    <n v="2409.06"/>
    <n v="290.75"/>
    <n v="54260"/>
    <n v="41.54"/>
    <s v="P"/>
    <m/>
    <n v="7129"/>
    <m/>
    <s v="Internal"/>
    <s v="A"/>
    <s v="SL"/>
    <m/>
    <s v="WCNX"/>
    <n v="0"/>
    <n v="0"/>
    <m/>
    <x v="15"/>
    <n v="6"/>
    <n v="2016"/>
    <n v="2028"/>
    <n v="2028.5"/>
    <n v="41.534722222222221"/>
    <n v="498.41666666666663"/>
    <n v="498.41666666666663"/>
    <n v="3073.5694444444821"/>
    <n v="3571.9861111111486"/>
    <x v="250"/>
    <x v="1"/>
  </r>
  <r>
    <n v="2112"/>
    <n v="167138"/>
    <x v="0"/>
    <x v="391"/>
    <n v="580"/>
    <m/>
    <m/>
    <n v="0"/>
    <s v="OTTO ENVIRONMENTAL SYSTEM"/>
    <m/>
    <m/>
    <d v="2016-08-23T00:00:00"/>
    <d v="2016-08-23T00:00:00"/>
    <s v="2112-16-0003-1"/>
    <n v="700"/>
    <n v="14050"/>
    <n v="19826.36"/>
    <n v="14056"/>
    <n v="19590.349999999999"/>
    <n v="236.01000000000204"/>
    <n v="1652.2"/>
    <n v="54260"/>
    <n v="236.03"/>
    <s v="P"/>
    <m/>
    <n v="20333"/>
    <m/>
    <s v="Internal"/>
    <s v="A"/>
    <s v="SL"/>
    <m/>
    <s v="WCNX"/>
    <n v="0"/>
    <n v="0"/>
    <m/>
    <x v="15"/>
    <n v="8"/>
    <n v="2016"/>
    <n v="2023"/>
    <n v="2023.6666666666667"/>
    <n v="236.02809523809526"/>
    <n v="2832.3371428571431"/>
    <n v="2832.3371428571431"/>
    <n v="16994.022857142856"/>
    <n v="19826.36"/>
    <x v="1"/>
    <x v="1"/>
  </r>
  <r>
    <n v="2112"/>
    <n v="166338"/>
    <x v="0"/>
    <x v="400"/>
    <m/>
    <s v="1NPCL40X9HD414304"/>
    <s v="C58123G"/>
    <n v="2017"/>
    <s v="Peterbilt 567"/>
    <s v="AAA welding"/>
    <s v="R/O Truck"/>
    <d v="2016-08-30T00:00:00"/>
    <d v="2016-08-30T00:00:00"/>
    <s v="2112-16-0001-1"/>
    <n v="1000"/>
    <n v="14040"/>
    <n v="214036.16"/>
    <n v="14046"/>
    <n v="148041.71"/>
    <n v="65994.450000000012"/>
    <n v="12485.45"/>
    <n v="51260"/>
    <n v="1783.64"/>
    <s v="P"/>
    <m/>
    <s v="P414304"/>
    <n v="440"/>
    <s v="Internal"/>
    <s v="A"/>
    <s v="SL"/>
    <m/>
    <s v="WCNX"/>
    <n v="0"/>
    <n v="0"/>
    <m/>
    <x v="15"/>
    <n v="8"/>
    <n v="2016"/>
    <n v="2026"/>
    <n v="2026.6666666666667"/>
    <n v="1783.6346666666668"/>
    <n v="21403.616000000002"/>
    <n v="21403.616000000002"/>
    <n v="128421.696"/>
    <n v="149825.31200000001"/>
    <x v="251"/>
    <x v="1"/>
  </r>
  <r>
    <n v="2112"/>
    <n v="165326"/>
    <x v="0"/>
    <x v="401"/>
    <n v="1"/>
    <m/>
    <m/>
    <n v="0"/>
    <s v="REHRIG PACIFIC COMPANY"/>
    <m/>
    <s v="6 YD FEL/REL/SL Plastic"/>
    <d v="2016-07-12T00:00:00"/>
    <d v="2016-07-12T00:00:00"/>
    <s v="2112-16-0010-1"/>
    <n v="700"/>
    <n v="14050"/>
    <n v="1938.19"/>
    <n v="14056"/>
    <n v="1938.19"/>
    <n v="0"/>
    <n v="138.41"/>
    <n v="54260"/>
    <n v="0"/>
    <s v="P"/>
    <m/>
    <s v="LA204239"/>
    <m/>
    <s v="Internal"/>
    <s v="A"/>
    <s v="SL"/>
    <m/>
    <s v="WCNX"/>
    <n v="0"/>
    <n v="0"/>
    <m/>
    <x v="15"/>
    <n v="7"/>
    <n v="2016"/>
    <n v="2023"/>
    <n v="2023.5833333333333"/>
    <n v="23.073690476190478"/>
    <n v="276.88428571428574"/>
    <n v="0"/>
    <n v="1684.3794047619467"/>
    <n v="1684.3794047619467"/>
    <x v="252"/>
    <x v="1"/>
  </r>
  <r>
    <n v="2112"/>
    <n v="165325"/>
    <x v="0"/>
    <x v="402"/>
    <n v="6"/>
    <m/>
    <m/>
    <n v="0"/>
    <s v="REHRIG PACIFIC COMPANY"/>
    <m/>
    <s v="2 YD FEL/REL/SL Metal"/>
    <d v="2016-07-12T00:00:00"/>
    <d v="2016-07-12T00:00:00"/>
    <s v="2112-16-0010-1"/>
    <n v="700"/>
    <n v="14050"/>
    <n v="4802.12"/>
    <n v="14056"/>
    <n v="4802.12"/>
    <n v="0"/>
    <n v="342.99"/>
    <n v="54260"/>
    <n v="0"/>
    <s v="P"/>
    <m/>
    <s v="LA204235"/>
    <m/>
    <s v="Internal"/>
    <s v="A"/>
    <s v="SL"/>
    <m/>
    <s v="WCNX"/>
    <n v="0"/>
    <n v="0"/>
    <m/>
    <x v="15"/>
    <n v="7"/>
    <n v="2016"/>
    <n v="2023"/>
    <n v="2023.5833333333333"/>
    <n v="57.168095238095241"/>
    <n v="686.01714285714286"/>
    <n v="0"/>
    <n v="4173.2709523810563"/>
    <n v="4173.2709523810563"/>
    <x v="253"/>
    <x v="1"/>
  </r>
  <r>
    <n v="2112"/>
    <n v="139784"/>
    <x v="0"/>
    <x v="403"/>
    <m/>
    <m/>
    <m/>
    <n v="0"/>
    <s v="Snap-On"/>
    <m/>
    <m/>
    <d v="2016-06-10T00:00:00"/>
    <d v="2016-06-10T00:00:00"/>
    <s v="2112-16-0025-1"/>
    <n v="300"/>
    <n v="14110"/>
    <n v="8319.6200000000008"/>
    <n v="14116"/>
    <n v="8319.6200000000008"/>
    <n v="0"/>
    <n v="0"/>
    <n v="70260"/>
    <n v="0"/>
    <s v="P"/>
    <m/>
    <n v="2171640186"/>
    <m/>
    <s v="Internal"/>
    <s v="A"/>
    <s v="SL"/>
    <m/>
    <s v="WCNX"/>
    <n v="0"/>
    <n v="0"/>
    <m/>
    <x v="15"/>
    <n v="6"/>
    <n v="2016"/>
    <n v="2019"/>
    <n v="2019.5"/>
    <n v="231.10055555555559"/>
    <n v="2773.2066666666669"/>
    <n v="0"/>
    <n v="8319.6200000000008"/>
    <n v="8319.6200000000008"/>
    <x v="1"/>
    <x v="1"/>
  </r>
  <r>
    <n v="2112"/>
    <n v="133564"/>
    <x v="0"/>
    <x v="404"/>
    <n v="3"/>
    <m/>
    <m/>
    <n v="0"/>
    <s v="ENTERPRISE SALES, INC."/>
    <m/>
    <s v="30 YD RO Box"/>
    <d v="2016-06-07T00:00:00"/>
    <d v="2016-06-07T00:00:00"/>
    <s v="2112-16-0013-1"/>
    <n v="1200"/>
    <n v="14050"/>
    <n v="17943"/>
    <n v="14056"/>
    <n v="10715.96"/>
    <n v="7227.0400000000009"/>
    <n v="872.23"/>
    <n v="54260"/>
    <n v="124.6"/>
    <s v="P"/>
    <m/>
    <n v="7135"/>
    <m/>
    <s v="Internal"/>
    <s v="A"/>
    <s v="SL"/>
    <m/>
    <s v="WCNX"/>
    <n v="0"/>
    <n v="0"/>
    <m/>
    <x v="15"/>
    <n v="6"/>
    <n v="2016"/>
    <n v="2028"/>
    <n v="2028.5"/>
    <n v="124.60416666666667"/>
    <n v="1495.25"/>
    <n v="1495.25"/>
    <n v="9220.7083333334467"/>
    <n v="10715.958333333447"/>
    <x v="254"/>
    <x v="1"/>
  </r>
  <r>
    <n v="2112"/>
    <n v="133440"/>
    <x v="0"/>
    <x v="405"/>
    <m/>
    <m/>
    <m/>
    <n v="0"/>
    <s v="TREND SERVICES INC"/>
    <m/>
    <m/>
    <d v="2016-06-17T00:00:00"/>
    <d v="2016-06-17T00:00:00"/>
    <s v="2112-16-0026-1"/>
    <n v="1000"/>
    <n v="14010"/>
    <n v="3023.53"/>
    <n v="14016"/>
    <n v="2141.65"/>
    <n v="881.88000000000011"/>
    <n v="176.37"/>
    <n v="57260"/>
    <n v="25.19"/>
    <s v="P"/>
    <m/>
    <s v="HochCC*912N4"/>
    <m/>
    <s v="Internal"/>
    <s v="A"/>
    <s v="SL"/>
    <m/>
    <s v="WCNX"/>
    <n v="0"/>
    <n v="0"/>
    <m/>
    <x v="15"/>
    <n v="6"/>
    <n v="2016"/>
    <n v="2026"/>
    <n v="2026.5"/>
    <n v="25.196083333333334"/>
    <n v="302.35300000000001"/>
    <n v="302.35300000000001"/>
    <n v="1864.5101666666897"/>
    <n v="2166.8631666666897"/>
    <x v="255"/>
    <x v="1"/>
  </r>
  <r>
    <n v="2112"/>
    <n v="133439"/>
    <x v="0"/>
    <x v="406"/>
    <m/>
    <m/>
    <m/>
    <n v="0"/>
    <s v="TREND SERVICES INC"/>
    <m/>
    <m/>
    <d v="2016-06-17T00:00:00"/>
    <d v="2016-06-17T00:00:00"/>
    <s v="2112-15-0019-1"/>
    <n v="1000"/>
    <n v="14010"/>
    <n v="13217.92"/>
    <n v="14016"/>
    <n v="9362.68"/>
    <n v="3855.24"/>
    <n v="771.04"/>
    <n v="57260"/>
    <n v="110.14"/>
    <s v="P"/>
    <m/>
    <s v="12312015-1"/>
    <m/>
    <s v="Internal"/>
    <s v="A"/>
    <s v="SL"/>
    <m/>
    <s v="WCNX"/>
    <n v="0"/>
    <n v="0"/>
    <m/>
    <x v="15"/>
    <n v="6"/>
    <n v="2016"/>
    <n v="2026"/>
    <n v="2026.5"/>
    <n v="110.14933333333333"/>
    <n v="1321.7919999999999"/>
    <n v="1321.7919999999999"/>
    <n v="8151.050666666767"/>
    <n v="9472.8426666667674"/>
    <x v="256"/>
    <x v="1"/>
  </r>
  <r>
    <n v="2112"/>
    <n v="133438"/>
    <x v="0"/>
    <x v="407"/>
    <m/>
    <m/>
    <m/>
    <n v="0"/>
    <s v="TREND SERVICES INC"/>
    <m/>
    <m/>
    <d v="2016-06-17T00:00:00"/>
    <d v="2016-06-17T00:00:00"/>
    <s v="2112-15-0008-1"/>
    <n v="1000"/>
    <n v="14010"/>
    <n v="26290"/>
    <n v="14016"/>
    <n v="18622.080000000002"/>
    <n v="7667.9199999999983"/>
    <n v="1533.58"/>
    <n v="57260"/>
    <n v="219.08"/>
    <s v="P"/>
    <m/>
    <s v="HochCC*912N4"/>
    <m/>
    <s v="Internal"/>
    <s v="A"/>
    <s v="SL"/>
    <m/>
    <s v="WCNX"/>
    <n v="0"/>
    <n v="0"/>
    <m/>
    <x v="15"/>
    <n v="6"/>
    <n v="2016"/>
    <n v="2026"/>
    <n v="2026.5"/>
    <n v="219.08333333333334"/>
    <n v="2629"/>
    <n v="2629"/>
    <n v="16212.166666666866"/>
    <n v="18841.166666666868"/>
    <x v="257"/>
    <x v="1"/>
  </r>
  <r>
    <n v="2112"/>
    <n v="133437"/>
    <x v="0"/>
    <x v="408"/>
    <m/>
    <m/>
    <m/>
    <n v="0"/>
    <s v="TREND SERVICES INC"/>
    <m/>
    <m/>
    <d v="2016-06-17T00:00:00"/>
    <d v="2016-06-17T00:00:00"/>
    <s v="2112-14-0007-1"/>
    <n v="1000"/>
    <n v="14010"/>
    <n v="20781.93"/>
    <n v="14016"/>
    <n v="14720.46"/>
    <n v="6061.4700000000012"/>
    <n v="1212.28"/>
    <n v="57260"/>
    <n v="173.18"/>
    <s v="P"/>
    <m/>
    <n v="9974"/>
    <m/>
    <s v="Internal"/>
    <s v="A"/>
    <s v="SL"/>
    <m/>
    <s v="WCNX"/>
    <n v="0"/>
    <n v="0"/>
    <m/>
    <x v="15"/>
    <n v="6"/>
    <n v="2016"/>
    <n v="2026"/>
    <n v="2026.5"/>
    <n v="173.18275000000003"/>
    <n v="2078.1930000000002"/>
    <n v="2078.1930000000002"/>
    <n v="12815.523500000156"/>
    <n v="14893.716500000155"/>
    <x v="258"/>
    <x v="1"/>
  </r>
  <r>
    <n v="2112"/>
    <n v="133216"/>
    <x v="0"/>
    <x v="409"/>
    <n v="2"/>
    <m/>
    <m/>
    <n v="0"/>
    <s v="ENTERPRISE SALES, INC."/>
    <m/>
    <s v="20 YD RO Box"/>
    <d v="2016-05-26T00:00:00"/>
    <d v="2016-05-26T00:00:00"/>
    <s v="2112-16-0013-1"/>
    <n v="1200"/>
    <n v="14050"/>
    <n v="11626"/>
    <n v="14056"/>
    <n v="6943.28"/>
    <n v="4682.72"/>
    <n v="565.15"/>
    <n v="54260"/>
    <n v="80.73"/>
    <s v="P"/>
    <m/>
    <n v="7120"/>
    <m/>
    <s v="Internal"/>
    <s v="A"/>
    <s v="SL"/>
    <m/>
    <s v="WCNX"/>
    <n v="0"/>
    <n v="0"/>
    <m/>
    <x v="15"/>
    <n v="5"/>
    <n v="2016"/>
    <n v="2028"/>
    <n v="2028.4166666666667"/>
    <n v="80.736111111111114"/>
    <n v="968.83333333333337"/>
    <n v="968.83333333333337"/>
    <n v="6055.208333333333"/>
    <n v="7024.0416666666661"/>
    <x v="259"/>
    <x v="1"/>
  </r>
  <r>
    <n v="2112"/>
    <n v="133215"/>
    <x v="0"/>
    <x v="410"/>
    <n v="1"/>
    <m/>
    <m/>
    <n v="0"/>
    <s v="ENTERPRISE SALES, INC."/>
    <m/>
    <s v="30 YD RO Box"/>
    <d v="2016-05-26T00:00:00"/>
    <d v="2016-05-26T00:00:00"/>
    <s v="2112-16-0013-1"/>
    <n v="1200"/>
    <n v="14050"/>
    <n v="5981"/>
    <n v="14056"/>
    <n v="3571.94"/>
    <n v="2409.06"/>
    <n v="290.75"/>
    <n v="54260"/>
    <n v="41.54"/>
    <s v="P"/>
    <m/>
    <n v="7120"/>
    <m/>
    <s v="Internal"/>
    <s v="A"/>
    <s v="SL"/>
    <m/>
    <s v="WCNX"/>
    <n v="0"/>
    <n v="0"/>
    <m/>
    <x v="15"/>
    <n v="5"/>
    <n v="2016"/>
    <n v="2028"/>
    <n v="2028.4166666666667"/>
    <n v="41.534722222222221"/>
    <n v="498.41666666666663"/>
    <n v="498.41666666666663"/>
    <n v="3115.1041666666665"/>
    <n v="3613.520833333333"/>
    <x v="260"/>
    <x v="1"/>
  </r>
  <r>
    <n v="2112"/>
    <n v="133182"/>
    <x v="0"/>
    <x v="411"/>
    <n v="8"/>
    <m/>
    <m/>
    <n v="0"/>
    <s v="REHRIG PACIFIC COMPANY"/>
    <m/>
    <s v="2 YD FEL/REL/SL Plastic"/>
    <d v="2016-05-08T00:00:00"/>
    <d v="2016-05-08T00:00:00"/>
    <s v="2112-16-0010-1"/>
    <n v="700"/>
    <n v="14050"/>
    <n v="5127.32"/>
    <n v="14056"/>
    <n v="5127.32"/>
    <n v="0"/>
    <n v="244.12"/>
    <n v="54260"/>
    <n v="0"/>
    <s v="P"/>
    <m/>
    <s v="LA203970"/>
    <m/>
    <s v="Internal"/>
    <s v="A"/>
    <s v="SL"/>
    <m/>
    <s v="WCNX"/>
    <n v="0"/>
    <n v="0"/>
    <m/>
    <x v="15"/>
    <n v="5"/>
    <n v="2016"/>
    <n v="2023"/>
    <n v="2023.4166666666667"/>
    <n v="61.039523809523807"/>
    <n v="732.47428571428566"/>
    <n v="0"/>
    <n v="4577.9642857142853"/>
    <n v="5127.32"/>
    <x v="1"/>
    <x v="1"/>
  </r>
  <r>
    <n v="2112"/>
    <n v="133181"/>
    <x v="0"/>
    <x v="412"/>
    <n v="9"/>
    <m/>
    <m/>
    <n v="0"/>
    <s v="REHRIG PACIFIC COMPANY"/>
    <m/>
    <s v="4 YD FEL/REL/SL Plastic"/>
    <d v="2016-05-08T00:00:00"/>
    <d v="2016-05-08T00:00:00"/>
    <s v="2112-16-0010-1"/>
    <n v="700"/>
    <n v="14050"/>
    <n v="6682.87"/>
    <n v="14056"/>
    <n v="6682.87"/>
    <n v="0"/>
    <n v="318.20999999999998"/>
    <n v="54260"/>
    <n v="0"/>
    <s v="P"/>
    <m/>
    <s v="LA203975"/>
    <m/>
    <s v="Internal"/>
    <s v="A"/>
    <s v="SL"/>
    <m/>
    <s v="WCNX"/>
    <n v="0"/>
    <n v="0"/>
    <m/>
    <x v="15"/>
    <n v="5"/>
    <n v="2016"/>
    <n v="2023"/>
    <n v="2023.4166666666667"/>
    <n v="79.557976190476197"/>
    <n v="954.6957142857143"/>
    <n v="0"/>
    <n v="5966.8482142857138"/>
    <n v="6682.87"/>
    <x v="1"/>
    <x v="1"/>
  </r>
  <r>
    <n v="2112"/>
    <n v="132477"/>
    <x v="0"/>
    <x v="413"/>
    <n v="1800"/>
    <m/>
    <m/>
    <n v="0"/>
    <s v="THUNDERBIRD PLASTICS LTD"/>
    <m/>
    <m/>
    <d v="2016-03-30T00:00:00"/>
    <d v="2016-03-30T00:00:00"/>
    <s v="2112-16-0006-1"/>
    <n v="500"/>
    <n v="14050"/>
    <n v="15181"/>
    <n v="14056"/>
    <n v="15181"/>
    <n v="0"/>
    <n v="0"/>
    <n v="54260"/>
    <n v="0"/>
    <s v="P"/>
    <m/>
    <n v="25669"/>
    <m/>
    <s v="Internal"/>
    <s v="A"/>
    <s v="SL"/>
    <m/>
    <s v="WCNX"/>
    <n v="0"/>
    <n v="0"/>
    <m/>
    <x v="15"/>
    <n v="3"/>
    <n v="2016"/>
    <n v="2021"/>
    <n v="2021.25"/>
    <n v="253.01666666666665"/>
    <n v="3036.2"/>
    <n v="0"/>
    <n v="15181"/>
    <n v="15181"/>
    <x v="1"/>
    <x v="1"/>
  </r>
  <r>
    <n v="2112"/>
    <n v="132353"/>
    <x v="45"/>
    <x v="414"/>
    <m/>
    <m/>
    <m/>
    <n v="0"/>
    <s v="ProClip USA, Inc"/>
    <m/>
    <m/>
    <d v="2016-03-31T00:00:00"/>
    <d v="2016-03-31T00:00:00"/>
    <s v="2112-16-0024-1"/>
    <n v="100"/>
    <n v="14110"/>
    <n v="7326.53"/>
    <n v="14116"/>
    <n v="7326.53"/>
    <n v="0"/>
    <n v="0"/>
    <n v="70260"/>
    <n v="0"/>
    <s v="P"/>
    <m/>
    <s v="SI-1137467"/>
    <m/>
    <s v="Internal"/>
    <s v="A"/>
    <s v="SL"/>
    <m/>
    <s v="WCNX"/>
    <n v="0"/>
    <n v="0"/>
    <m/>
    <x v="15"/>
    <n v="3"/>
    <n v="2016"/>
    <n v="2017"/>
    <n v="2017.25"/>
    <n v="610.54416666666668"/>
    <n v="7326.5300000000007"/>
    <n v="0"/>
    <n v="7326.53"/>
    <n v="7326.53"/>
    <x v="1"/>
    <x v="1"/>
  </r>
  <r>
    <n v="2112"/>
    <n v="131543"/>
    <x v="0"/>
    <x v="415"/>
    <m/>
    <m/>
    <m/>
    <n v="0"/>
    <s v="VERIZON WIRELESS P1667~NA"/>
    <m/>
    <m/>
    <d v="2016-03-31T00:00:00"/>
    <d v="2016-03-31T00:00:00"/>
    <s v="2112-16-0024-1"/>
    <n v="100"/>
    <n v="14110"/>
    <n v="8464.64"/>
    <n v="14116"/>
    <n v="8464.64"/>
    <n v="0"/>
    <n v="0"/>
    <n v="70260"/>
    <n v="0"/>
    <s v="P"/>
    <m/>
    <s v="P1667"/>
    <m/>
    <s v="Internal"/>
    <s v="A"/>
    <s v="SL"/>
    <m/>
    <s v="WCNX"/>
    <n v="0"/>
    <n v="0"/>
    <m/>
    <x v="15"/>
    <n v="3"/>
    <n v="2016"/>
    <n v="2017"/>
    <n v="2017.25"/>
    <n v="705.38666666666666"/>
    <n v="8464.64"/>
    <n v="0"/>
    <n v="8464.64"/>
    <n v="8464.64"/>
    <x v="1"/>
    <x v="1"/>
  </r>
  <r>
    <n v="2112"/>
    <n v="130068"/>
    <x v="0"/>
    <x v="363"/>
    <n v="3"/>
    <m/>
    <m/>
    <n v="0"/>
    <s v="ENTERPRISE SALES, INC."/>
    <m/>
    <s v="30 YD RO Box"/>
    <d v="2016-01-01T00:00:00"/>
    <d v="2016-01-01T00:00:00"/>
    <s v="2112-15-0006-1"/>
    <n v="1109"/>
    <n v="14050"/>
    <n v="17943"/>
    <n v="14056"/>
    <n v="11580.21"/>
    <n v="6362.7900000000009"/>
    <n v="890.79"/>
    <n v="54260"/>
    <n v="127.26"/>
    <s v="P"/>
    <m/>
    <n v="6831"/>
    <m/>
    <s v="Internal"/>
    <s v="A"/>
    <s v="SL"/>
    <m/>
    <s v="WCNX"/>
    <n v="0"/>
    <n v="0"/>
    <m/>
    <x v="15"/>
    <n v="1"/>
    <n v="2016"/>
    <n v="2027.09"/>
    <n v="2027.1733333333332"/>
    <n v="134.82867448151487"/>
    <n v="1617.9440937781783"/>
    <n v="1617.9440937781783"/>
    <n v="10651.465284040054"/>
    <n v="12269.409377818232"/>
    <x v="261"/>
    <x v="1"/>
  </r>
  <r>
    <n v="2112"/>
    <n v="128860"/>
    <x v="0"/>
    <x v="416"/>
    <m/>
    <m/>
    <m/>
    <n v="0"/>
    <s v="AMB Tools and Equipment"/>
    <m/>
    <m/>
    <d v="2015-11-30T00:00:00"/>
    <d v="2015-11-30T00:00:00"/>
    <s v="2112-15-0020-1"/>
    <n v="500"/>
    <n v="14070"/>
    <n v="6914.84"/>
    <n v="14076"/>
    <n v="6914.84"/>
    <n v="0"/>
    <n v="0"/>
    <n v="51260"/>
    <n v="0"/>
    <s v="P"/>
    <m/>
    <s v="Dist Adj for New pressure"/>
    <m/>
    <s v="Internal"/>
    <s v="A"/>
    <s v="SL"/>
    <m/>
    <s v="WCNX"/>
    <n v="0"/>
    <n v="0"/>
    <m/>
    <x v="15"/>
    <n v="11"/>
    <n v="2015"/>
    <n v="2020"/>
    <n v="2020.9166666666667"/>
    <n v="115.24733333333334"/>
    <n v="1382.9680000000001"/>
    <n v="0"/>
    <n v="6914.84"/>
    <n v="6914.84"/>
    <x v="1"/>
    <x v="1"/>
  </r>
  <r>
    <n v="2112"/>
    <n v="128144"/>
    <x v="0"/>
    <x v="417"/>
    <n v="720"/>
    <m/>
    <m/>
    <n v="0"/>
    <s v="THUNDERBIRD PLASTICS LTD"/>
    <m/>
    <m/>
    <d v="2015-11-03T00:00:00"/>
    <d v="2015-11-03T00:00:00"/>
    <s v="2112-15-0018-1"/>
    <n v="500"/>
    <n v="14050"/>
    <n v="6126.77"/>
    <n v="14056"/>
    <n v="6126.77"/>
    <n v="0"/>
    <n v="0"/>
    <n v="54260"/>
    <n v="0"/>
    <s v="P"/>
    <m/>
    <n v="25199"/>
    <m/>
    <s v="Internal"/>
    <s v="A"/>
    <s v="SL"/>
    <m/>
    <s v="WCNX"/>
    <n v="0"/>
    <n v="0"/>
    <m/>
    <x v="15"/>
    <n v="11"/>
    <n v="2015"/>
    <n v="2020"/>
    <n v="2020.9166666666667"/>
    <n v="102.11283333333334"/>
    <n v="1225.354"/>
    <n v="0"/>
    <n v="6126.77"/>
    <n v="6126.77"/>
    <x v="1"/>
    <x v="1"/>
  </r>
  <r>
    <n v="2112"/>
    <n v="126398"/>
    <x v="0"/>
    <x v="286"/>
    <m/>
    <s v="3BPZLJ0X9GF100885"/>
    <s v="C18573T"/>
    <n v="2016"/>
    <s v="Peterbilt 320"/>
    <s v="Labrie"/>
    <s v="Automated Sideload"/>
    <d v="2015-10-30T00:00:00"/>
    <d v="2015-10-30T00:00:00"/>
    <s v="2112-15-0005-1"/>
    <n v="1000"/>
    <n v="14040"/>
    <n v="345402.75"/>
    <n v="14046"/>
    <n v="267687.17"/>
    <n v="77715.580000000016"/>
    <n v="20148.5"/>
    <n v="51260"/>
    <n v="2878.36"/>
    <s v="P"/>
    <m/>
    <s v="P100885"/>
    <n v="885"/>
    <s v="Internal"/>
    <s v="A"/>
    <s v="SL"/>
    <m/>
    <s v="WCNX"/>
    <n v="0"/>
    <n v="0"/>
    <m/>
    <x v="15"/>
    <n v="10"/>
    <n v="2015"/>
    <n v="2025"/>
    <n v="2025.8333333333333"/>
    <n v="2878.3562500000003"/>
    <n v="34540.275000000001"/>
    <n v="34540.275000000001"/>
    <n v="236025.2125000052"/>
    <n v="270565.48750000523"/>
    <x v="262"/>
    <x v="1"/>
  </r>
  <r>
    <n v="2112"/>
    <n v="125847"/>
    <x v="46"/>
    <x v="418"/>
    <m/>
    <m/>
    <m/>
    <n v="0"/>
    <s v="H&amp;R Parts and Equipment"/>
    <m/>
    <s v="Non-Rolling Stock"/>
    <d v="2015-09-18T00:00:00"/>
    <d v="2015-09-18T00:00:00"/>
    <s v="2112-15-0017-1"/>
    <n v="300"/>
    <n v="14040"/>
    <n v="7579.79"/>
    <n v="14046"/>
    <n v="7579.79"/>
    <n v="0"/>
    <n v="0"/>
    <n v="51260"/>
    <n v="0"/>
    <s v="P"/>
    <m/>
    <n v="15655"/>
    <m/>
    <s v="Internal"/>
    <s v="A"/>
    <s v="SL"/>
    <m/>
    <s v="WCNX"/>
    <n v="0"/>
    <n v="0"/>
    <m/>
    <x v="15"/>
    <n v="9"/>
    <n v="2015"/>
    <n v="2018"/>
    <n v="2018.75"/>
    <n v="210.54972222222224"/>
    <n v="2526.5966666666668"/>
    <n v="0"/>
    <n v="7579.79"/>
    <n v="7579.79"/>
    <x v="1"/>
    <x v="1"/>
  </r>
  <r>
    <n v="2112"/>
    <n v="124523"/>
    <x v="0"/>
    <x v="383"/>
    <n v="20"/>
    <m/>
    <m/>
    <n v="0"/>
    <s v="CAPITAL INDUSTRIES, INC."/>
    <m/>
    <s v="2 YD FEL/REL/SL Metal"/>
    <d v="2015-07-31T00:00:00"/>
    <d v="2015-07-31T00:00:00"/>
    <s v="2112-15-0014-1"/>
    <n v="1200"/>
    <n v="14050"/>
    <n v="10639.46"/>
    <n v="14056"/>
    <n v="7092.97"/>
    <n v="3546.4899999999989"/>
    <n v="517.20000000000005"/>
    <n v="54260"/>
    <n v="73.89"/>
    <s v="P"/>
    <m/>
    <n v="1111112"/>
    <m/>
    <s v="Internal"/>
    <s v="A"/>
    <s v="SL"/>
    <m/>
    <s v="WCNX"/>
    <n v="0"/>
    <n v="0"/>
    <m/>
    <x v="15"/>
    <n v="7"/>
    <n v="2015"/>
    <n v="2027"/>
    <n v="2027.5833333333333"/>
    <n v="73.885138888888875"/>
    <n v="886.62166666666644"/>
    <n v="886.62166666666644"/>
    <n v="6280.2368055556899"/>
    <n v="7166.8584722223568"/>
    <x v="263"/>
    <x v="1"/>
  </r>
  <r>
    <n v="2112"/>
    <n v="124522"/>
    <x v="0"/>
    <x v="21"/>
    <n v="10"/>
    <m/>
    <m/>
    <n v="0"/>
    <s v="CAPITAL INDUSTRIES, INC."/>
    <m/>
    <s v="1 YD FEL/REL/SL Metal"/>
    <d v="2015-07-31T00:00:00"/>
    <d v="2015-07-31T00:00:00"/>
    <s v="2112-15-0014-1"/>
    <n v="1200"/>
    <n v="14050"/>
    <n v="4401.04"/>
    <n v="14056"/>
    <n v="2934"/>
    <n v="1467.04"/>
    <n v="213.94"/>
    <n v="54260"/>
    <n v="30.56"/>
    <s v="P"/>
    <m/>
    <n v="111113"/>
    <m/>
    <s v="Internal"/>
    <s v="A"/>
    <s v="SL"/>
    <m/>
    <s v="WCNX"/>
    <n v="0"/>
    <n v="0"/>
    <m/>
    <x v="15"/>
    <n v="7"/>
    <n v="2015"/>
    <n v="2027"/>
    <n v="2027.5833333333333"/>
    <n v="30.562777777777779"/>
    <n v="366.75333333333333"/>
    <n v="366.75333333333333"/>
    <n v="2597.8361111111667"/>
    <n v="2964.5894444445003"/>
    <x v="264"/>
    <x v="1"/>
  </r>
  <r>
    <n v="2112"/>
    <n v="124065"/>
    <x v="0"/>
    <x v="419"/>
    <n v="3"/>
    <m/>
    <m/>
    <n v="0"/>
    <s v="CAPITAL INDUSTRIES, INC."/>
    <m/>
    <s v="20 YD RO Box"/>
    <d v="2015-07-27T00:00:00"/>
    <d v="2015-07-27T00:00:00"/>
    <s v="2112-15-0007-1"/>
    <n v="1200"/>
    <n v="14050"/>
    <n v="16310"/>
    <n v="14056"/>
    <n v="10873.36"/>
    <n v="5436.6399999999994"/>
    <n v="792.85"/>
    <n v="54260"/>
    <n v="113.26"/>
    <s v="P"/>
    <m/>
    <n v="110938"/>
    <m/>
    <s v="Internal"/>
    <s v="A"/>
    <s v="SL"/>
    <m/>
    <s v="WCNX"/>
    <n v="0"/>
    <n v="0"/>
    <m/>
    <x v="15"/>
    <n v="7"/>
    <n v="2015"/>
    <n v="2027"/>
    <n v="2027.5833333333333"/>
    <n v="113.2638888888889"/>
    <n v="1359.1666666666667"/>
    <n v="1359.1666666666667"/>
    <n v="9627.4305555557621"/>
    <n v="10986.597222222428"/>
    <x v="265"/>
    <x v="1"/>
  </r>
  <r>
    <n v="2112"/>
    <n v="123923"/>
    <x v="0"/>
    <x v="420"/>
    <n v="10"/>
    <m/>
    <m/>
    <n v="0"/>
    <s v="Capital Industries"/>
    <m/>
    <s v="4 YD FEL/REL/SL Metal"/>
    <d v="2015-07-29T00:00:00"/>
    <d v="2015-07-29T00:00:00"/>
    <s v="2112-15-0014-1"/>
    <n v="1200"/>
    <n v="14050"/>
    <n v="6829.2"/>
    <n v="14056"/>
    <n v="4552.74"/>
    <n v="2276.46"/>
    <n v="331.98"/>
    <n v="54260"/>
    <n v="47.43"/>
    <s v="P"/>
    <m/>
    <n v="110077"/>
    <m/>
    <s v="Internal"/>
    <s v="A"/>
    <s v="SL"/>
    <m/>
    <s v="WCNX"/>
    <n v="0"/>
    <n v="0"/>
    <m/>
    <x v="15"/>
    <n v="7"/>
    <n v="2015"/>
    <n v="2027"/>
    <n v="2027.5833333333333"/>
    <n v="47.425000000000004"/>
    <n v="569.1"/>
    <n v="569.1"/>
    <n v="4031.1250000000859"/>
    <n v="4600.2250000000859"/>
    <x v="266"/>
    <x v="1"/>
  </r>
  <r>
    <n v="2112"/>
    <n v="123532"/>
    <x v="0"/>
    <x v="421"/>
    <m/>
    <m/>
    <m/>
    <n v="0"/>
    <s v="CDW"/>
    <m/>
    <m/>
    <d v="2015-06-15T00:00:00"/>
    <d v="2015-06-15T00:00:00"/>
    <s v="2112-15-0016-1"/>
    <n v="300"/>
    <n v="14110"/>
    <n v="1032.77"/>
    <n v="14116"/>
    <n v="1032.77"/>
    <n v="0"/>
    <n v="0"/>
    <n v="70260"/>
    <n v="0"/>
    <s v="P"/>
    <m/>
    <s v="WC94371"/>
    <m/>
    <s v="Internal"/>
    <s v="A"/>
    <s v="SL"/>
    <m/>
    <s v="WCNX"/>
    <n v="0"/>
    <n v="0"/>
    <m/>
    <x v="15"/>
    <n v="6"/>
    <n v="2015"/>
    <n v="2018"/>
    <n v="2018.5"/>
    <n v="28.688055555555554"/>
    <n v="344.25666666666666"/>
    <n v="0"/>
    <n v="1032.77"/>
    <n v="1032.77"/>
    <x v="1"/>
    <x v="1"/>
  </r>
  <r>
    <n v="2112"/>
    <n v="123448"/>
    <x v="0"/>
    <x v="312"/>
    <n v="595"/>
    <m/>
    <m/>
    <n v="0"/>
    <s v="Toter"/>
    <m/>
    <m/>
    <d v="2015-06-15T00:00:00"/>
    <d v="2015-06-15T00:00:00"/>
    <s v="2112-15-0015-1"/>
    <n v="700"/>
    <n v="14050"/>
    <n v="31731.39"/>
    <n v="14056"/>
    <n v="31731.39"/>
    <n v="0"/>
    <n v="0"/>
    <n v="54260"/>
    <n v="0"/>
    <s v="P"/>
    <m/>
    <n v="65372154"/>
    <m/>
    <s v="Internal"/>
    <s v="A"/>
    <s v="SL"/>
    <m/>
    <s v="WCNX"/>
    <n v="0"/>
    <n v="0"/>
    <m/>
    <x v="15"/>
    <n v="6"/>
    <n v="2015"/>
    <n v="2022"/>
    <n v="2022.5"/>
    <n v="377.75464285714287"/>
    <n v="4533.0557142857142"/>
    <n v="0"/>
    <n v="31731.39"/>
    <n v="31731.39"/>
    <x v="1"/>
    <x v="1"/>
  </r>
  <r>
    <n v="2112"/>
    <n v="123237"/>
    <x v="0"/>
    <x v="422"/>
    <n v="720"/>
    <m/>
    <m/>
    <n v="0"/>
    <s v="OTTO ENVIRONMENTAL SYSTEM"/>
    <m/>
    <m/>
    <d v="2015-06-15T00:00:00"/>
    <d v="2015-06-15T00:00:00"/>
    <s v="2112-15-0012-1"/>
    <n v="700"/>
    <n v="14050"/>
    <n v="31880.44"/>
    <n v="14056"/>
    <n v="31880.44"/>
    <n v="0"/>
    <n v="0"/>
    <n v="54260"/>
    <n v="0"/>
    <s v="P"/>
    <m/>
    <s v="ELOY"/>
    <m/>
    <s v="Internal"/>
    <s v="A"/>
    <s v="SL"/>
    <m/>
    <s v="WCNX"/>
    <n v="0"/>
    <n v="0"/>
    <m/>
    <x v="15"/>
    <n v="6"/>
    <n v="2015"/>
    <n v="2022"/>
    <n v="2022.5"/>
    <n v="379.52904761904762"/>
    <n v="4554.3485714285716"/>
    <n v="0"/>
    <n v="31880.44"/>
    <n v="31880.44"/>
    <x v="1"/>
    <x v="1"/>
  </r>
  <r>
    <n v="2112"/>
    <n v="122560"/>
    <x v="0"/>
    <x v="423"/>
    <m/>
    <m/>
    <m/>
    <n v="0"/>
    <m/>
    <m/>
    <m/>
    <d v="2015-04-30T00:00:00"/>
    <d v="2015-04-30T00:00:00"/>
    <s v="2112-15-0009-1"/>
    <n v="500"/>
    <n v="14100"/>
    <n v="13450.42"/>
    <n v="14106"/>
    <n v="13450.42"/>
    <n v="0"/>
    <n v="0"/>
    <n v="70260"/>
    <n v="0"/>
    <s v="P"/>
    <m/>
    <n v="28164"/>
    <m/>
    <s v="Internal"/>
    <s v="A"/>
    <s v="SL"/>
    <m/>
    <s v="WCNX"/>
    <n v="0"/>
    <n v="0"/>
    <m/>
    <x v="15"/>
    <n v="4"/>
    <n v="2015"/>
    <n v="2020"/>
    <n v="2020.3333333333333"/>
    <n v="224.17366666666666"/>
    <n v="2690.0839999999998"/>
    <n v="0"/>
    <n v="13450.42"/>
    <n v="13450.42"/>
    <x v="1"/>
    <x v="1"/>
  </r>
  <r>
    <n v="2112"/>
    <n v="122103"/>
    <x v="0"/>
    <x v="424"/>
    <m/>
    <m/>
    <m/>
    <n v="0"/>
    <s v="CDW"/>
    <m/>
    <m/>
    <d v="2015-04-30T00:00:00"/>
    <d v="2015-04-30T00:00:00"/>
    <s v="2112-15-0013-1"/>
    <n v="300"/>
    <n v="14110"/>
    <n v="2289.54"/>
    <n v="14116"/>
    <n v="2289.54"/>
    <n v="0"/>
    <n v="0"/>
    <n v="70260"/>
    <n v="0"/>
    <s v="P"/>
    <m/>
    <s v="TT13225"/>
    <m/>
    <s v="Internal"/>
    <s v="A"/>
    <s v="SL"/>
    <m/>
    <s v="WCNX"/>
    <n v="0"/>
    <n v="0"/>
    <m/>
    <x v="15"/>
    <n v="4"/>
    <n v="2015"/>
    <n v="2018"/>
    <n v="2018.3333333333333"/>
    <n v="63.598333333333329"/>
    <n v="763.18"/>
    <n v="0"/>
    <n v="2289.54"/>
    <n v="2289.54"/>
    <x v="1"/>
    <x v="1"/>
  </r>
  <r>
    <n v="2112"/>
    <n v="120257"/>
    <x v="0"/>
    <x v="425"/>
    <n v="720"/>
    <m/>
    <m/>
    <n v="0"/>
    <s v="THUNDERBIRD PLASTICS LTD"/>
    <m/>
    <m/>
    <d v="2015-01-31T00:00:00"/>
    <d v="2015-01-31T00:00:00"/>
    <s v="2112-15-0010-1"/>
    <n v="500"/>
    <n v="14050"/>
    <n v="6126.77"/>
    <n v="14056"/>
    <n v="6126.77"/>
    <n v="0"/>
    <n v="0"/>
    <n v="54260"/>
    <n v="0"/>
    <s v="P"/>
    <m/>
    <n v="24123"/>
    <m/>
    <s v="Internal"/>
    <s v="A"/>
    <s v="SL"/>
    <m/>
    <s v="WCNX"/>
    <n v="0"/>
    <n v="0"/>
    <m/>
    <x v="15"/>
    <n v="1"/>
    <n v="2015"/>
    <n v="2020"/>
    <n v="2020.0833333333333"/>
    <n v="102.11283333333334"/>
    <n v="1225.354"/>
    <n v="0"/>
    <n v="6126.77"/>
    <n v="6126.77"/>
    <x v="1"/>
    <x v="1"/>
  </r>
  <r>
    <n v="2112"/>
    <n v="118536"/>
    <x v="0"/>
    <x v="426"/>
    <m/>
    <m/>
    <m/>
    <n v="0"/>
    <s v="Day Wireless Systems"/>
    <m/>
    <m/>
    <d v="2014-07-11T00:00:00"/>
    <d v="2014-07-11T00:00:00"/>
    <s v="2112-14-0011-1"/>
    <n v="500"/>
    <n v="14070"/>
    <n v="825"/>
    <n v="14076"/>
    <n v="825"/>
    <n v="0"/>
    <n v="0"/>
    <n v="51260"/>
    <n v="0"/>
    <s v="P"/>
    <m/>
    <s v="156143-00"/>
    <m/>
    <s v="Internal"/>
    <s v="A"/>
    <s v="SL"/>
    <d v="2014-12-31T00:00:00"/>
    <s v="WCNX"/>
    <n v="0"/>
    <n v="137.5"/>
    <m/>
    <x v="15"/>
    <n v="7"/>
    <n v="2014"/>
    <n v="2019"/>
    <n v="2019.5833333333333"/>
    <n v="13.75"/>
    <n v="165"/>
    <n v="0"/>
    <n v="825"/>
    <n v="825"/>
    <x v="1"/>
    <x v="1"/>
  </r>
  <r>
    <n v="2112"/>
    <n v="118074"/>
    <x v="46"/>
    <x v="427"/>
    <m/>
    <m/>
    <m/>
    <n v="0"/>
    <m/>
    <m/>
    <s v="Non-Rolling Stock"/>
    <d v="2014-12-31T00:00:00"/>
    <d v="2014-12-31T00:00:00"/>
    <s v="2112-14-0008-1"/>
    <n v="300"/>
    <n v="14040"/>
    <n v="6532.56"/>
    <n v="14046"/>
    <n v="6532.56"/>
    <n v="0"/>
    <n v="0"/>
    <n v="51260"/>
    <n v="0"/>
    <s v="P"/>
    <m/>
    <m/>
    <m/>
    <s v="Internal"/>
    <s v="A"/>
    <s v="SL"/>
    <m/>
    <s v="WCNX"/>
    <n v="0"/>
    <n v="0"/>
    <m/>
    <x v="15"/>
    <n v="12"/>
    <n v="2014"/>
    <n v="2017"/>
    <n v="2018"/>
    <n v="181.46"/>
    <n v="2177.52"/>
    <n v="0"/>
    <n v="6532.56"/>
    <n v="6532.56"/>
    <x v="1"/>
    <x v="1"/>
  </r>
  <r>
    <n v="2112"/>
    <n v="117317"/>
    <x v="0"/>
    <x v="428"/>
    <n v="0"/>
    <s v="3ALHCYCY0FDGJ8209"/>
    <s v="C68628B"/>
    <n v="2015"/>
    <s v="Freighliner M2"/>
    <s v="McNelius"/>
    <s v="REL Truck"/>
    <d v="2014-11-15T00:00:00"/>
    <d v="2014-11-15T00:00:00"/>
    <s v="2112-14-0012-1"/>
    <n v="1000"/>
    <n v="14040"/>
    <n v="228768.45"/>
    <n v="14046"/>
    <n v="200172.44"/>
    <n v="28596.010000000009"/>
    <n v="13344.83"/>
    <n v="51260"/>
    <n v="1906.4"/>
    <s v="P"/>
    <m/>
    <m/>
    <n v="665"/>
    <s v="Internal"/>
    <s v="A"/>
    <s v="SL"/>
    <m/>
    <s v="WCNX"/>
    <n v="0"/>
    <n v="0"/>
    <m/>
    <x v="15"/>
    <n v="11"/>
    <n v="2014"/>
    <n v="2024"/>
    <n v="2024.9166666666667"/>
    <n v="1906.4037500000002"/>
    <n v="22876.845000000001"/>
    <n v="22876.845000000001"/>
    <n v="177295.54875000002"/>
    <n v="200172.39375000002"/>
    <x v="267"/>
    <x v="1"/>
  </r>
  <r>
    <n v="2112"/>
    <n v="116677"/>
    <x v="0"/>
    <x v="429"/>
    <n v="243"/>
    <m/>
    <m/>
    <n v="0"/>
    <s v="REHRIG PACIFIC COMPANY"/>
    <m/>
    <m/>
    <d v="2014-10-01T00:00:00"/>
    <d v="2014-10-01T00:00:00"/>
    <s v="2112-14-0004-1"/>
    <n v="700"/>
    <n v="14050"/>
    <n v="10433.780000000001"/>
    <n v="14056"/>
    <n v="10433.780000000001"/>
    <n v="0"/>
    <n v="0"/>
    <n v="54260"/>
    <n v="0"/>
    <s v="P"/>
    <m/>
    <s v="ke80561"/>
    <m/>
    <s v="Internal"/>
    <s v="A"/>
    <s v="SL"/>
    <m/>
    <s v="WCNX"/>
    <n v="0"/>
    <n v="0"/>
    <m/>
    <x v="15"/>
    <n v="10"/>
    <n v="2014"/>
    <n v="2021"/>
    <n v="2021.8333333333333"/>
    <n v="124.21166666666669"/>
    <n v="1490.5400000000002"/>
    <n v="0"/>
    <n v="10433.780000000001"/>
    <n v="10433.780000000001"/>
    <x v="1"/>
    <x v="1"/>
  </r>
  <r>
    <n v="2112"/>
    <n v="116107"/>
    <x v="47"/>
    <x v="430"/>
    <m/>
    <m/>
    <m/>
    <n v="0"/>
    <s v="CDW"/>
    <m/>
    <m/>
    <d v="2014-08-14T00:00:00"/>
    <d v="2014-08-14T00:00:00"/>
    <s v="2112-14-0013-1"/>
    <n v="300"/>
    <n v="14110"/>
    <n v="103.54"/>
    <n v="14116"/>
    <n v="103.54"/>
    <n v="0"/>
    <n v="0"/>
    <n v="70260"/>
    <n v="0"/>
    <s v="P"/>
    <m/>
    <s v="PC09959"/>
    <m/>
    <s v="Internal"/>
    <s v="A"/>
    <s v="SL"/>
    <m/>
    <s v="WCNX"/>
    <n v="0"/>
    <n v="0"/>
    <m/>
    <x v="15"/>
    <n v="8"/>
    <n v="2014"/>
    <n v="2017"/>
    <n v="2017.6666666666667"/>
    <n v="2.8761111111111113"/>
    <n v="34.513333333333335"/>
    <n v="0"/>
    <n v="103.54"/>
    <n v="103.54"/>
    <x v="1"/>
    <x v="1"/>
  </r>
  <r>
    <n v="2112"/>
    <n v="115374"/>
    <x v="0"/>
    <x v="431"/>
    <m/>
    <m/>
    <m/>
    <n v="0"/>
    <s v="CDW"/>
    <m/>
    <m/>
    <d v="2014-08-14T00:00:00"/>
    <d v="2014-08-14T00:00:00"/>
    <s v="2112-14-0013-1"/>
    <n v="300"/>
    <n v="14110"/>
    <n v="750.03"/>
    <n v="14116"/>
    <n v="750.03"/>
    <n v="0"/>
    <n v="0"/>
    <n v="70260"/>
    <n v="0"/>
    <s v="P"/>
    <m/>
    <s v="NT06974"/>
    <m/>
    <s v="Internal"/>
    <s v="A"/>
    <s v="SL"/>
    <m/>
    <s v="WCNX"/>
    <n v="0"/>
    <n v="0"/>
    <m/>
    <x v="15"/>
    <n v="8"/>
    <n v="2014"/>
    <n v="2017"/>
    <n v="2017.6666666666667"/>
    <n v="20.834166666666665"/>
    <n v="250.01"/>
    <n v="0"/>
    <n v="750.03"/>
    <n v="750.03"/>
    <x v="1"/>
    <x v="1"/>
  </r>
  <r>
    <n v="2112"/>
    <n v="114877"/>
    <x v="0"/>
    <x v="432"/>
    <n v="0"/>
    <s v="2FTRX18W22CA19954"/>
    <s v="B42374T"/>
    <n v="2002"/>
    <s v="FORD F-150"/>
    <s v="Pickup"/>
    <s v="Pick Up Truck"/>
    <d v="2004-09-13T00:00:00"/>
    <d v="2004-09-13T00:00:00"/>
    <n v="42160003"/>
    <n v="300"/>
    <n v="14040"/>
    <n v="19000"/>
    <n v="14046"/>
    <n v="19000"/>
    <n v="0"/>
    <n v="0"/>
    <n v="51260"/>
    <n v="0"/>
    <s v="P"/>
    <n v="0"/>
    <d v="2004-09-13T00:00:00"/>
    <n v="8"/>
    <s v="Internal"/>
    <s v="A"/>
    <s v="SL"/>
    <d v="2014-07-31T00:00:00"/>
    <s v="WCNX"/>
    <n v="0"/>
    <n v="19000"/>
    <m/>
    <x v="15"/>
    <n v="9"/>
    <n v="2004"/>
    <n v="2007"/>
    <n v="2007.75"/>
    <n v="527.77777777777771"/>
    <n v="6333.3333333333321"/>
    <n v="0"/>
    <n v="19000"/>
    <n v="19000"/>
    <x v="1"/>
    <x v="1"/>
  </r>
  <r>
    <n v="2112"/>
    <n v="113266"/>
    <x v="0"/>
    <x v="306"/>
    <n v="1"/>
    <m/>
    <m/>
    <n v="0"/>
    <s v="CDW"/>
    <m/>
    <m/>
    <d v="2014-04-20T00:00:00"/>
    <d v="2014-04-20T00:00:00"/>
    <s v="2000-14-0006-1"/>
    <n v="300"/>
    <n v="14110"/>
    <n v="332.17"/>
    <n v="14116"/>
    <n v="332.17"/>
    <n v="0"/>
    <n v="0"/>
    <n v="70260"/>
    <n v="0"/>
    <s v="P"/>
    <m/>
    <s v="Multiple beginning with K"/>
    <m/>
    <s v="Internal"/>
    <s v="A"/>
    <s v="SL"/>
    <m/>
    <s v="WCNX"/>
    <n v="0"/>
    <n v="0"/>
    <m/>
    <x v="15"/>
    <n v="4"/>
    <n v="2014"/>
    <n v="2017"/>
    <n v="2017.3333333333333"/>
    <n v="9.2269444444444453"/>
    <n v="110.72333333333334"/>
    <n v="0"/>
    <n v="332.17"/>
    <n v="332.17"/>
    <x v="1"/>
    <x v="1"/>
  </r>
  <r>
    <n v="2112"/>
    <n v="109828"/>
    <x v="0"/>
    <x v="309"/>
    <n v="22"/>
    <m/>
    <m/>
    <n v="0"/>
    <s v="DAY WIRELESS SYSTEMS"/>
    <m/>
    <m/>
    <d v="2013-12-31T00:00:00"/>
    <d v="2013-12-31T00:00:00"/>
    <s v="2112-13-0014-1"/>
    <n v="500"/>
    <n v="14110"/>
    <n v="30894.12"/>
    <n v="14116"/>
    <n v="30894.12"/>
    <n v="0"/>
    <n v="0"/>
    <n v="70260"/>
    <n v="0"/>
    <s v="P"/>
    <m/>
    <n v="556913"/>
    <m/>
    <s v="Internal"/>
    <s v="A"/>
    <s v="SL"/>
    <m/>
    <s v="WCNX"/>
    <n v="0"/>
    <n v="0"/>
    <m/>
    <x v="15"/>
    <n v="12"/>
    <n v="2013"/>
    <n v="2018"/>
    <n v="2019"/>
    <n v="514.90199999999993"/>
    <n v="6178.8239999999987"/>
    <n v="0"/>
    <n v="30894.12"/>
    <n v="30894.12"/>
    <x v="1"/>
    <x v="1"/>
  </r>
  <r>
    <n v="2112"/>
    <n v="109185"/>
    <x v="0"/>
    <x v="433"/>
    <n v="720"/>
    <m/>
    <m/>
    <n v="0"/>
    <s v="THUNDERBIRD PLASTICS LTD"/>
    <m/>
    <m/>
    <d v="2013-12-02T00:00:00"/>
    <d v="2013-12-02T00:00:00"/>
    <s v="2112-13-0010-1"/>
    <n v="500"/>
    <n v="14050"/>
    <n v="5853.6"/>
    <n v="14056"/>
    <n v="5853.6"/>
    <n v="0"/>
    <n v="0"/>
    <n v="54260"/>
    <n v="0"/>
    <s v="P"/>
    <m/>
    <n v="22776"/>
    <m/>
    <s v="Internal"/>
    <s v="A"/>
    <s v="SL"/>
    <m/>
    <s v="WCNX"/>
    <n v="0"/>
    <n v="0"/>
    <m/>
    <x v="15"/>
    <n v="12"/>
    <n v="2013"/>
    <n v="2018"/>
    <n v="2019"/>
    <n v="97.56"/>
    <n v="1170.72"/>
    <n v="0"/>
    <n v="5853.6"/>
    <n v="5853.6"/>
    <x v="1"/>
    <x v="1"/>
  </r>
  <r>
    <n v="2112"/>
    <n v="107394"/>
    <x v="0"/>
    <x v="325"/>
    <n v="243"/>
    <m/>
    <m/>
    <n v="0"/>
    <s v="REHRIG PACIFIC COMPANY"/>
    <m/>
    <m/>
    <d v="2013-09-13T00:00:00"/>
    <d v="2013-09-13T00:00:00"/>
    <s v="2112-13-0008-1"/>
    <n v="700"/>
    <n v="14050"/>
    <n v="11695.39"/>
    <n v="14056"/>
    <n v="11695.39"/>
    <n v="0"/>
    <n v="0"/>
    <n v="54260"/>
    <n v="0"/>
    <s v="P"/>
    <m/>
    <s v="LA181348"/>
    <m/>
    <s v="Internal"/>
    <s v="A"/>
    <s v="SL"/>
    <m/>
    <s v="WCNX"/>
    <n v="0"/>
    <n v="0"/>
    <m/>
    <x v="15"/>
    <n v="9"/>
    <n v="2013"/>
    <n v="2020"/>
    <n v="2020.75"/>
    <n v="139.23083333333332"/>
    <n v="1670.77"/>
    <n v="0"/>
    <n v="11695.39"/>
    <n v="11695.39"/>
    <x v="1"/>
    <x v="1"/>
  </r>
  <r>
    <n v="2112"/>
    <n v="107241"/>
    <x v="0"/>
    <x v="322"/>
    <n v="3"/>
    <m/>
    <m/>
    <n v="0"/>
    <s v="ENTERPRISE SALES, INC."/>
    <m/>
    <s v="30 YD RO Box"/>
    <d v="2013-08-31T00:00:00"/>
    <d v="2013-08-31T00:00:00"/>
    <s v="2112-13-0003-1"/>
    <n v="1200"/>
    <n v="14050"/>
    <n v="18364.04"/>
    <n v="14056"/>
    <n v="15175.87"/>
    <n v="3188.17"/>
    <n v="892.7"/>
    <n v="54260"/>
    <n v="127.53"/>
    <s v="P"/>
    <m/>
    <n v="5968"/>
    <m/>
    <s v="Internal"/>
    <s v="A"/>
    <s v="SL"/>
    <m/>
    <s v="WCNX"/>
    <n v="0"/>
    <n v="0"/>
    <m/>
    <x v="15"/>
    <n v="8"/>
    <n v="2013"/>
    <n v="2025"/>
    <n v="2025.6666666666667"/>
    <n v="127.52805555555557"/>
    <n v="1530.3366666666668"/>
    <n v="1530.3366666666668"/>
    <n v="13773.03"/>
    <n v="15303.366666666667"/>
    <x v="268"/>
    <x v="1"/>
  </r>
  <r>
    <n v="2112"/>
    <n v="105711"/>
    <x v="0"/>
    <x v="434"/>
    <n v="0"/>
    <s v="1FVACXS77HY21596"/>
    <s v="B27531Y"/>
    <n v="2007"/>
    <s v="Freightliner M2"/>
    <s v="GS Products"/>
    <s v="Recycle Truck"/>
    <d v="2013-07-31T00:00:00"/>
    <d v="2013-07-31T00:00:00"/>
    <s v="2112-13-0001-1"/>
    <n v="300"/>
    <n v="14040"/>
    <n v="68587.899999999994"/>
    <n v="14046"/>
    <n v="68587.899999999994"/>
    <n v="0"/>
    <n v="0"/>
    <n v="51260"/>
    <n v="0"/>
    <s v="P"/>
    <m/>
    <m/>
    <n v="229"/>
    <s v="Internal"/>
    <s v="A"/>
    <s v="SL"/>
    <m/>
    <s v="WCNX"/>
    <n v="0"/>
    <n v="0"/>
    <m/>
    <x v="15"/>
    <n v="7"/>
    <n v="2013"/>
    <n v="2016"/>
    <n v="2016.5833333333333"/>
    <n v="1905.2194444444442"/>
    <n v="22862.633333333331"/>
    <n v="0"/>
    <n v="68587.899999999994"/>
    <n v="68587.899999999994"/>
    <x v="1"/>
    <x v="1"/>
  </r>
  <r>
    <n v="2112"/>
    <n v="105399"/>
    <x v="0"/>
    <x v="435"/>
    <n v="0"/>
    <m/>
    <m/>
    <n v="0"/>
    <s v="Global Industrial"/>
    <m/>
    <m/>
    <d v="2013-05-31T00:00:00"/>
    <d v="2013-05-31T00:00:00"/>
    <s v="2112-13-0011-1"/>
    <n v="500"/>
    <n v="14070"/>
    <n v="11009.58"/>
    <n v="14076"/>
    <n v="11009.58"/>
    <n v="0"/>
    <n v="0"/>
    <n v="51260"/>
    <n v="0"/>
    <s v="P"/>
    <m/>
    <n v="10564722"/>
    <m/>
    <s v="Internal"/>
    <s v="A"/>
    <s v="SL"/>
    <m/>
    <s v="WCNX"/>
    <n v="0"/>
    <n v="0"/>
    <m/>
    <x v="15"/>
    <n v="5"/>
    <n v="2013"/>
    <n v="2018"/>
    <n v="2018.4166666666667"/>
    <n v="183.49300000000002"/>
    <n v="2201.9160000000002"/>
    <n v="0"/>
    <n v="11009.58"/>
    <n v="11009.58"/>
    <x v="1"/>
    <x v="1"/>
  </r>
  <r>
    <n v="2112"/>
    <n v="105398"/>
    <x v="0"/>
    <x v="436"/>
    <n v="0"/>
    <m/>
    <m/>
    <n v="0"/>
    <s v="Global Industrial"/>
    <m/>
    <m/>
    <d v="2013-05-31T00:00:00"/>
    <d v="2013-05-31T00:00:00"/>
    <s v="2112-13-0011-1"/>
    <n v="500"/>
    <n v="14070"/>
    <n v="12485.07"/>
    <n v="14076"/>
    <n v="12485.07"/>
    <n v="0"/>
    <n v="0"/>
    <n v="51260"/>
    <n v="0"/>
    <s v="P"/>
    <m/>
    <n v="105583841"/>
    <m/>
    <s v="Internal"/>
    <s v="A"/>
    <s v="SL"/>
    <m/>
    <s v="WCNX"/>
    <n v="0"/>
    <n v="0"/>
    <m/>
    <x v="15"/>
    <n v="5"/>
    <n v="2013"/>
    <n v="2018"/>
    <n v="2018.4166666666667"/>
    <n v="208.08450000000002"/>
    <n v="2497.0140000000001"/>
    <n v="0"/>
    <n v="12485.07"/>
    <n v="12485.07"/>
    <x v="1"/>
    <x v="1"/>
  </r>
  <r>
    <n v="2112"/>
    <n v="104373"/>
    <x v="0"/>
    <x v="321"/>
    <n v="270"/>
    <m/>
    <m/>
    <n v="0"/>
    <s v="REHRIG PACIFIC COMPANY"/>
    <m/>
    <m/>
    <d v="2013-04-23T00:00:00"/>
    <d v="2013-04-23T00:00:00"/>
    <s v="2112-13-0007-1"/>
    <n v="700"/>
    <n v="14050"/>
    <n v="9804.99"/>
    <n v="14056"/>
    <n v="9804.99"/>
    <n v="0"/>
    <n v="0"/>
    <n v="54260"/>
    <n v="0"/>
    <s v="P"/>
    <m/>
    <s v="LA177654"/>
    <m/>
    <s v="Internal"/>
    <s v="A"/>
    <s v="SL"/>
    <m/>
    <s v="WCNX"/>
    <n v="0"/>
    <n v="0"/>
    <m/>
    <x v="15"/>
    <n v="4"/>
    <n v="2013"/>
    <n v="2020"/>
    <n v="2020.3333333333333"/>
    <n v="116.72607142857142"/>
    <n v="1400.712857142857"/>
    <n v="0"/>
    <n v="9804.99"/>
    <n v="9804.99"/>
    <x v="1"/>
    <x v="1"/>
  </r>
  <r>
    <n v="2112"/>
    <n v="104367"/>
    <x v="0"/>
    <x v="25"/>
    <n v="5"/>
    <m/>
    <m/>
    <n v="0"/>
    <s v="ENTERPRISE SALES, INC."/>
    <m/>
    <s v="4 YD FEL/REL/SL Metal"/>
    <d v="2013-05-30T00:00:00"/>
    <d v="2013-05-30T00:00:00"/>
    <s v="2112-13-0005-1"/>
    <n v="1200"/>
    <n v="14050"/>
    <n v="2976.66"/>
    <n v="14056"/>
    <n v="2521.94"/>
    <n v="454.7199999999998"/>
    <n v="144.69999999999999"/>
    <n v="54260"/>
    <n v="20.67"/>
    <s v="P"/>
    <m/>
    <n v="5848"/>
    <m/>
    <s v="Internal"/>
    <s v="A"/>
    <s v="SL"/>
    <m/>
    <s v="WCNX"/>
    <n v="0"/>
    <n v="0"/>
    <m/>
    <x v="15"/>
    <n v="5"/>
    <n v="2013"/>
    <n v="2025"/>
    <n v="2025.4166666666667"/>
    <n v="20.671249999999997"/>
    <n v="248.05499999999995"/>
    <n v="248.05499999999995"/>
    <n v="2294.50875"/>
    <n v="2542.5637499999998"/>
    <x v="235"/>
    <x v="1"/>
  </r>
  <r>
    <n v="2112"/>
    <n v="104366"/>
    <x v="0"/>
    <x v="437"/>
    <n v="10"/>
    <m/>
    <m/>
    <n v="0"/>
    <s v="ENTERPRISE SALES, INC."/>
    <m/>
    <s v="3 YD FEL/REL/SL Metal"/>
    <d v="2013-05-31T00:00:00"/>
    <d v="2013-05-31T00:00:00"/>
    <s v="2112-13-0004-1"/>
    <n v="1200"/>
    <n v="14050"/>
    <n v="6005.36"/>
    <n v="14056"/>
    <n v="5087.91"/>
    <n v="917.44999999999982"/>
    <n v="291.93"/>
    <n v="54260"/>
    <n v="41.7"/>
    <s v="P"/>
    <m/>
    <n v="5847"/>
    <m/>
    <s v="Internal"/>
    <s v="A"/>
    <s v="SL"/>
    <m/>
    <s v="WCNX"/>
    <n v="0"/>
    <n v="0"/>
    <m/>
    <x v="15"/>
    <n v="5"/>
    <n v="2013"/>
    <n v="2025"/>
    <n v="2025.4166666666667"/>
    <n v="41.703888888888891"/>
    <n v="500.44666666666672"/>
    <n v="500.44666666666672"/>
    <n v="4629.1316666666662"/>
    <n v="5129.5783333333329"/>
    <x v="269"/>
    <x v="1"/>
  </r>
  <r>
    <n v="2112"/>
    <n v="102299"/>
    <x v="0"/>
    <x v="438"/>
    <n v="0"/>
    <m/>
    <m/>
    <n v="0"/>
    <s v="HOCH CONSTRUCTION"/>
    <m/>
    <m/>
    <d v="2013-01-01T00:00:00"/>
    <d v="2013-01-01T00:00:00"/>
    <s v="2112-13-0012-1"/>
    <n v="806"/>
    <n v="14090"/>
    <n v="7461.17"/>
    <n v="14096"/>
    <n v="7461.17"/>
    <n v="0"/>
    <n v="0"/>
    <n v="57260"/>
    <n v="0"/>
    <s v="P"/>
    <m/>
    <s v="12.27.12"/>
    <m/>
    <s v="Internal"/>
    <s v="A"/>
    <s v="SL"/>
    <m/>
    <s v="WCNX"/>
    <n v="0"/>
    <n v="0"/>
    <m/>
    <x v="15"/>
    <n v="1"/>
    <n v="2013"/>
    <n v="2021.06"/>
    <n v="2021.1433333333332"/>
    <n v="77.141956162117452"/>
    <n v="925.70347394540943"/>
    <n v="0"/>
    <n v="7461.17"/>
    <n v="7461.17"/>
    <x v="1"/>
    <x v="1"/>
  </r>
  <r>
    <n v="2112"/>
    <n v="99658"/>
    <x v="0"/>
    <x v="439"/>
    <n v="0"/>
    <s v="3BPZL70X9DF198816"/>
    <s v="C18081U"/>
    <n v="2013"/>
    <s v="Peterbilt 320"/>
    <s v="Labrie"/>
    <s v="Automated Sideload"/>
    <d v="2012-12-31T00:00:00"/>
    <d v="2012-12-31T00:00:00"/>
    <s v="2112-12-0001-1"/>
    <n v="1000"/>
    <n v="14040"/>
    <n v="334614.64"/>
    <n v="14046"/>
    <n v="334614.64"/>
    <n v="0"/>
    <n v="0"/>
    <n v="51260"/>
    <n v="0"/>
    <s v="P"/>
    <m/>
    <n v="4102011"/>
    <n v="884"/>
    <s v="Internal"/>
    <s v="A"/>
    <s v="SL"/>
    <m/>
    <s v="WCNX"/>
    <n v="0"/>
    <n v="0"/>
    <m/>
    <x v="15"/>
    <n v="12"/>
    <n v="2012"/>
    <n v="2022"/>
    <n v="2023"/>
    <n v="2788.4553333333333"/>
    <n v="33461.464"/>
    <n v="0"/>
    <n v="323460.81866666919"/>
    <n v="334614.64"/>
    <x v="1"/>
    <x v="1"/>
  </r>
  <r>
    <n v="2112"/>
    <n v="98261"/>
    <x v="0"/>
    <x v="325"/>
    <n v="324"/>
    <s v="(003189 - 003512)"/>
    <m/>
    <n v="0"/>
    <s v="REHRIG PACIFIC COMPANY"/>
    <m/>
    <m/>
    <d v="2012-11-01T00:00:00"/>
    <d v="2012-11-01T00:00:00"/>
    <s v="2112-12-0015-1"/>
    <n v="700"/>
    <n v="14050"/>
    <n v="14635.18"/>
    <n v="14056"/>
    <n v="14635.18"/>
    <n v="0"/>
    <n v="0"/>
    <n v="54260"/>
    <n v="0"/>
    <s v="P"/>
    <m/>
    <s v="LA173845"/>
    <m/>
    <s v="Internal"/>
    <s v="A"/>
    <s v="SL"/>
    <m/>
    <s v="WCNX"/>
    <n v="0"/>
    <n v="0"/>
    <m/>
    <x v="15"/>
    <n v="11"/>
    <n v="2012"/>
    <n v="2019"/>
    <n v="2019.9166666666667"/>
    <n v="174.22833333333335"/>
    <n v="2090.7400000000002"/>
    <n v="0"/>
    <n v="14635.18"/>
    <n v="14635.18"/>
    <x v="1"/>
    <x v="1"/>
  </r>
  <r>
    <n v="2112"/>
    <n v="97726"/>
    <x v="0"/>
    <x v="70"/>
    <n v="8"/>
    <m/>
    <m/>
    <n v="0"/>
    <s v="CAPITAL INDUSTRIES INC"/>
    <m/>
    <s v="4 YD FEL/REL/SL Metal"/>
    <d v="2012-07-15T00:00:00"/>
    <d v="2012-07-15T00:00:00"/>
    <s v="2112-12-0013-1"/>
    <n v="1200"/>
    <n v="14050"/>
    <n v="5475"/>
    <n v="14056"/>
    <n v="5056.58"/>
    <n v="418.42000000000007"/>
    <n v="266.14"/>
    <n v="54260"/>
    <n v="38.020000000000003"/>
    <s v="P"/>
    <m/>
    <n v="72635"/>
    <m/>
    <s v="Internal"/>
    <s v="A"/>
    <s v="SL"/>
    <m/>
    <s v="WCNX"/>
    <n v="0"/>
    <n v="0"/>
    <m/>
    <x v="15"/>
    <n v="7"/>
    <n v="2012"/>
    <n v="2024"/>
    <n v="2024.5833333333333"/>
    <n v="38.020833333333336"/>
    <n v="456.25"/>
    <n v="456.25"/>
    <n v="4600.5208333334022"/>
    <n v="5056.7708333334022"/>
    <x v="270"/>
    <x v="1"/>
  </r>
  <r>
    <n v="2112"/>
    <n v="97222"/>
    <x v="0"/>
    <x v="440"/>
    <n v="0"/>
    <m/>
    <m/>
    <n v="0"/>
    <m/>
    <m/>
    <m/>
    <d v="2012-10-31T00:00:00"/>
    <d v="2012-10-31T00:00:00"/>
    <s v="2112-12-0014-1"/>
    <n v="502"/>
    <n v="14090"/>
    <n v="40799.589999999997"/>
    <n v="14096"/>
    <n v="40799.589999999997"/>
    <n v="0"/>
    <n v="0"/>
    <n v="57260"/>
    <n v="0"/>
    <s v="P"/>
    <m/>
    <n v="9282012"/>
    <m/>
    <s v="Internal"/>
    <s v="A"/>
    <s v="SL"/>
    <m/>
    <s v="WCNX"/>
    <n v="0"/>
    <n v="0"/>
    <m/>
    <x v="15"/>
    <n v="10"/>
    <n v="2012"/>
    <n v="2017.02"/>
    <n v="2017.8533333333332"/>
    <n v="677.2840305444887"/>
    <n v="8127.408366533864"/>
    <n v="0"/>
    <n v="40799.589999999997"/>
    <n v="40799.589999999997"/>
    <x v="1"/>
    <x v="1"/>
  </r>
  <r>
    <n v="2112"/>
    <n v="95712"/>
    <x v="0"/>
    <x v="441"/>
    <n v="4"/>
    <m/>
    <m/>
    <n v="0"/>
    <s v="GK INDUSTRIAL REFUSE SYST"/>
    <m/>
    <s v="30 YD RO Box"/>
    <d v="2012-07-01T00:00:00"/>
    <d v="2012-07-01T00:00:00"/>
    <s v="2112-12-0012-1"/>
    <n v="1200"/>
    <n v="14060"/>
    <n v="41142.14"/>
    <n v="14066"/>
    <n v="37999.32"/>
    <n v="3142.8199999999997"/>
    <n v="1999.96"/>
    <n v="54260"/>
    <n v="285.7"/>
    <s v="P"/>
    <m/>
    <s v="0080143-IN"/>
    <m/>
    <s v="Internal"/>
    <s v="A"/>
    <s v="SL"/>
    <m/>
    <s v="WCNX"/>
    <n v="0"/>
    <n v="0"/>
    <m/>
    <x v="15"/>
    <n v="7"/>
    <n v="2012"/>
    <n v="2024"/>
    <n v="2024.5833333333333"/>
    <n v="285.70930555555555"/>
    <n v="3428.5116666666663"/>
    <n v="3428.5116666666663"/>
    <n v="34570.825972222738"/>
    <n v="37999.337638889403"/>
    <x v="271"/>
    <x v="1"/>
  </r>
  <r>
    <n v="2112"/>
    <n v="95044"/>
    <x v="0"/>
    <x v="334"/>
    <n v="0"/>
    <m/>
    <m/>
    <n v="0"/>
    <s v="CDW"/>
    <m/>
    <m/>
    <d v="2012-04-30T00:00:00"/>
    <d v="2012-04-30T00:00:00"/>
    <s v="1010-12-0021-1"/>
    <n v="300"/>
    <n v="14110"/>
    <n v="466.06"/>
    <n v="14116"/>
    <n v="466.06"/>
    <n v="0"/>
    <n v="0"/>
    <n v="70260"/>
    <n v="0"/>
    <s v="P"/>
    <m/>
    <s v="J787178"/>
    <m/>
    <s v="Internal"/>
    <s v="A"/>
    <s v="SL"/>
    <d v="2012-06-30T00:00:00"/>
    <s v="WCNX"/>
    <n v="0"/>
    <n v="25.89"/>
    <m/>
    <x v="15"/>
    <n v="4"/>
    <n v="2012"/>
    <n v="2015"/>
    <n v="2015.3333333333333"/>
    <n v="12.94611111111111"/>
    <n v="155.35333333333332"/>
    <n v="0"/>
    <n v="466.06"/>
    <n v="466.06"/>
    <x v="1"/>
    <x v="1"/>
  </r>
  <r>
    <n v="2112"/>
    <n v="94096"/>
    <x v="0"/>
    <x v="344"/>
    <n v="20"/>
    <m/>
    <m/>
    <n v="0"/>
    <s v="CAPITAL INDUSTRIES, INC."/>
    <m/>
    <s v="2 YD FEL/REL/SL Metal"/>
    <d v="2012-05-01T00:00:00"/>
    <d v="2012-05-01T00:00:00"/>
    <s v="2112-12-0005-1"/>
    <n v="1200"/>
    <n v="14050"/>
    <n v="11013.44"/>
    <n v="14056"/>
    <n v="10325.14"/>
    <n v="688.30000000000109"/>
    <n v="535.38"/>
    <n v="54260"/>
    <n v="76.48"/>
    <s v="P"/>
    <m/>
    <n v="68996"/>
    <m/>
    <s v="Internal"/>
    <s v="A"/>
    <s v="SL"/>
    <m/>
    <s v="WCNX"/>
    <n v="0"/>
    <n v="0"/>
    <m/>
    <x v="15"/>
    <n v="5"/>
    <n v="2012"/>
    <n v="2024"/>
    <n v="2024.4166666666667"/>
    <n v="76.482222222222234"/>
    <n v="917.78666666666686"/>
    <n v="917.78666666666686"/>
    <n v="9407.3133333333335"/>
    <n v="10325.1"/>
    <x v="272"/>
    <x v="1"/>
  </r>
  <r>
    <n v="2112"/>
    <n v="93240"/>
    <x v="0"/>
    <x v="442"/>
    <n v="540"/>
    <m/>
    <m/>
    <n v="0"/>
    <s v="REHRIG PACIFIC COMPANY"/>
    <m/>
    <m/>
    <d v="2012-04-03T00:00:00"/>
    <d v="2012-04-03T00:00:00"/>
    <s v="2112-12-0004-1"/>
    <n v="700"/>
    <n v="14050"/>
    <n v="18713.95"/>
    <n v="14056"/>
    <n v="18713.95"/>
    <n v="0"/>
    <n v="0"/>
    <n v="54260"/>
    <n v="0"/>
    <s v="P"/>
    <m/>
    <s v="KE73180"/>
    <m/>
    <s v="Internal"/>
    <s v="A"/>
    <s v="SL"/>
    <m/>
    <s v="WCNX"/>
    <n v="0"/>
    <n v="0"/>
    <m/>
    <x v="15"/>
    <n v="4"/>
    <n v="2012"/>
    <n v="2019"/>
    <n v="2019.3333333333333"/>
    <n v="222.78511904761908"/>
    <n v="2673.4214285714288"/>
    <n v="0"/>
    <n v="18713.95"/>
    <n v="18713.95"/>
    <x v="1"/>
    <x v="1"/>
  </r>
  <r>
    <n v="2112"/>
    <n v="93204"/>
    <x v="0"/>
    <x v="443"/>
    <n v="324"/>
    <m/>
    <m/>
    <n v="0"/>
    <s v="REHRIG PACIFIC COMPANY"/>
    <m/>
    <m/>
    <d v="2012-04-01T00:00:00"/>
    <d v="2012-04-01T00:00:00"/>
    <s v="2112-12-0003-1"/>
    <n v="700"/>
    <n v="14050"/>
    <n v="14312.06"/>
    <n v="14056"/>
    <n v="14312.06"/>
    <n v="0"/>
    <n v="0"/>
    <n v="54260"/>
    <n v="0"/>
    <s v="P"/>
    <m/>
    <s v="LA169363"/>
    <m/>
    <s v="Internal"/>
    <s v="A"/>
    <s v="SL"/>
    <m/>
    <s v="WCNX"/>
    <n v="0"/>
    <n v="0"/>
    <m/>
    <x v="15"/>
    <n v="4"/>
    <n v="2012"/>
    <n v="2019"/>
    <n v="2019.3333333333333"/>
    <n v="170.38166666666666"/>
    <n v="2044.58"/>
    <n v="0"/>
    <n v="14312.06"/>
    <n v="14312.06"/>
    <x v="1"/>
    <x v="1"/>
  </r>
  <r>
    <n v="2112"/>
    <n v="93107"/>
    <x v="0"/>
    <x v="444"/>
    <n v="0"/>
    <s v="1FTNF20577EA97142"/>
    <s v="C37810A"/>
    <n v="2007"/>
    <s v="FORD"/>
    <m/>
    <s v="Pick Up Truck"/>
    <d v="2012-01-01T00:00:00"/>
    <d v="2012-01-01T00:00:00"/>
    <m/>
    <n v="100"/>
    <n v="14040"/>
    <n v="0"/>
    <n v="14046"/>
    <n v="0"/>
    <n v="0"/>
    <n v="0"/>
    <n v="51260"/>
    <n v="0"/>
    <s v="P"/>
    <m/>
    <m/>
    <s v="TS-1"/>
    <s v="Internal"/>
    <s v="A"/>
    <s v="NO"/>
    <m/>
    <s v="WCNX"/>
    <n v="0"/>
    <n v="0"/>
    <m/>
    <x v="15"/>
    <n v="1"/>
    <n v="2012"/>
    <n v="2013"/>
    <n v="2013.0833333333333"/>
    <n v="0"/>
    <n v="0"/>
    <n v="0"/>
    <n v="0"/>
    <n v="0"/>
    <x v="1"/>
    <x v="1"/>
  </r>
  <r>
    <n v="2112"/>
    <n v="89093"/>
    <x v="0"/>
    <x v="445"/>
    <n v="0"/>
    <m/>
    <m/>
    <n v="0"/>
    <s v="CDW"/>
    <m/>
    <m/>
    <d v="2011-12-31T00:00:00"/>
    <d v="2011-12-31T00:00:00"/>
    <s v="1010-11-0048-1"/>
    <n v="500"/>
    <n v="14110"/>
    <n v="850.89"/>
    <n v="14116"/>
    <n v="850.89"/>
    <n v="0"/>
    <n v="0"/>
    <n v="70260"/>
    <n v="0"/>
    <s v="P"/>
    <m/>
    <s v="C563011"/>
    <m/>
    <s v="Internal"/>
    <s v="A"/>
    <s v="SL"/>
    <m/>
    <s v="WCNX"/>
    <n v="0"/>
    <n v="0"/>
    <m/>
    <x v="15"/>
    <n v="12"/>
    <n v="2011"/>
    <n v="2016"/>
    <n v="2017"/>
    <n v="14.1815"/>
    <n v="170.178"/>
    <n v="0"/>
    <n v="850.89"/>
    <n v="850.89"/>
    <x v="1"/>
    <x v="1"/>
  </r>
  <r>
    <n v="2112"/>
    <n v="88970"/>
    <x v="0"/>
    <x v="446"/>
    <n v="0"/>
    <m/>
    <m/>
    <n v="0"/>
    <s v="Central Welding Supply"/>
    <m/>
    <m/>
    <d v="2011-12-30T00:00:00"/>
    <d v="2011-12-30T00:00:00"/>
    <s v="2112-11-0017-1"/>
    <n v="500"/>
    <n v="14070"/>
    <n v="10539.66"/>
    <n v="14076"/>
    <n v="10539.66"/>
    <n v="0"/>
    <n v="0"/>
    <n v="51260"/>
    <n v="0"/>
    <s v="P"/>
    <m/>
    <s v="PT 67608"/>
    <m/>
    <s v="Internal"/>
    <s v="A"/>
    <s v="SL"/>
    <m/>
    <s v="WCNX"/>
    <n v="0"/>
    <n v="0"/>
    <m/>
    <x v="15"/>
    <n v="12"/>
    <n v="2011"/>
    <n v="2016"/>
    <n v="2017"/>
    <n v="175.66099999999997"/>
    <n v="2107.9319999999998"/>
    <n v="0"/>
    <n v="10539.66"/>
    <n v="10539.66"/>
    <x v="1"/>
    <x v="1"/>
  </r>
  <r>
    <n v="2112"/>
    <n v="88761"/>
    <x v="48"/>
    <x v="447"/>
    <n v="0"/>
    <s v="M062002209"/>
    <m/>
    <n v="2011"/>
    <s v="Snow Dogg"/>
    <s v="N/A"/>
    <s v="Non-Rolling Stock"/>
    <d v="2011-12-16T00:00:00"/>
    <d v="2011-12-16T00:00:00"/>
    <s v="2112-11-0016-1"/>
    <n v="300"/>
    <n v="14040"/>
    <n v="6023.6"/>
    <n v="14046"/>
    <n v="6023.6"/>
    <n v="0"/>
    <n v="0"/>
    <n v="51260"/>
    <n v="0"/>
    <s v="P"/>
    <m/>
    <s v="B94670"/>
    <m/>
    <s v="Internal"/>
    <s v="A"/>
    <s v="SL"/>
    <m/>
    <s v="WCNX"/>
    <n v="0"/>
    <n v="0"/>
    <m/>
    <x v="15"/>
    <n v="12"/>
    <n v="2011"/>
    <n v="2014"/>
    <n v="2015"/>
    <n v="167.32222222222222"/>
    <n v="2007.8666666666668"/>
    <n v="0"/>
    <n v="6023.6"/>
    <n v="6023.6"/>
    <x v="1"/>
    <x v="1"/>
  </r>
  <r>
    <n v="2112"/>
    <n v="88760"/>
    <x v="48"/>
    <x v="448"/>
    <n v="0"/>
    <s v="M062002209"/>
    <m/>
    <n v="2011"/>
    <s v="Snow Dogg"/>
    <s v="N/A"/>
    <s v="Non-Rolling Stock"/>
    <d v="2011-12-16T00:00:00"/>
    <d v="2011-12-16T00:00:00"/>
    <s v="2112-11-0016-1"/>
    <n v="300"/>
    <n v="14040"/>
    <n v="5933.4"/>
    <n v="14046"/>
    <n v="5933.4"/>
    <n v="0"/>
    <n v="0"/>
    <n v="51260"/>
    <n v="0"/>
    <s v="P"/>
    <m/>
    <s v="B94670"/>
    <m/>
    <s v="Internal"/>
    <s v="A"/>
    <s v="SL"/>
    <m/>
    <s v="WCNX"/>
    <n v="0"/>
    <n v="0"/>
    <m/>
    <x v="15"/>
    <n v="12"/>
    <n v="2011"/>
    <n v="2014"/>
    <n v="2015"/>
    <n v="164.81666666666666"/>
    <n v="1977.8"/>
    <n v="0"/>
    <n v="5933.4"/>
    <n v="5933.4"/>
    <x v="1"/>
    <x v="1"/>
  </r>
  <r>
    <n v="2112"/>
    <n v="87711"/>
    <x v="0"/>
    <x v="449"/>
    <n v="0"/>
    <s v="1FDRF3E67BEA87319"/>
    <s v="B23425U"/>
    <n v="2011"/>
    <s v="FORD F-350"/>
    <s v="Pickup"/>
    <s v="Pick Up Truck"/>
    <d v="2011-11-01T00:00:00"/>
    <d v="2011-11-01T00:00:00"/>
    <s v="2112-11-0002-1"/>
    <n v="400"/>
    <n v="14040"/>
    <n v="37526.769999999997"/>
    <n v="14046"/>
    <n v="37526.769999999997"/>
    <n v="0"/>
    <n v="0"/>
    <n v="51260"/>
    <n v="0"/>
    <s v="P"/>
    <m/>
    <s v="D3978"/>
    <n v="737"/>
    <s v="Internal"/>
    <s v="A"/>
    <s v="SL"/>
    <m/>
    <s v="WCNX"/>
    <n v="0"/>
    <n v="0"/>
    <m/>
    <x v="15"/>
    <n v="11"/>
    <n v="2011"/>
    <n v="2015"/>
    <n v="2015.9166666666667"/>
    <n v="781.80770833333327"/>
    <n v="9381.6924999999992"/>
    <n v="0"/>
    <n v="37526.769999999997"/>
    <n v="37526.769999999997"/>
    <x v="1"/>
    <x v="1"/>
  </r>
  <r>
    <n v="2112"/>
    <n v="86799"/>
    <x v="0"/>
    <x v="1"/>
    <n v="22"/>
    <m/>
    <m/>
    <n v="0"/>
    <s v="ENTERPRISE SALES, INC."/>
    <m/>
    <s v="1 YD FEL/REL/SL Metal"/>
    <d v="2011-07-27T00:00:00"/>
    <d v="2011-07-27T00:00:00"/>
    <s v="2112-11-0008-1"/>
    <n v="1200"/>
    <n v="14050"/>
    <n v="11585.79"/>
    <n v="14056"/>
    <n v="11585.79"/>
    <n v="0"/>
    <n v="563.22"/>
    <n v="54260"/>
    <n v="80.47"/>
    <s v="P"/>
    <m/>
    <n v="5016"/>
    <m/>
    <s v="Internal"/>
    <s v="A"/>
    <s v="SL"/>
    <m/>
    <s v="WCNX"/>
    <n v="0"/>
    <n v="0"/>
    <m/>
    <x v="15"/>
    <n v="7"/>
    <n v="2011"/>
    <n v="2023"/>
    <n v="2023.5833333333333"/>
    <n v="80.456875000000011"/>
    <n v="965.48250000000007"/>
    <n v="0"/>
    <n v="10700.764375000148"/>
    <n v="10700.764375000148"/>
    <x v="273"/>
    <x v="1"/>
  </r>
  <r>
    <n v="2112"/>
    <n v="85800"/>
    <x v="0"/>
    <x v="160"/>
    <n v="14"/>
    <m/>
    <m/>
    <n v="0"/>
    <s v="ENTERPRISE SALES, INC."/>
    <m/>
    <s v="1.5 YD FEL/REL/SL Metal"/>
    <d v="2011-08-05T00:00:00"/>
    <d v="2011-08-05T00:00:00"/>
    <s v="2112-11-0007-1"/>
    <n v="1200"/>
    <n v="14050"/>
    <n v="7585.83"/>
    <n v="14056"/>
    <n v="7585.83"/>
    <n v="0"/>
    <n v="368.78"/>
    <n v="54260"/>
    <n v="52.68"/>
    <s v="P"/>
    <m/>
    <n v="5015"/>
    <m/>
    <s v="Internal"/>
    <s v="A"/>
    <s v="SL"/>
    <m/>
    <s v="WCNX"/>
    <n v="0"/>
    <n v="0"/>
    <m/>
    <x v="15"/>
    <n v="8"/>
    <n v="2011"/>
    <n v="2023"/>
    <n v="2023.6666666666667"/>
    <n v="52.679375"/>
    <n v="632.15250000000003"/>
    <n v="632.15250000000003"/>
    <n v="6953.6774999999998"/>
    <n v="7585.83"/>
    <x v="1"/>
    <x v="1"/>
  </r>
  <r>
    <n v="2112"/>
    <n v="85799"/>
    <x v="0"/>
    <x v="160"/>
    <n v="3"/>
    <m/>
    <m/>
    <n v="0"/>
    <s v="ENTERPRISE SALES, INC."/>
    <m/>
    <s v="1.5 YD FEL/REL/SL Metal"/>
    <d v="2011-08-05T00:00:00"/>
    <d v="2011-08-05T00:00:00"/>
    <s v="2112-11-0006-1"/>
    <n v="1200"/>
    <n v="14050"/>
    <n v="1132.8"/>
    <n v="14056"/>
    <n v="1132.8"/>
    <n v="0"/>
    <n v="55.07"/>
    <n v="54260"/>
    <n v="7.87"/>
    <s v="P"/>
    <m/>
    <n v="5014"/>
    <m/>
    <s v="Internal"/>
    <s v="A"/>
    <s v="SL"/>
    <m/>
    <s v="WCNX"/>
    <n v="0"/>
    <n v="0"/>
    <m/>
    <x v="15"/>
    <n v="8"/>
    <n v="2011"/>
    <n v="2023"/>
    <n v="2023.6666666666667"/>
    <n v="7.8666666666666663"/>
    <n v="94.399999999999991"/>
    <n v="94.399999999999991"/>
    <n v="1038.3999999999999"/>
    <n v="1132.8"/>
    <x v="1"/>
    <x v="1"/>
  </r>
  <r>
    <n v="2112"/>
    <n v="85798"/>
    <x v="0"/>
    <x v="344"/>
    <n v="5"/>
    <m/>
    <m/>
    <n v="0"/>
    <s v="ENTERPRISE SALES, INC."/>
    <m/>
    <s v="2 YD FEL/REL/SL Metal"/>
    <d v="2011-08-05T00:00:00"/>
    <d v="2011-08-05T00:00:00"/>
    <s v="2112-11-0006-1"/>
    <n v="1200"/>
    <n v="14050"/>
    <n v="2758.78"/>
    <n v="14056"/>
    <n v="2758.78"/>
    <n v="0"/>
    <n v="134.09"/>
    <n v="54260"/>
    <n v="19.149999999999999"/>
    <s v="P"/>
    <m/>
    <n v="5014"/>
    <m/>
    <s v="Internal"/>
    <s v="A"/>
    <s v="SL"/>
    <m/>
    <s v="WCNX"/>
    <n v="0"/>
    <n v="0"/>
    <m/>
    <x v="15"/>
    <n v="8"/>
    <n v="2011"/>
    <n v="2023"/>
    <n v="2023.6666666666667"/>
    <n v="19.158194444444444"/>
    <n v="229.89833333333331"/>
    <n v="229.89833333333331"/>
    <n v="2528.8816666666671"/>
    <n v="2758.7800000000007"/>
    <x v="1"/>
    <x v="1"/>
  </r>
  <r>
    <n v="2112"/>
    <n v="85400"/>
    <x v="0"/>
    <x v="335"/>
    <n v="960"/>
    <m/>
    <m/>
    <n v="0"/>
    <s v="Thunderbird Plastics, Ltd"/>
    <m/>
    <m/>
    <d v="2011-05-15T00:00:00"/>
    <d v="2011-05-15T00:00:00"/>
    <s v="2112-11-0014-1"/>
    <n v="500"/>
    <n v="14050"/>
    <n v="6929.61"/>
    <n v="14056"/>
    <n v="6929.61"/>
    <n v="0"/>
    <n v="0"/>
    <n v="54260"/>
    <n v="0"/>
    <s v="P"/>
    <m/>
    <s v="19825; 19858"/>
    <m/>
    <s v="Internal"/>
    <s v="A"/>
    <s v="SL"/>
    <m/>
    <s v="WCNX"/>
    <n v="0"/>
    <n v="0"/>
    <m/>
    <x v="15"/>
    <n v="5"/>
    <n v="2011"/>
    <n v="2016"/>
    <n v="2016.4166666666667"/>
    <n v="115.4935"/>
    <n v="1385.922"/>
    <n v="0"/>
    <n v="6929.61"/>
    <n v="6929.61"/>
    <x v="1"/>
    <x v="1"/>
  </r>
  <r>
    <n v="2112"/>
    <n v="84694"/>
    <x v="0"/>
    <x v="450"/>
    <n v="0"/>
    <s v="1FTSW31P83EC15430"/>
    <s v="B11858P"/>
    <n v="2003"/>
    <s v="FORD F-350"/>
    <s v="Pickup"/>
    <s v="Pick Up Truck"/>
    <d v="2011-06-20T00:00:00"/>
    <d v="2011-06-20T00:00:00"/>
    <s v="2112-11-0009-1"/>
    <n v="300"/>
    <n v="14040"/>
    <n v="19747.060000000001"/>
    <n v="14046"/>
    <n v="19747.060000000001"/>
    <n v="0"/>
    <n v="0"/>
    <n v="51260"/>
    <n v="0"/>
    <s v="P"/>
    <m/>
    <s v="Pcard 06-20-11"/>
    <s v="OPS1"/>
    <s v="Internal"/>
    <s v="A"/>
    <s v="SL"/>
    <m/>
    <s v="WCNX"/>
    <n v="0"/>
    <n v="0"/>
    <m/>
    <x v="15"/>
    <n v="6"/>
    <n v="2011"/>
    <n v="2014"/>
    <n v="2014.5"/>
    <n v="548.52944444444449"/>
    <n v="6582.3533333333344"/>
    <n v="0"/>
    <n v="19747.060000000001"/>
    <n v="19747.060000000001"/>
    <x v="1"/>
    <x v="1"/>
  </r>
  <r>
    <n v="2112"/>
    <n v="80934"/>
    <x v="0"/>
    <x v="325"/>
    <n v="342"/>
    <m/>
    <m/>
    <n v="0"/>
    <s v="REHRIG PACIFIC COMPANY"/>
    <m/>
    <m/>
    <d v="2011-04-20T00:00:00"/>
    <d v="2011-04-20T00:00:00"/>
    <s v="2112-11-0005-1"/>
    <n v="700"/>
    <n v="14050"/>
    <n v="15459.36"/>
    <n v="14056"/>
    <n v="15459.36"/>
    <n v="0"/>
    <n v="0"/>
    <n v="54260"/>
    <n v="0"/>
    <s v="P"/>
    <m/>
    <s v="LA162610R"/>
    <m/>
    <s v="Internal"/>
    <s v="A"/>
    <s v="SL"/>
    <m/>
    <s v="WCNX"/>
    <n v="0"/>
    <n v="0"/>
    <m/>
    <x v="15"/>
    <n v="4"/>
    <n v="2011"/>
    <n v="2018"/>
    <n v="2018.3333333333333"/>
    <n v="184.04"/>
    <n v="2208.48"/>
    <n v="0"/>
    <n v="15459.36"/>
    <n v="15459.36"/>
    <x v="1"/>
    <x v="1"/>
  </r>
  <r>
    <n v="2112"/>
    <n v="80933"/>
    <x v="0"/>
    <x v="321"/>
    <n v="504"/>
    <m/>
    <m/>
    <n v="0"/>
    <s v="REHRIG PACIFIC COMPANY"/>
    <m/>
    <m/>
    <d v="2011-04-20T00:00:00"/>
    <d v="2011-04-20T00:00:00"/>
    <s v="2112-11-0005-1"/>
    <n v="700"/>
    <n v="14050"/>
    <n v="17127.650000000001"/>
    <n v="14056"/>
    <n v="17127.650000000001"/>
    <n v="0"/>
    <n v="0"/>
    <n v="54260"/>
    <n v="0"/>
    <s v="P"/>
    <m/>
    <s v="LA162611RR"/>
    <m/>
    <s v="Internal"/>
    <s v="A"/>
    <s v="SL"/>
    <m/>
    <s v="WCNX"/>
    <n v="0"/>
    <n v="0"/>
    <m/>
    <x v="15"/>
    <n v="4"/>
    <n v="2011"/>
    <n v="2018"/>
    <n v="2018.3333333333333"/>
    <n v="203.90059523809524"/>
    <n v="2446.8071428571429"/>
    <n v="0"/>
    <n v="17127.650000000001"/>
    <n v="17127.650000000001"/>
    <x v="1"/>
    <x v="1"/>
  </r>
  <r>
    <n v="2112"/>
    <n v="80813"/>
    <x v="0"/>
    <x v="451"/>
    <n v="0"/>
    <m/>
    <m/>
    <n v="0"/>
    <s v="SNAP ON BUSINESS SOLUTION"/>
    <m/>
    <m/>
    <d v="2011-01-01T00:00:00"/>
    <d v="2011-01-01T00:00:00"/>
    <s v="2112-10-0013-1"/>
    <n v="300"/>
    <n v="14110"/>
    <n v="1547.66"/>
    <n v="14116"/>
    <n v="1547.66"/>
    <n v="0"/>
    <n v="0"/>
    <n v="70260"/>
    <n v="0"/>
    <s v="P"/>
    <m/>
    <n v="1245414"/>
    <m/>
    <s v="Internal"/>
    <s v="A"/>
    <s v="SL"/>
    <m/>
    <s v="WCNX"/>
    <n v="0"/>
    <n v="0"/>
    <m/>
    <x v="15"/>
    <n v="1"/>
    <n v="2011"/>
    <n v="2014"/>
    <n v="2014.0833333333333"/>
    <n v="42.990555555555552"/>
    <n v="515.88666666666666"/>
    <n v="0"/>
    <n v="1547.66"/>
    <n v="1547.66"/>
    <x v="1"/>
    <x v="1"/>
  </r>
  <r>
    <n v="2112"/>
    <n v="80812"/>
    <x v="0"/>
    <x v="451"/>
    <n v="0"/>
    <m/>
    <m/>
    <n v="0"/>
    <s v="SNAP ON BUSINESS SOLUTION"/>
    <m/>
    <m/>
    <d v="2011-01-01T00:00:00"/>
    <d v="2011-01-01T00:00:00"/>
    <s v="2112-10-0013-2"/>
    <n v="300"/>
    <n v="14110"/>
    <n v="5636"/>
    <n v="14116"/>
    <n v="5636"/>
    <n v="0"/>
    <n v="0"/>
    <n v="70260"/>
    <n v="0"/>
    <s v="P"/>
    <m/>
    <n v="1245414"/>
    <m/>
    <s v="Internal"/>
    <s v="A"/>
    <s v="SL"/>
    <m/>
    <s v="WCNX"/>
    <n v="0"/>
    <n v="0"/>
    <m/>
    <x v="15"/>
    <n v="1"/>
    <n v="2011"/>
    <n v="2014"/>
    <n v="2014.0833333333333"/>
    <n v="156.55555555555557"/>
    <n v="1878.666666666667"/>
    <n v="0"/>
    <n v="5636"/>
    <n v="5636"/>
    <x v="1"/>
    <x v="1"/>
  </r>
  <r>
    <n v="2112"/>
    <n v="80055"/>
    <x v="0"/>
    <x v="452"/>
    <n v="0"/>
    <n v="603235"/>
    <m/>
    <n v="1986"/>
    <s v=" Other"/>
    <m/>
    <s v="Bucket Loader"/>
    <d v="2011-01-01T00:00:00"/>
    <d v="2011-01-01T00:00:00"/>
    <m/>
    <n v="100"/>
    <n v="14030"/>
    <n v="0"/>
    <n v="14036"/>
    <n v="0"/>
    <n v="0"/>
    <n v="0"/>
    <n v="51260"/>
    <n v="0"/>
    <s v="P"/>
    <m/>
    <m/>
    <s v="MRF-loader"/>
    <s v="Internal"/>
    <s v="A"/>
    <s v="NO"/>
    <m/>
    <s v="WCNX"/>
    <n v="0"/>
    <n v="0"/>
    <m/>
    <x v="15"/>
    <n v="1"/>
    <n v="2011"/>
    <n v="2012"/>
    <n v="2012.0833333333333"/>
    <n v="0"/>
    <n v="0"/>
    <n v="0"/>
    <n v="0"/>
    <n v="0"/>
    <x v="1"/>
    <x v="1"/>
  </r>
  <r>
    <n v="2112"/>
    <n v="76544"/>
    <x v="0"/>
    <x v="344"/>
    <n v="30"/>
    <m/>
    <m/>
    <n v="0"/>
    <s v="WASTEQUIP"/>
    <m/>
    <s v="2 YD FEL/REL/SL Metal"/>
    <d v="2010-07-01T00:00:00"/>
    <d v="2010-07-01T00:00:00"/>
    <s v="2112-10-0004-1"/>
    <n v="1200"/>
    <n v="14050"/>
    <n v="13503.93"/>
    <n v="14056"/>
    <n v="13503.93"/>
    <n v="0"/>
    <n v="0"/>
    <n v="54260"/>
    <n v="0"/>
    <s v="P"/>
    <m/>
    <n v="37201270"/>
    <m/>
    <s v="Internal"/>
    <s v="A"/>
    <s v="SL"/>
    <m/>
    <s v="WCNX"/>
    <n v="0"/>
    <n v="0"/>
    <m/>
    <x v="15"/>
    <n v="7"/>
    <n v="2010"/>
    <n v="2022"/>
    <n v="2022.5833333333333"/>
    <n v="93.77729166666667"/>
    <n v="1125.3275000000001"/>
    <n v="0"/>
    <n v="13503.93"/>
    <n v="13503.93"/>
    <x v="1"/>
    <x v="1"/>
  </r>
  <r>
    <n v="2112"/>
    <n v="75740"/>
    <x v="0"/>
    <x v="70"/>
    <n v="10"/>
    <m/>
    <m/>
    <n v="0"/>
    <s v="ENTERPRISE SALES, INC."/>
    <m/>
    <s v="4 YD FEL/REL/SL Metal"/>
    <d v="2010-07-15T00:00:00"/>
    <d v="2010-07-15T00:00:00"/>
    <s v="2112-10-0006-1"/>
    <n v="1200"/>
    <n v="14050"/>
    <n v="7100.2"/>
    <n v="14056"/>
    <n v="7100.2"/>
    <n v="0"/>
    <n v="0"/>
    <n v="54260"/>
    <n v="0"/>
    <s v="P"/>
    <m/>
    <n v="4593"/>
    <m/>
    <s v="Internal"/>
    <s v="A"/>
    <s v="SL"/>
    <m/>
    <s v="WCNX"/>
    <n v="0"/>
    <n v="0"/>
    <m/>
    <x v="15"/>
    <n v="7"/>
    <n v="2010"/>
    <n v="2022"/>
    <n v="2022.5833333333333"/>
    <n v="49.30694444444444"/>
    <n v="591.68333333333328"/>
    <n v="0"/>
    <n v="7100.2"/>
    <n v="7100.2"/>
    <x v="1"/>
    <x v="1"/>
  </r>
  <r>
    <n v="2112"/>
    <n v="75739"/>
    <x v="0"/>
    <x v="157"/>
    <n v="10"/>
    <m/>
    <m/>
    <n v="0"/>
    <s v="ENTERPRISE SALES, INC."/>
    <m/>
    <s v="6 YD FEL/REL/SL Metal"/>
    <d v="2010-07-15T00:00:00"/>
    <d v="2010-07-15T00:00:00"/>
    <s v="2112-10-0005-1"/>
    <n v="1200"/>
    <n v="14050"/>
    <n v="9457.9"/>
    <n v="14056"/>
    <n v="9457.9"/>
    <n v="0"/>
    <n v="0"/>
    <n v="54260"/>
    <n v="0"/>
    <s v="P"/>
    <m/>
    <n v="4594"/>
    <m/>
    <s v="Internal"/>
    <s v="A"/>
    <s v="SL"/>
    <m/>
    <s v="WCNX"/>
    <n v="0"/>
    <n v="0"/>
    <m/>
    <x v="15"/>
    <n v="7"/>
    <n v="2010"/>
    <n v="2022"/>
    <n v="2022.5833333333333"/>
    <n v="65.679861111111109"/>
    <n v="788.1583333333333"/>
    <n v="0"/>
    <n v="9457.9"/>
    <n v="9457.9"/>
    <x v="1"/>
    <x v="1"/>
  </r>
  <r>
    <n v="2112"/>
    <n v="75223"/>
    <x v="0"/>
    <x v="1"/>
    <n v="12"/>
    <m/>
    <m/>
    <n v="0"/>
    <s v="ENTERPRISE SALES, INC."/>
    <m/>
    <s v="1 YD FEL/REL/SL Metal"/>
    <d v="2010-06-04T00:00:00"/>
    <d v="2010-06-04T00:00:00"/>
    <s v="2112-10-0002-1"/>
    <n v="1200"/>
    <n v="14050"/>
    <n v="5547.91"/>
    <n v="14056"/>
    <n v="5547.91"/>
    <n v="0"/>
    <n v="0"/>
    <n v="54260"/>
    <n v="0"/>
    <s v="P"/>
    <m/>
    <n v="4560"/>
    <m/>
    <s v="Internal"/>
    <s v="A"/>
    <s v="SL"/>
    <m/>
    <s v="WCNX"/>
    <n v="0"/>
    <n v="0"/>
    <m/>
    <x v="15"/>
    <n v="6"/>
    <n v="2010"/>
    <n v="2022"/>
    <n v="2022.5"/>
    <n v="38.527152777777779"/>
    <n v="462.32583333333332"/>
    <n v="0"/>
    <n v="5547.91"/>
    <n v="5547.91"/>
    <x v="1"/>
    <x v="1"/>
  </r>
  <r>
    <n v="2112"/>
    <n v="75222"/>
    <x v="0"/>
    <x v="160"/>
    <n v="12"/>
    <m/>
    <m/>
    <n v="0"/>
    <s v="ENTERPRISE SALES, INC."/>
    <m/>
    <s v="1.5 YD FEL/REL/SL Metal"/>
    <d v="2010-06-04T00:00:00"/>
    <d v="2010-06-04T00:00:00"/>
    <s v="2112-10-0003-1"/>
    <n v="1200"/>
    <n v="14050"/>
    <n v="5970.67"/>
    <n v="14056"/>
    <n v="5970.67"/>
    <n v="0"/>
    <n v="0"/>
    <n v="54260"/>
    <n v="0"/>
    <s v="P"/>
    <m/>
    <n v="4561"/>
    <m/>
    <s v="Internal"/>
    <s v="A"/>
    <s v="SL"/>
    <m/>
    <s v="WCNX"/>
    <n v="0"/>
    <n v="0"/>
    <m/>
    <x v="15"/>
    <n v="6"/>
    <n v="2010"/>
    <n v="2022"/>
    <n v="2022.5"/>
    <n v="41.462986111111114"/>
    <n v="497.55583333333334"/>
    <n v="0"/>
    <n v="5970.67"/>
    <n v="5970.67"/>
    <x v="1"/>
    <x v="1"/>
  </r>
  <r>
    <n v="2112"/>
    <n v="75153"/>
    <x v="0"/>
    <x v="453"/>
    <n v="0"/>
    <m/>
    <m/>
    <n v="0"/>
    <m/>
    <m/>
    <m/>
    <d v="2010-06-18T00:00:00"/>
    <d v="2010-06-18T00:00:00"/>
    <s v="2112-9-0016-1"/>
    <n v="700"/>
    <n v="14090"/>
    <n v="7607.81"/>
    <n v="14096"/>
    <n v="7607.81"/>
    <n v="0"/>
    <n v="0"/>
    <n v="57260"/>
    <n v="0"/>
    <s v="P"/>
    <m/>
    <n v="40148"/>
    <m/>
    <s v="Internal"/>
    <s v="A"/>
    <s v="SL"/>
    <m/>
    <s v="WCNX"/>
    <n v="0"/>
    <n v="0"/>
    <m/>
    <x v="15"/>
    <n v="6"/>
    <n v="2010"/>
    <n v="2017"/>
    <n v="2017.5"/>
    <n v="90.569166666666675"/>
    <n v="1086.8300000000002"/>
    <n v="0"/>
    <n v="7607.81"/>
    <n v="7607.81"/>
    <x v="1"/>
    <x v="1"/>
  </r>
  <r>
    <n v="2112"/>
    <n v="74575"/>
    <x v="0"/>
    <x v="270"/>
    <n v="150"/>
    <m/>
    <m/>
    <n v="0"/>
    <s v="REHRIG PACIFIC COMPANY"/>
    <m/>
    <m/>
    <d v="2010-05-25T00:00:00"/>
    <d v="2010-05-25T00:00:00"/>
    <s v="2112-10-0007-1"/>
    <n v="700"/>
    <n v="14050"/>
    <n v="6649.81"/>
    <n v="14056"/>
    <n v="6649.81"/>
    <n v="0"/>
    <n v="0"/>
    <n v="54260"/>
    <n v="0"/>
    <s v="P"/>
    <m/>
    <s v="LA156206R"/>
    <m/>
    <s v="Internal"/>
    <s v="A"/>
    <s v="SL"/>
    <m/>
    <s v="WCNX"/>
    <n v="0"/>
    <n v="0"/>
    <m/>
    <x v="15"/>
    <n v="5"/>
    <n v="2010"/>
    <n v="2017"/>
    <n v="2017.4166666666667"/>
    <n v="79.164404761904763"/>
    <n v="949.97285714285715"/>
    <n v="0"/>
    <n v="6649.81"/>
    <n v="6649.81"/>
    <x v="1"/>
    <x v="1"/>
  </r>
  <r>
    <n v="2112"/>
    <n v="74574"/>
    <x v="0"/>
    <x v="270"/>
    <n v="498"/>
    <m/>
    <m/>
    <n v="0"/>
    <s v="REHRIG PACIFIC COMPANY"/>
    <m/>
    <m/>
    <d v="2010-05-25T00:00:00"/>
    <d v="2010-05-25T00:00:00"/>
    <s v="2112-10-0007-1"/>
    <n v="700"/>
    <n v="14050"/>
    <n v="22077.37"/>
    <n v="14056"/>
    <n v="22077.37"/>
    <n v="0"/>
    <n v="0"/>
    <n v="54260"/>
    <n v="0"/>
    <s v="P"/>
    <m/>
    <s v="LA156205R"/>
    <m/>
    <s v="Internal"/>
    <s v="A"/>
    <s v="SL"/>
    <m/>
    <s v="WCNX"/>
    <n v="0"/>
    <n v="0"/>
    <m/>
    <x v="15"/>
    <n v="5"/>
    <n v="2010"/>
    <n v="2017"/>
    <n v="2017.4166666666667"/>
    <n v="262.82583333333332"/>
    <n v="3153.91"/>
    <n v="0"/>
    <n v="22077.37"/>
    <n v="22077.37"/>
    <x v="1"/>
    <x v="1"/>
  </r>
  <r>
    <n v="2112"/>
    <n v="73082"/>
    <x v="0"/>
    <x v="454"/>
    <n v="0"/>
    <m/>
    <m/>
    <n v="0"/>
    <s v="Drive Cam"/>
    <m/>
    <m/>
    <d v="2009-06-22T00:00:00"/>
    <d v="2009-06-22T00:00:00"/>
    <s v="2181-9-0006-1"/>
    <n v="500"/>
    <n v="14070"/>
    <n v="1980"/>
    <n v="14076"/>
    <n v="1980"/>
    <n v="0"/>
    <n v="0"/>
    <n v="51260"/>
    <n v="0"/>
    <s v="P"/>
    <m/>
    <s v="4071795-IN"/>
    <m/>
    <s v="Internal"/>
    <s v="A"/>
    <s v="SL"/>
    <d v="2010-02-28T00:00:00"/>
    <s v="WCNX"/>
    <n v="0"/>
    <n v="264"/>
    <m/>
    <x v="15"/>
    <n v="6"/>
    <n v="2009"/>
    <n v="2014"/>
    <n v="2014.5"/>
    <n v="33"/>
    <n v="396"/>
    <n v="0"/>
    <n v="1980"/>
    <n v="1980"/>
    <x v="1"/>
    <x v="1"/>
  </r>
  <r>
    <n v="2112"/>
    <n v="70872"/>
    <x v="0"/>
    <x v="27"/>
    <n v="30"/>
    <m/>
    <m/>
    <n v="0"/>
    <s v="ENTERPRISE SALES INC"/>
    <m/>
    <s v="Grouped Containers"/>
    <d v="2009-12-11T00:00:00"/>
    <d v="2009-12-11T00:00:00"/>
    <s v="2112-9-0015-1"/>
    <n v="1200"/>
    <n v="14050"/>
    <n v="19286.53"/>
    <n v="14056"/>
    <n v="19286.53"/>
    <n v="0"/>
    <n v="0"/>
    <n v="54260"/>
    <n v="0"/>
    <s v="P"/>
    <m/>
    <n v="4379"/>
    <m/>
    <s v="Internal"/>
    <s v="A"/>
    <s v="SL"/>
    <m/>
    <s v="WCNX"/>
    <n v="0"/>
    <n v="0"/>
    <m/>
    <x v="15"/>
    <n v="12"/>
    <n v="2009"/>
    <n v="2021"/>
    <n v="2022"/>
    <n v="133.93423611111112"/>
    <n v="1607.2108333333335"/>
    <n v="0"/>
    <n v="19286.53"/>
    <n v="19286.53"/>
    <x v="1"/>
    <x v="1"/>
  </r>
  <r>
    <n v="2112"/>
    <n v="69830"/>
    <x v="0"/>
    <x v="455"/>
    <n v="0"/>
    <s v="3BPZL00X88F718369"/>
    <s v="B58292N"/>
    <n v="2008"/>
    <s v="Peterbilt 320"/>
    <s v="McNeilus"/>
    <s v="FEL Truck"/>
    <d v="2009-10-26T00:00:00"/>
    <d v="2009-10-26T00:00:00"/>
    <s v="2112-9-0014-1"/>
    <n v="800"/>
    <n v="14040"/>
    <n v="223111.7"/>
    <n v="14046"/>
    <n v="223111.7"/>
    <n v="0"/>
    <n v="0"/>
    <n v="51260"/>
    <n v="0"/>
    <s v="P"/>
    <m/>
    <n v="1151195"/>
    <n v="999"/>
    <s v="Internal"/>
    <s v="A"/>
    <s v="SL"/>
    <m/>
    <s v="WCNX"/>
    <n v="0"/>
    <n v="0"/>
    <m/>
    <x v="15"/>
    <n v="10"/>
    <n v="2009"/>
    <n v="2017"/>
    <n v="2017.8333333333333"/>
    <n v="2324.0802083333333"/>
    <n v="27888.962500000001"/>
    <n v="0"/>
    <n v="223111.7"/>
    <n v="223111.7"/>
    <x v="1"/>
    <x v="1"/>
  </r>
  <r>
    <n v="2112"/>
    <n v="68213"/>
    <x v="0"/>
    <x v="456"/>
    <n v="0"/>
    <m/>
    <m/>
    <n v="0"/>
    <s v="Drive Cam"/>
    <m/>
    <m/>
    <d v="2009-08-01T00:00:00"/>
    <d v="2009-08-01T00:00:00"/>
    <s v="2112-9-0010-1"/>
    <n v="500"/>
    <n v="14070"/>
    <n v="11897.71"/>
    <n v="14076"/>
    <n v="11897.71"/>
    <n v="0"/>
    <n v="0"/>
    <n v="51260"/>
    <n v="0"/>
    <s v="P"/>
    <m/>
    <s v="407087-1N"/>
    <m/>
    <s v="Internal"/>
    <s v="A"/>
    <s v="SL"/>
    <m/>
    <s v="WCNX"/>
    <n v="0"/>
    <n v="0"/>
    <m/>
    <x v="15"/>
    <n v="8"/>
    <n v="2009"/>
    <n v="2014"/>
    <n v="2014.6666666666667"/>
    <n v="198.29516666666666"/>
    <n v="2379.5419999999999"/>
    <n v="0"/>
    <n v="11897.71"/>
    <n v="11897.71"/>
    <x v="1"/>
    <x v="1"/>
  </r>
  <r>
    <n v="2112"/>
    <n v="68212"/>
    <x v="0"/>
    <x v="457"/>
    <n v="0"/>
    <m/>
    <m/>
    <n v="0"/>
    <s v="Drive Cam"/>
    <m/>
    <m/>
    <d v="2009-08-01T00:00:00"/>
    <d v="2009-08-01T00:00:00"/>
    <s v="2112-9-0010-1"/>
    <n v="500"/>
    <n v="14070"/>
    <n v="4000"/>
    <n v="14076"/>
    <n v="4000"/>
    <n v="0"/>
    <n v="0"/>
    <n v="51260"/>
    <n v="0"/>
    <s v="P"/>
    <m/>
    <s v="4072167-IN"/>
    <m/>
    <s v="Internal"/>
    <s v="A"/>
    <s v="SL"/>
    <m/>
    <s v="WCNX"/>
    <n v="0"/>
    <n v="0"/>
    <m/>
    <x v="15"/>
    <n v="8"/>
    <n v="2009"/>
    <n v="2014"/>
    <n v="2014.6666666666667"/>
    <n v="66.666666666666671"/>
    <n v="800"/>
    <n v="0"/>
    <n v="4000"/>
    <n v="4000"/>
    <x v="1"/>
    <x v="1"/>
  </r>
  <r>
    <n v="2112"/>
    <n v="66402"/>
    <x v="0"/>
    <x v="17"/>
    <n v="1"/>
    <m/>
    <m/>
    <n v="0"/>
    <m/>
    <m/>
    <s v="1.5 YD FEL/REL/SL Metal"/>
    <d v="2008-11-03T00:00:00"/>
    <d v="2008-11-03T00:00:00"/>
    <m/>
    <n v="1200"/>
    <n v="14050"/>
    <n v="91.5"/>
    <n v="14056"/>
    <n v="91.5"/>
    <n v="0"/>
    <n v="0"/>
    <n v="54260"/>
    <n v="0"/>
    <s v="A"/>
    <s v="LeMay Enterprises"/>
    <m/>
    <m/>
    <s v="Internal"/>
    <s v="A"/>
    <s v="SL"/>
    <d v="2022-04-30T00:00:00"/>
    <s v="WCNX"/>
    <n v="1"/>
    <n v="91.5"/>
    <m/>
    <x v="15"/>
    <n v="11"/>
    <n v="2008"/>
    <n v="2020"/>
    <n v="2020.9166666666667"/>
    <n v="0.63541666666666663"/>
    <n v="7.625"/>
    <n v="0"/>
    <n v="91.5"/>
    <n v="91.5"/>
    <x v="1"/>
    <x v="1"/>
  </r>
  <r>
    <n v="2112"/>
    <n v="63344"/>
    <x v="0"/>
    <x v="458"/>
    <n v="0"/>
    <m/>
    <m/>
    <n v="0"/>
    <s v="BOTERO &amp; SON ELECTRICAL L"/>
    <m/>
    <m/>
    <d v="2009-01-01T00:00:00"/>
    <d v="2009-01-01T00:00:00"/>
    <s v="2112-9-0009-1"/>
    <n v="810"/>
    <n v="14090"/>
    <n v="11780.91"/>
    <n v="14096"/>
    <n v="11780.91"/>
    <n v="0"/>
    <n v="0"/>
    <n v="57260"/>
    <n v="0"/>
    <s v="P"/>
    <m/>
    <n v="334"/>
    <m/>
    <s v="Internal"/>
    <s v="A"/>
    <s v="SL"/>
    <m/>
    <s v="WCNX"/>
    <n v="0"/>
    <n v="0"/>
    <m/>
    <x v="15"/>
    <n v="1"/>
    <n v="2009"/>
    <n v="2017.1"/>
    <n v="2017.1833333333332"/>
    <n v="121.20277777777778"/>
    <n v="1454.4333333333334"/>
    <n v="0"/>
    <n v="11780.91"/>
    <n v="11780.91"/>
    <x v="1"/>
    <x v="1"/>
  </r>
  <r>
    <n v="2112"/>
    <n v="60384"/>
    <x v="0"/>
    <x v="459"/>
    <n v="432"/>
    <m/>
    <m/>
    <n v="0"/>
    <s v="REHRIG PACIFIC COMPANY"/>
    <m/>
    <m/>
    <d v="2008-11-05T00:00:00"/>
    <d v="2008-11-05T00:00:00"/>
    <s v="2112-8-0008-1"/>
    <n v="700"/>
    <n v="14050"/>
    <n v="18037.759999999998"/>
    <n v="14056"/>
    <n v="18037.759999999998"/>
    <n v="0"/>
    <n v="0"/>
    <n v="54260"/>
    <n v="0"/>
    <s v="P"/>
    <m/>
    <s v="LA144678"/>
    <m/>
    <s v="Internal"/>
    <s v="A"/>
    <s v="SL"/>
    <m/>
    <s v="WCNX"/>
    <n v="0"/>
    <n v="0"/>
    <m/>
    <x v="15"/>
    <n v="11"/>
    <n v="2008"/>
    <n v="2015"/>
    <n v="2015.9166666666667"/>
    <n v="214.73523809523806"/>
    <n v="2576.8228571428567"/>
    <n v="0"/>
    <n v="18037.759999999998"/>
    <n v="18037.759999999998"/>
    <x v="1"/>
    <x v="1"/>
  </r>
  <r>
    <n v="2112"/>
    <n v="59448"/>
    <x v="0"/>
    <x v="460"/>
    <n v="387"/>
    <m/>
    <m/>
    <n v="0"/>
    <s v="REHRIG PACIFIC COMPANY"/>
    <m/>
    <m/>
    <d v="2008-08-26T00:00:00"/>
    <d v="2008-08-26T00:00:00"/>
    <s v="2112-8-0008-1"/>
    <n v="700"/>
    <n v="14050"/>
    <n v="21340.99"/>
    <n v="14056"/>
    <n v="21340.99"/>
    <n v="0"/>
    <n v="0"/>
    <n v="54260"/>
    <n v="0"/>
    <s v="P"/>
    <m/>
    <s v="LA143313"/>
    <m/>
    <s v="Internal"/>
    <s v="A"/>
    <s v="SL"/>
    <m/>
    <s v="WCNX"/>
    <n v="0"/>
    <n v="0"/>
    <m/>
    <x v="15"/>
    <n v="8"/>
    <n v="2008"/>
    <n v="2015"/>
    <n v="2015.6666666666667"/>
    <n v="254.0594047619048"/>
    <n v="3048.7128571428575"/>
    <n v="0"/>
    <n v="21340.99"/>
    <n v="21340.99"/>
    <x v="1"/>
    <x v="1"/>
  </r>
  <r>
    <n v="2112"/>
    <n v="59446"/>
    <x v="0"/>
    <x v="68"/>
    <n v="16"/>
    <m/>
    <m/>
    <n v="0"/>
    <s v="ENTERPRISE SALES, INC."/>
    <m/>
    <s v="2 YD FEL/REL/SL Metal"/>
    <d v="2008-09-04T00:00:00"/>
    <d v="2008-09-04T00:00:00"/>
    <s v="2112-8-0001-1"/>
    <n v="1200"/>
    <n v="14050"/>
    <n v="9335.41"/>
    <n v="14056"/>
    <n v="9335.41"/>
    <n v="0"/>
    <n v="0"/>
    <n v="54260"/>
    <n v="0"/>
    <s v="P"/>
    <m/>
    <n v="3941"/>
    <m/>
    <s v="Internal"/>
    <s v="A"/>
    <s v="SL"/>
    <m/>
    <s v="WCNX"/>
    <n v="0"/>
    <n v="0"/>
    <m/>
    <x v="15"/>
    <n v="9"/>
    <n v="2008"/>
    <n v="2020"/>
    <n v="2020.75"/>
    <n v="64.829236111111115"/>
    <n v="777.95083333333332"/>
    <n v="0"/>
    <n v="9335.41"/>
    <n v="9335.41"/>
    <x v="1"/>
    <x v="1"/>
  </r>
  <r>
    <n v="2112"/>
    <n v="56441"/>
    <x v="0"/>
    <x v="461"/>
    <n v="0"/>
    <m/>
    <m/>
    <n v="0"/>
    <m/>
    <m/>
    <m/>
    <d v="2008-03-31T00:00:00"/>
    <d v="2008-03-31T00:00:00"/>
    <s v="07-2112-402"/>
    <n v="907"/>
    <n v="14090"/>
    <n v="4465.25"/>
    <n v="14096"/>
    <n v="4465.25"/>
    <n v="0"/>
    <n v="0"/>
    <n v="57260"/>
    <n v="0"/>
    <s v="P"/>
    <n v="0"/>
    <m/>
    <m/>
    <s v="Internal"/>
    <s v="A"/>
    <s v="SL"/>
    <d v="2008-03-31T00:00:00"/>
    <s v="WCNX"/>
    <n v="0"/>
    <n v="0"/>
    <m/>
    <x v="15"/>
    <n v="3"/>
    <n v="2008"/>
    <n v="2017.07"/>
    <n v="2017.32"/>
    <n v="41.025817714075707"/>
    <n v="492.30981256890846"/>
    <n v="0"/>
    <n v="4465.25"/>
    <n v="4465.25"/>
    <x v="1"/>
    <x v="1"/>
  </r>
  <r>
    <n v="2112"/>
    <n v="54086"/>
    <x v="0"/>
    <x v="462"/>
    <n v="0"/>
    <n v="0"/>
    <m/>
    <n v="0"/>
    <m/>
    <m/>
    <m/>
    <d v="2007-11-01T00:00:00"/>
    <d v="2007-11-01T00:00:00"/>
    <s v="07-2112-403"/>
    <n v="300"/>
    <n v="14110"/>
    <n v="2041.01"/>
    <n v="14116"/>
    <n v="2041.01"/>
    <n v="0"/>
    <n v="0"/>
    <n v="70260"/>
    <n v="0"/>
    <s v="C"/>
    <m/>
    <s v="HJH7777"/>
    <m/>
    <s v="Internal"/>
    <s v="A"/>
    <s v="SL"/>
    <m/>
    <s v="WCNX"/>
    <n v="0"/>
    <n v="0"/>
    <m/>
    <x v="15"/>
    <n v="11"/>
    <n v="2007"/>
    <n v="2010"/>
    <n v="2010.9166666666667"/>
    <n v="56.694722222222225"/>
    <n v="680.3366666666667"/>
    <n v="0"/>
    <n v="2041.01"/>
    <n v="2041.01"/>
    <x v="1"/>
    <x v="1"/>
  </r>
  <r>
    <n v="2112"/>
    <n v="53129"/>
    <x v="0"/>
    <x v="270"/>
    <n v="486"/>
    <n v="0"/>
    <m/>
    <n v="0"/>
    <s v="REHRIG PACIFIC COMPANY"/>
    <m/>
    <m/>
    <d v="2007-08-22T00:00:00"/>
    <d v="2007-08-22T00:00:00"/>
    <s v="07-2112-018"/>
    <n v="700"/>
    <n v="14050"/>
    <n v="24141.59"/>
    <n v="14056"/>
    <n v="24141.59"/>
    <n v="0"/>
    <n v="0"/>
    <n v="54260"/>
    <n v="0"/>
    <s v="P"/>
    <m/>
    <s v="LA135109"/>
    <m/>
    <s v="Internal"/>
    <s v="A"/>
    <s v="SL"/>
    <m/>
    <s v="WCNX"/>
    <n v="0"/>
    <n v="0"/>
    <m/>
    <x v="15"/>
    <n v="8"/>
    <n v="2007"/>
    <n v="2014"/>
    <n v="2014.6666666666667"/>
    <n v="287.39988095238095"/>
    <n v="3448.7985714285714"/>
    <n v="0"/>
    <n v="24141.59"/>
    <n v="24141.59"/>
    <x v="1"/>
    <x v="1"/>
  </r>
  <r>
    <n v="2112"/>
    <n v="53128"/>
    <x v="0"/>
    <x v="459"/>
    <n v="270"/>
    <n v="0"/>
    <m/>
    <n v="0"/>
    <s v="REHRIG PACIFIC COMPANY"/>
    <m/>
    <m/>
    <d v="2007-08-22T00:00:00"/>
    <d v="2007-08-22T00:00:00"/>
    <s v="07-2112-018"/>
    <n v="700"/>
    <n v="14050"/>
    <n v="10871.56"/>
    <n v="14056"/>
    <n v="10871.56"/>
    <n v="0"/>
    <n v="0"/>
    <n v="54260"/>
    <n v="0"/>
    <s v="P"/>
    <m/>
    <s v="LA135105"/>
    <m/>
    <s v="Internal"/>
    <s v="A"/>
    <s v="SL"/>
    <m/>
    <s v="WCNX"/>
    <n v="0"/>
    <n v="0"/>
    <m/>
    <x v="15"/>
    <n v="8"/>
    <n v="2007"/>
    <n v="2014"/>
    <n v="2014.6666666666667"/>
    <n v="129.42333333333332"/>
    <n v="1553.08"/>
    <n v="0"/>
    <n v="10871.56"/>
    <n v="10871.56"/>
    <x v="1"/>
    <x v="1"/>
  </r>
  <r>
    <n v="2112"/>
    <n v="51722"/>
    <x v="0"/>
    <x v="463"/>
    <n v="17"/>
    <n v="0"/>
    <m/>
    <n v="0"/>
    <s v="ENTERPRISE SALES, INC."/>
    <m/>
    <s v="1 YD FEL/REL/SL Metal"/>
    <d v="2007-06-11T00:00:00"/>
    <d v="2007-06-11T00:00:00"/>
    <s v="07-2112-005"/>
    <n v="1200"/>
    <n v="14050"/>
    <n v="7334.34"/>
    <n v="14056"/>
    <n v="7334.34"/>
    <n v="0"/>
    <n v="0"/>
    <n v="54260"/>
    <n v="0"/>
    <s v="P"/>
    <m/>
    <n v="3407"/>
    <m/>
    <s v="Internal"/>
    <s v="A"/>
    <s v="SL"/>
    <m/>
    <s v="WCNX"/>
    <n v="0"/>
    <n v="0"/>
    <m/>
    <x v="15"/>
    <n v="6"/>
    <n v="2007"/>
    <n v="2019"/>
    <n v="2019.5"/>
    <n v="50.932916666666671"/>
    <n v="611.19500000000005"/>
    <n v="0"/>
    <n v="7334.34"/>
    <n v="7334.34"/>
    <x v="1"/>
    <x v="1"/>
  </r>
  <r>
    <n v="2112"/>
    <n v="51721"/>
    <x v="0"/>
    <x v="464"/>
    <n v="40"/>
    <n v="0"/>
    <m/>
    <n v="0"/>
    <s v="ENTERPRISE SALES, INC."/>
    <m/>
    <s v="2 YD FEL/REL/SL Metal"/>
    <d v="2007-06-11T00:00:00"/>
    <d v="2007-06-11T00:00:00"/>
    <s v="07-2112-004"/>
    <n v="1200"/>
    <n v="14050"/>
    <n v="18037.759999999998"/>
    <n v="14056"/>
    <n v="18037.759999999998"/>
    <n v="0"/>
    <n v="0"/>
    <n v="54260"/>
    <n v="0"/>
    <s v="P"/>
    <m/>
    <n v="3406"/>
    <m/>
    <s v="Internal"/>
    <s v="A"/>
    <s v="SL"/>
    <m/>
    <s v="WCNX"/>
    <n v="0"/>
    <n v="0"/>
    <m/>
    <x v="15"/>
    <n v="6"/>
    <n v="2007"/>
    <n v="2019"/>
    <n v="2019.5"/>
    <n v="125.26222222222221"/>
    <n v="1503.1466666666665"/>
    <n v="0"/>
    <n v="18037.759999999998"/>
    <n v="18037.759999999998"/>
    <x v="1"/>
    <x v="1"/>
  </r>
  <r>
    <n v="2112"/>
    <n v="51720"/>
    <x v="0"/>
    <x v="465"/>
    <n v="2"/>
    <n v="0"/>
    <m/>
    <n v="0"/>
    <s v="ENTERPRISE SALES, INC."/>
    <m/>
    <s v="30 YD RO Box"/>
    <d v="2007-06-11T00:00:00"/>
    <d v="2007-06-11T00:00:00"/>
    <s v="07-2112-003"/>
    <n v="1200"/>
    <n v="14050"/>
    <n v="4241.4799999999996"/>
    <n v="14056"/>
    <n v="4241.4799999999996"/>
    <n v="0"/>
    <n v="0"/>
    <n v="54260"/>
    <n v="0"/>
    <s v="P"/>
    <m/>
    <n v="3405"/>
    <m/>
    <s v="Internal"/>
    <s v="A"/>
    <s v="SL"/>
    <d v="2022-04-30T00:00:00"/>
    <s v="WCNX"/>
    <n v="3"/>
    <n v="4241.4799999999996"/>
    <m/>
    <x v="15"/>
    <n v="6"/>
    <n v="2007"/>
    <n v="2019"/>
    <n v="2019.5"/>
    <n v="29.45472222222222"/>
    <n v="353.45666666666665"/>
    <n v="0"/>
    <n v="4241.4799999999996"/>
    <n v="4241.4799999999996"/>
    <x v="1"/>
    <x v="1"/>
  </r>
  <r>
    <n v="2112"/>
    <n v="48634"/>
    <x v="0"/>
    <x v="466"/>
    <n v="0"/>
    <n v="0"/>
    <m/>
    <n v="0"/>
    <s v="DESERT MICRO"/>
    <m/>
    <m/>
    <d v="2007-01-23T00:00:00"/>
    <d v="2007-01-23T00:00:00"/>
    <s v="07-2112-400"/>
    <n v="300"/>
    <n v="14110"/>
    <n v="875"/>
    <n v="14116"/>
    <n v="875"/>
    <n v="0"/>
    <n v="0"/>
    <n v="70260"/>
    <n v="0"/>
    <s v="P"/>
    <m/>
    <n v="9248"/>
    <m/>
    <s v="Internal"/>
    <s v="A"/>
    <s v="SL"/>
    <m/>
    <s v="WCNX"/>
    <n v="0"/>
    <n v="0"/>
    <m/>
    <x v="15"/>
    <n v="1"/>
    <n v="2007"/>
    <n v="2010"/>
    <n v="2010.0833333333333"/>
    <n v="24.305555555555557"/>
    <n v="291.66666666666669"/>
    <n v="0"/>
    <n v="875"/>
    <n v="875"/>
    <x v="1"/>
    <x v="1"/>
  </r>
  <r>
    <n v="2112"/>
    <n v="48175"/>
    <x v="0"/>
    <x v="467"/>
    <n v="18"/>
    <n v="0"/>
    <m/>
    <n v="0"/>
    <s v="CAPITAL INDUSTRIES, INC."/>
    <m/>
    <s v="1 YD FEL/REL/SL Metal"/>
    <d v="2007-01-01T00:00:00"/>
    <d v="2007-01-01T00:00:00"/>
    <s v="07-2112-401"/>
    <n v="1108"/>
    <n v="14050"/>
    <n v="7872.77"/>
    <n v="14056"/>
    <n v="7872.77"/>
    <n v="0"/>
    <n v="0"/>
    <n v="54260"/>
    <n v="0"/>
    <s v="P"/>
    <m/>
    <n v="14870"/>
    <m/>
    <s v="Internal"/>
    <s v="A"/>
    <s v="SL"/>
    <m/>
    <s v="WCNX"/>
    <n v="0"/>
    <n v="0"/>
    <m/>
    <x v="15"/>
    <n v="1"/>
    <n v="2007"/>
    <n v="2018.08"/>
    <n v="2018.1633333333332"/>
    <n v="59.21156738868833"/>
    <n v="710.53880866425993"/>
    <n v="0"/>
    <n v="7872.77"/>
    <n v="7872.77"/>
    <x v="1"/>
    <x v="1"/>
  </r>
  <r>
    <n v="2112"/>
    <n v="48174"/>
    <x v="0"/>
    <x v="468"/>
    <n v="18"/>
    <n v="0"/>
    <m/>
    <n v="0"/>
    <s v="CAPITAL INDUSTRIES, INC."/>
    <m/>
    <s v="1.5 YD FEL/REL/SL Metal"/>
    <d v="2007-01-01T00:00:00"/>
    <d v="2007-01-01T00:00:00"/>
    <s v="07-2112-401"/>
    <n v="1108"/>
    <n v="14050"/>
    <n v="8068.61"/>
    <n v="14056"/>
    <n v="8068.61"/>
    <n v="0"/>
    <n v="0"/>
    <n v="54260"/>
    <n v="0"/>
    <s v="P"/>
    <m/>
    <n v="14868"/>
    <m/>
    <s v="Internal"/>
    <s v="A"/>
    <s v="SL"/>
    <m/>
    <s v="WCNX"/>
    <n v="0"/>
    <n v="0"/>
    <m/>
    <x v="15"/>
    <n v="1"/>
    <n v="2007"/>
    <n v="2018.08"/>
    <n v="2018.1633333333332"/>
    <n v="60.684491576413954"/>
    <n v="728.21389891696742"/>
    <n v="0"/>
    <n v="8068.61"/>
    <n v="8068.61"/>
    <x v="1"/>
    <x v="1"/>
  </r>
  <r>
    <n v="2112"/>
    <n v="45672"/>
    <x v="0"/>
    <x v="469"/>
    <n v="20"/>
    <n v="0"/>
    <m/>
    <n v="0"/>
    <s v="CAPITAL INDUSTRIES, INC."/>
    <m/>
    <s v="2 YD FEL/REL/SL Metal"/>
    <d v="2006-06-30T00:00:00"/>
    <d v="2006-06-30T00:00:00"/>
    <s v="06-2112-011"/>
    <n v="1200"/>
    <n v="14050"/>
    <n v="9465.6"/>
    <n v="14056"/>
    <n v="9465.6"/>
    <n v="0"/>
    <n v="0"/>
    <n v="54260"/>
    <n v="0"/>
    <s v="P"/>
    <m/>
    <n v="-12890"/>
    <m/>
    <s v="Internal"/>
    <s v="A"/>
    <s v="SL"/>
    <m/>
    <s v="WCNX"/>
    <n v="0"/>
    <n v="0"/>
    <m/>
    <x v="15"/>
    <n v="6"/>
    <n v="2006"/>
    <n v="2018"/>
    <n v="2018.5"/>
    <n v="65.733333333333334"/>
    <n v="788.8"/>
    <n v="0"/>
    <n v="9465.6"/>
    <n v="9465.6"/>
    <x v="1"/>
    <x v="1"/>
  </r>
  <r>
    <n v="2112"/>
    <n v="45215"/>
    <x v="46"/>
    <x v="470"/>
    <n v="0"/>
    <s v="1NPFL40XX7D675713"/>
    <m/>
    <n v="2006"/>
    <m/>
    <m/>
    <s v="R/O Truck"/>
    <d v="2006-06-09T00:00:00"/>
    <d v="2006-06-09T00:00:00"/>
    <s v="06-2112-002"/>
    <n v="1000"/>
    <n v="14040"/>
    <n v="53093.31"/>
    <n v="14046"/>
    <n v="53093.31"/>
    <n v="0"/>
    <n v="0"/>
    <n v="51260"/>
    <n v="0"/>
    <s v="P"/>
    <m/>
    <s v="0022181-IN"/>
    <m/>
    <s v="Internal"/>
    <s v="A"/>
    <s v="SL"/>
    <m/>
    <s v="WCNX"/>
    <n v="0"/>
    <n v="0"/>
    <m/>
    <x v="15"/>
    <n v="6"/>
    <n v="2006"/>
    <n v="2016"/>
    <n v="2016.5"/>
    <n v="442.44425000000001"/>
    <n v="5309.3310000000001"/>
    <n v="0"/>
    <n v="53093.31"/>
    <n v="53093.31"/>
    <x v="1"/>
    <x v="1"/>
  </r>
  <r>
    <n v="2112"/>
    <n v="44543"/>
    <x v="0"/>
    <x v="471"/>
    <n v="28"/>
    <n v="0"/>
    <m/>
    <n v="0"/>
    <s v="CAPITAL INDUSTRIES, INC."/>
    <m/>
    <s v="2 YD FEL/REL/SL Metal"/>
    <d v="2006-05-17T00:00:00"/>
    <d v="2006-05-17T00:00:00"/>
    <s v="06-2112-005"/>
    <n v="1200"/>
    <n v="14050"/>
    <n v="13251.84"/>
    <n v="14056"/>
    <n v="13251.84"/>
    <n v="0"/>
    <n v="0"/>
    <n v="54260"/>
    <n v="0"/>
    <s v="P"/>
    <m/>
    <n v="10767"/>
    <m/>
    <s v="Internal"/>
    <s v="A"/>
    <s v="SL"/>
    <m/>
    <s v="WCNX"/>
    <n v="0"/>
    <n v="0"/>
    <m/>
    <x v="15"/>
    <n v="5"/>
    <n v="2006"/>
    <n v="2018"/>
    <n v="2018.4166666666667"/>
    <n v="92.026666666666657"/>
    <n v="1104.32"/>
    <n v="0"/>
    <n v="13251.84"/>
    <n v="13251.84"/>
    <x v="1"/>
    <x v="1"/>
  </r>
  <r>
    <n v="2112"/>
    <n v="44542"/>
    <x v="0"/>
    <x v="472"/>
    <n v="3"/>
    <n v="0"/>
    <m/>
    <n v="0"/>
    <s v="CAPITAL INDUSTRIES, INC."/>
    <m/>
    <s v="1.5 YD FEL/REL/SL Metal"/>
    <d v="2006-05-17T00:00:00"/>
    <d v="2006-05-17T00:00:00"/>
    <s v="06-2112-005"/>
    <n v="1200"/>
    <n v="14050"/>
    <n v="1344.77"/>
    <n v="14056"/>
    <n v="1344.77"/>
    <n v="0"/>
    <n v="0"/>
    <n v="54260"/>
    <n v="0"/>
    <s v="P"/>
    <m/>
    <n v="10784"/>
    <m/>
    <s v="Internal"/>
    <s v="A"/>
    <s v="SL"/>
    <m/>
    <s v="WCNX"/>
    <n v="0"/>
    <n v="0"/>
    <m/>
    <x v="15"/>
    <n v="5"/>
    <n v="2006"/>
    <n v="2018"/>
    <n v="2018.4166666666667"/>
    <n v="9.3386805555555554"/>
    <n v="112.06416666666667"/>
    <n v="0"/>
    <n v="1344.77"/>
    <n v="1344.77"/>
    <x v="1"/>
    <x v="1"/>
  </r>
  <r>
    <n v="2112"/>
    <n v="42965"/>
    <x v="0"/>
    <x v="473"/>
    <n v="0"/>
    <s v="1NPFL40XX7D675713"/>
    <s v="C37646S"/>
    <n v="2007"/>
    <s v="Peterbilt 378"/>
    <s v="Cascon"/>
    <s v="R/O Truck"/>
    <d v="2006-04-18T00:00:00"/>
    <d v="2006-04-18T00:00:00"/>
    <s v="06-2112-002"/>
    <n v="1000"/>
    <n v="14040"/>
    <n v="124344.51"/>
    <n v="14046"/>
    <n v="124344.51"/>
    <n v="0"/>
    <n v="0"/>
    <n v="51260"/>
    <n v="0"/>
    <s v="P"/>
    <m/>
    <n v="675713"/>
    <n v="442"/>
    <s v="Internal"/>
    <s v="A"/>
    <s v="SL"/>
    <m/>
    <s v="WCNX"/>
    <n v="0"/>
    <n v="0"/>
    <m/>
    <x v="15"/>
    <n v="4"/>
    <n v="2006"/>
    <n v="2016"/>
    <n v="2016.3333333333333"/>
    <n v="1036.20425"/>
    <n v="12434.451000000001"/>
    <n v="0"/>
    <n v="124344.51"/>
    <n v="124344.51"/>
    <x v="1"/>
    <x v="1"/>
  </r>
  <r>
    <n v="2112"/>
    <n v="38628"/>
    <x v="0"/>
    <x v="474"/>
    <n v="2"/>
    <m/>
    <m/>
    <n v="0"/>
    <s v="Capital Industries, Inc."/>
    <m/>
    <s v="25 YD RO Box"/>
    <d v="2005-11-14T00:00:00"/>
    <d v="2005-11-14T00:00:00"/>
    <n v="52112008"/>
    <n v="1200"/>
    <n v="14050"/>
    <n v="10325.120000000001"/>
    <n v="14056"/>
    <n v="10325.120000000001"/>
    <n v="0"/>
    <n v="0"/>
    <n v="54260"/>
    <n v="0"/>
    <s v="P"/>
    <n v="0"/>
    <n v="4866"/>
    <m/>
    <s v="Internal"/>
    <s v="A"/>
    <s v="SL"/>
    <m/>
    <s v="WCNX"/>
    <n v="0"/>
    <n v="0"/>
    <m/>
    <x v="15"/>
    <n v="11"/>
    <n v="2005"/>
    <n v="2017"/>
    <n v="2017.9166666666667"/>
    <n v="71.702222222222233"/>
    <n v="860.42666666666673"/>
    <n v="0"/>
    <n v="10325.120000000001"/>
    <n v="10325.120000000001"/>
    <x v="1"/>
    <x v="1"/>
  </r>
  <r>
    <n v="2112"/>
    <n v="38160"/>
    <x v="0"/>
    <x v="475"/>
    <n v="500"/>
    <m/>
    <m/>
    <n v="0"/>
    <s v="Rehrig Pacific Company"/>
    <m/>
    <m/>
    <d v="2005-09-26T00:00:00"/>
    <d v="2005-09-26T00:00:00"/>
    <n v="52112009"/>
    <n v="700"/>
    <n v="14050"/>
    <n v="23707.95"/>
    <n v="14056"/>
    <n v="23707.95"/>
    <n v="0"/>
    <n v="0"/>
    <n v="54260"/>
    <n v="0"/>
    <s v="P"/>
    <n v="0"/>
    <s v="LA121349"/>
    <m/>
    <s v="Internal"/>
    <s v="A"/>
    <s v="SL"/>
    <m/>
    <s v="WCNX"/>
    <n v="0"/>
    <n v="0"/>
    <m/>
    <x v="15"/>
    <n v="9"/>
    <n v="2005"/>
    <n v="2012"/>
    <n v="2012.75"/>
    <n v="282.23750000000001"/>
    <n v="3386.8500000000004"/>
    <n v="0"/>
    <n v="23707.95"/>
    <n v="23707.95"/>
    <x v="1"/>
    <x v="1"/>
  </r>
  <r>
    <n v="2112"/>
    <n v="38159"/>
    <x v="0"/>
    <x v="476"/>
    <n v="300"/>
    <m/>
    <m/>
    <n v="0"/>
    <s v="Rehrig Pacific Company"/>
    <m/>
    <m/>
    <d v="2005-10-16T00:00:00"/>
    <d v="2005-10-16T00:00:00"/>
    <n v="52112009"/>
    <n v="700"/>
    <n v="14050"/>
    <n v="12062.45"/>
    <n v="14056"/>
    <n v="12062.45"/>
    <n v="0"/>
    <n v="0"/>
    <n v="54260"/>
    <n v="0"/>
    <s v="P"/>
    <n v="0"/>
    <s v="KA76718"/>
    <m/>
    <s v="Internal"/>
    <s v="A"/>
    <s v="SL"/>
    <m/>
    <s v="WCNX"/>
    <n v="0"/>
    <n v="0"/>
    <m/>
    <x v="15"/>
    <n v="10"/>
    <n v="2005"/>
    <n v="2012"/>
    <n v="2012.8333333333333"/>
    <n v="143.60059523809525"/>
    <n v="1723.207142857143"/>
    <n v="0"/>
    <n v="12062.45"/>
    <n v="12062.45"/>
    <x v="1"/>
    <x v="1"/>
  </r>
  <r>
    <n v="2112"/>
    <n v="36402"/>
    <x v="0"/>
    <x v="477"/>
    <n v="25"/>
    <m/>
    <m/>
    <n v="0"/>
    <s v="Enterprise Sales, Inc"/>
    <m/>
    <s v="2 YD FEL/REL/SL Metal"/>
    <d v="2005-07-22T00:00:00"/>
    <d v="2005-07-22T00:00:00"/>
    <n v="52112006"/>
    <n v="1200"/>
    <n v="14050"/>
    <n v="11815.6"/>
    <n v="14056"/>
    <n v="11815.6"/>
    <n v="0"/>
    <n v="0"/>
    <n v="54260"/>
    <n v="0"/>
    <s v="P"/>
    <n v="0"/>
    <n v="2534"/>
    <m/>
    <s v="Internal"/>
    <s v="A"/>
    <s v="SL"/>
    <m/>
    <s v="WCNX"/>
    <n v="0"/>
    <n v="0"/>
    <m/>
    <x v="15"/>
    <n v="7"/>
    <n v="2005"/>
    <n v="2017"/>
    <n v="2017.5833333333333"/>
    <n v="82.052777777777777"/>
    <n v="984.63333333333333"/>
    <n v="0"/>
    <n v="11815.6"/>
    <n v="11815.6"/>
    <x v="1"/>
    <x v="1"/>
  </r>
  <r>
    <n v="2112"/>
    <n v="36401"/>
    <x v="0"/>
    <x v="384"/>
    <n v="25"/>
    <m/>
    <m/>
    <n v="0"/>
    <s v="Enterprise Sales, Inc"/>
    <m/>
    <s v="1 YD FEL/REL/SL Metal"/>
    <d v="2005-07-22T00:00:00"/>
    <d v="2005-07-22T00:00:00"/>
    <n v="52112006"/>
    <n v="1200"/>
    <n v="14050"/>
    <n v="10758.7"/>
    <n v="14056"/>
    <n v="10758.7"/>
    <n v="0"/>
    <n v="0"/>
    <n v="54260"/>
    <n v="0"/>
    <s v="P"/>
    <n v="0"/>
    <n v="2534"/>
    <m/>
    <s v="Internal"/>
    <s v="A"/>
    <s v="SL"/>
    <m/>
    <s v="WCNX"/>
    <n v="0"/>
    <n v="0"/>
    <m/>
    <x v="15"/>
    <n v="7"/>
    <n v="2005"/>
    <n v="2017"/>
    <n v="2017.5833333333333"/>
    <n v="74.713194444444454"/>
    <n v="896.55833333333339"/>
    <n v="0"/>
    <n v="10758.7"/>
    <n v="10758.7"/>
    <x v="1"/>
    <x v="1"/>
  </r>
  <r>
    <n v="2112"/>
    <n v="35114"/>
    <x v="0"/>
    <x v="478"/>
    <n v="40"/>
    <m/>
    <m/>
    <n v="0"/>
    <s v="Capital Industries, Inc."/>
    <m/>
    <s v="1 YD FEL/REL/SL Metal"/>
    <d v="2005-06-23T00:00:00"/>
    <d v="2005-06-23T00:00:00"/>
    <n v="52112004"/>
    <n v="1200"/>
    <n v="14050"/>
    <n v="18017.28"/>
    <n v="14056"/>
    <n v="18017.28"/>
    <n v="0"/>
    <n v="0"/>
    <n v="54260"/>
    <n v="0"/>
    <s v="P"/>
    <n v="0"/>
    <n v="158943"/>
    <m/>
    <s v="Internal"/>
    <s v="A"/>
    <s v="SL"/>
    <m/>
    <s v="WCNX"/>
    <n v="0"/>
    <n v="0"/>
    <m/>
    <x v="15"/>
    <n v="6"/>
    <n v="2005"/>
    <n v="2017"/>
    <n v="2017.5"/>
    <n v="125.11999999999999"/>
    <n v="1501.4399999999998"/>
    <n v="0"/>
    <n v="18017.28"/>
    <n v="18017.28"/>
    <x v="1"/>
    <x v="1"/>
  </r>
  <r>
    <n v="2112"/>
    <n v="35113"/>
    <x v="0"/>
    <x v="479"/>
    <n v="40"/>
    <m/>
    <m/>
    <n v="0"/>
    <s v="Capital Industries, Inc."/>
    <m/>
    <s v="2 YD FEL/REL/SL Metal"/>
    <d v="2005-05-27T00:00:00"/>
    <d v="2005-05-27T00:00:00"/>
    <n v="52112004"/>
    <n v="1200"/>
    <n v="14050"/>
    <n v="18931.2"/>
    <n v="14056"/>
    <n v="18931.2"/>
    <n v="0"/>
    <n v="0"/>
    <n v="54260"/>
    <n v="0"/>
    <s v="P"/>
    <n v="0"/>
    <n v="158205"/>
    <m/>
    <s v="Internal"/>
    <s v="A"/>
    <s v="SL"/>
    <m/>
    <s v="WCNX"/>
    <n v="0"/>
    <n v="0"/>
    <m/>
    <x v="15"/>
    <n v="5"/>
    <n v="2005"/>
    <n v="2017"/>
    <n v="2017.4166666666667"/>
    <n v="131.46666666666667"/>
    <n v="1577.6"/>
    <n v="0"/>
    <n v="18931.2"/>
    <n v="18931.2"/>
    <x v="1"/>
    <x v="1"/>
  </r>
  <r>
    <n v="2112"/>
    <n v="35111"/>
    <x v="0"/>
    <x v="480"/>
    <n v="16"/>
    <m/>
    <m/>
    <n v="0"/>
    <s v="Enterprise Sales, Inc"/>
    <m/>
    <s v="2 YD FEL/REL/SL Metal"/>
    <d v="2005-05-16T00:00:00"/>
    <d v="2005-05-16T00:00:00"/>
    <n v="52112007"/>
    <n v="1200"/>
    <n v="14050"/>
    <n v="7561.98"/>
    <n v="14056"/>
    <n v="7561.98"/>
    <n v="0"/>
    <n v="0"/>
    <n v="54260"/>
    <n v="0"/>
    <s v="P"/>
    <n v="0"/>
    <n v="2477"/>
    <m/>
    <s v="Internal"/>
    <s v="A"/>
    <s v="SL"/>
    <m/>
    <s v="WCNX"/>
    <n v="0"/>
    <n v="0"/>
    <m/>
    <x v="15"/>
    <n v="5"/>
    <n v="2005"/>
    <n v="2017"/>
    <n v="2017.4166666666667"/>
    <n v="52.513749999999995"/>
    <n v="630.16499999999996"/>
    <n v="0"/>
    <n v="7561.98"/>
    <n v="7561.98"/>
    <x v="1"/>
    <x v="1"/>
  </r>
  <r>
    <n v="2112"/>
    <n v="35109"/>
    <x v="0"/>
    <x v="481"/>
    <n v="2"/>
    <m/>
    <m/>
    <n v="0"/>
    <s v="Enterprise Sales, Inc"/>
    <m/>
    <s v="Non Audit Assets"/>
    <d v="2005-05-16T00:00:00"/>
    <d v="2005-05-16T00:00:00"/>
    <n v="52112003"/>
    <n v="1200"/>
    <n v="14050"/>
    <n v="1691.04"/>
    <n v="14056"/>
    <n v="1691.04"/>
    <n v="0"/>
    <n v="0"/>
    <n v="54260"/>
    <n v="0"/>
    <s v="P"/>
    <n v="0"/>
    <n v="2474"/>
    <m/>
    <s v="Internal"/>
    <s v="A"/>
    <s v="SL"/>
    <m/>
    <s v="WCNX"/>
    <n v="0"/>
    <n v="0"/>
    <m/>
    <x v="15"/>
    <n v="5"/>
    <n v="2005"/>
    <n v="2017"/>
    <n v="2017.4166666666667"/>
    <n v="11.743333333333332"/>
    <n v="140.91999999999999"/>
    <n v="0"/>
    <n v="1691.04"/>
    <n v="1691.04"/>
    <x v="1"/>
    <x v="1"/>
  </r>
  <r>
    <n v="2112"/>
    <n v="35108"/>
    <x v="0"/>
    <x v="481"/>
    <n v="3"/>
    <m/>
    <m/>
    <n v="0"/>
    <s v="Enterprise Sales, Inc"/>
    <m/>
    <s v="Non Audit Assets"/>
    <d v="2005-05-16T00:00:00"/>
    <d v="2005-05-16T00:00:00"/>
    <n v="52112003"/>
    <n v="1200"/>
    <n v="14050"/>
    <n v="2536.56"/>
    <n v="14056"/>
    <n v="2536.56"/>
    <n v="0"/>
    <n v="0"/>
    <n v="54260"/>
    <n v="0"/>
    <s v="P"/>
    <n v="0"/>
    <n v="2474"/>
    <m/>
    <s v="Internal"/>
    <s v="A"/>
    <s v="SL"/>
    <m/>
    <s v="WCNX"/>
    <n v="0"/>
    <n v="0"/>
    <m/>
    <x v="15"/>
    <n v="5"/>
    <n v="2005"/>
    <n v="2017"/>
    <n v="2017.4166666666667"/>
    <n v="17.614999999999998"/>
    <n v="211.38"/>
    <n v="0"/>
    <n v="2536.56"/>
    <n v="2536.56"/>
    <x v="1"/>
    <x v="1"/>
  </r>
  <r>
    <n v="2112"/>
    <n v="32127"/>
    <x v="49"/>
    <x v="482"/>
    <n v="0"/>
    <m/>
    <m/>
    <n v="0"/>
    <s v="DesertMicro"/>
    <m/>
    <m/>
    <d v="2005-03-16T00:00:00"/>
    <d v="2005-03-16T00:00:00"/>
    <s v="U052112013"/>
    <n v="300"/>
    <n v="14110"/>
    <n v="875"/>
    <n v="14116"/>
    <n v="875"/>
    <n v="0"/>
    <n v="0"/>
    <n v="70260"/>
    <n v="0"/>
    <s v="P"/>
    <n v="0"/>
    <s v="7786 (JE# 212263)"/>
    <m/>
    <s v="Internal"/>
    <s v="A"/>
    <s v="SL"/>
    <m/>
    <s v="WCNX"/>
    <n v="0"/>
    <n v="0"/>
    <m/>
    <x v="15"/>
    <n v="3"/>
    <n v="2005"/>
    <n v="2008"/>
    <n v="2008.25"/>
    <n v="24.305555555555557"/>
    <n v="291.66666666666669"/>
    <n v="0"/>
    <n v="875"/>
    <n v="875"/>
    <x v="1"/>
    <x v="1"/>
  </r>
  <r>
    <n v="2112"/>
    <n v="28941"/>
    <x v="0"/>
    <x v="384"/>
    <n v="25"/>
    <m/>
    <m/>
    <n v="0"/>
    <s v="Enterprise Sales, Inc"/>
    <m/>
    <s v="1 YD FEL/REL/SL Metal"/>
    <d v="2004-08-30T00:00:00"/>
    <d v="2004-08-30T00:00:00"/>
    <n v="42112005"/>
    <n v="1200"/>
    <n v="14050"/>
    <n v="11083.9"/>
    <n v="14056"/>
    <n v="11083.9"/>
    <n v="0"/>
    <n v="0"/>
    <n v="54260"/>
    <n v="0"/>
    <s v="P"/>
    <n v="0"/>
    <n v="2196"/>
    <m/>
    <s v="Internal"/>
    <s v="A"/>
    <s v="SL"/>
    <m/>
    <s v="WCNX"/>
    <n v="0"/>
    <n v="0"/>
    <m/>
    <x v="15"/>
    <n v="8"/>
    <n v="2004"/>
    <n v="2016"/>
    <n v="2016.6666666666667"/>
    <n v="76.97152777777778"/>
    <n v="923.6583333333333"/>
    <n v="0"/>
    <n v="11083.9"/>
    <n v="11083.9"/>
    <x v="1"/>
    <x v="1"/>
  </r>
  <r>
    <n v="2112"/>
    <n v="27610"/>
    <x v="49"/>
    <x v="483"/>
    <n v="0"/>
    <m/>
    <m/>
    <n v="0"/>
    <s v="Progressive Data Systems,"/>
    <m/>
    <m/>
    <d v="2004-03-31T00:00:00"/>
    <d v="2004-03-31T00:00:00"/>
    <n v="42112023"/>
    <n v="500"/>
    <n v="14110"/>
    <n v="1280"/>
    <n v="14116"/>
    <n v="1280"/>
    <n v="0"/>
    <n v="0"/>
    <n v="70260"/>
    <n v="0"/>
    <s v="P"/>
    <n v="0"/>
    <n v="403629"/>
    <m/>
    <s v="Internal"/>
    <s v="A"/>
    <s v="SL"/>
    <m/>
    <s v="WCNX"/>
    <n v="0"/>
    <n v="0"/>
    <m/>
    <x v="15"/>
    <n v="3"/>
    <n v="2004"/>
    <n v="2009"/>
    <n v="2009.25"/>
    <n v="21.333333333333332"/>
    <n v="256"/>
    <n v="0"/>
    <n v="1280"/>
    <n v="1280"/>
    <x v="1"/>
    <x v="1"/>
  </r>
  <r>
    <n v="2112"/>
    <n v="27609"/>
    <x v="49"/>
    <x v="483"/>
    <n v="0"/>
    <m/>
    <m/>
    <n v="0"/>
    <s v="Progressive Data Systems,"/>
    <m/>
    <m/>
    <d v="2004-02-29T00:00:00"/>
    <d v="2004-02-29T00:00:00"/>
    <n v="42112023"/>
    <n v="500"/>
    <n v="14110"/>
    <n v="1000"/>
    <n v="14116"/>
    <n v="1000"/>
    <n v="0"/>
    <n v="0"/>
    <n v="70260"/>
    <n v="0"/>
    <s v="P"/>
    <n v="0"/>
    <n v="402627"/>
    <m/>
    <s v="Internal"/>
    <s v="A"/>
    <s v="SL"/>
    <m/>
    <s v="WCNX"/>
    <n v="0"/>
    <n v="0"/>
    <m/>
    <x v="15"/>
    <n v="2"/>
    <n v="2004"/>
    <n v="2009"/>
    <n v="2009.1666666666667"/>
    <n v="16.666666666666668"/>
    <n v="200"/>
    <n v="0"/>
    <n v="1000"/>
    <n v="1000"/>
    <x v="1"/>
    <x v="1"/>
  </r>
  <r>
    <n v="2112"/>
    <n v="26305"/>
    <x v="0"/>
    <x v="484"/>
    <n v="1"/>
    <m/>
    <m/>
    <n v="0"/>
    <s v="Enterprise Sales, Inc"/>
    <m/>
    <s v="25 YD RO Box"/>
    <d v="2004-06-30T00:00:00"/>
    <d v="2004-06-30T00:00:00"/>
    <s v="U042112026"/>
    <n v="1200"/>
    <n v="14050"/>
    <n v="6796.68"/>
    <n v="14056"/>
    <n v="6796.68"/>
    <n v="0"/>
    <n v="0"/>
    <n v="54260"/>
    <n v="0"/>
    <s v="P"/>
    <n v="0"/>
    <n v="2118"/>
    <m/>
    <s v="Internal"/>
    <s v="A"/>
    <s v="SL"/>
    <d v="2023-05-31T00:00:00"/>
    <s v="WCNX"/>
    <n v="2"/>
    <n v="6796.68"/>
    <m/>
    <x v="15"/>
    <n v="6"/>
    <n v="2004"/>
    <n v="2016"/>
    <n v="2016.5"/>
    <n v="47.199166666666663"/>
    <n v="566.39"/>
    <n v="0"/>
    <n v="6796.68"/>
    <n v="6796.68"/>
    <x v="1"/>
    <x v="1"/>
  </r>
  <r>
    <n v="2112"/>
    <n v="26304"/>
    <x v="0"/>
    <x v="279"/>
    <n v="30"/>
    <m/>
    <m/>
    <n v="0"/>
    <s v="Capital Industries, inc."/>
    <m/>
    <s v="1 YD FEL/REL/SL Metal"/>
    <d v="2004-06-30T00:00:00"/>
    <d v="2004-06-30T00:00:00"/>
    <n v="42112010"/>
    <n v="1200"/>
    <n v="14050"/>
    <n v="11424"/>
    <n v="14056"/>
    <n v="11424"/>
    <n v="0"/>
    <n v="0"/>
    <n v="54260"/>
    <n v="0"/>
    <s v="P"/>
    <n v="0"/>
    <n v="149608"/>
    <m/>
    <s v="Internal"/>
    <s v="A"/>
    <s v="SL"/>
    <m/>
    <s v="WCNX"/>
    <n v="0"/>
    <n v="0"/>
    <m/>
    <x v="15"/>
    <n v="6"/>
    <n v="2004"/>
    <n v="2016"/>
    <n v="2016.5"/>
    <n v="79.333333333333329"/>
    <n v="952"/>
    <n v="0"/>
    <n v="11424"/>
    <n v="11424"/>
    <x v="1"/>
    <x v="1"/>
  </r>
  <r>
    <n v="2112"/>
    <n v="26301"/>
    <x v="0"/>
    <x v="485"/>
    <n v="4"/>
    <m/>
    <m/>
    <n v="0"/>
    <s v="Capital Industries, inc."/>
    <m/>
    <s v="3 YD FEL/REL/SL Metal"/>
    <d v="2004-05-28T00:00:00"/>
    <d v="2004-05-28T00:00:00"/>
    <n v="42112017"/>
    <n v="1200"/>
    <n v="14050"/>
    <n v="2110.7199999999998"/>
    <n v="14056"/>
    <n v="2110.7199999999998"/>
    <n v="0"/>
    <n v="0"/>
    <n v="54260"/>
    <n v="0"/>
    <s v="P"/>
    <n v="0"/>
    <n v="148763"/>
    <m/>
    <s v="Internal"/>
    <s v="A"/>
    <s v="SL"/>
    <m/>
    <s v="WCNX"/>
    <n v="0"/>
    <n v="0"/>
    <m/>
    <x v="15"/>
    <n v="5"/>
    <n v="2004"/>
    <n v="2016"/>
    <n v="2016.4166666666667"/>
    <n v="14.657777777777776"/>
    <n v="175.89333333333332"/>
    <n v="0"/>
    <n v="2110.7199999999998"/>
    <n v="2110.7199999999998"/>
    <x v="1"/>
    <x v="1"/>
  </r>
  <r>
    <n v="2112"/>
    <n v="26300"/>
    <x v="0"/>
    <x v="486"/>
    <n v="4"/>
    <m/>
    <m/>
    <n v="0"/>
    <s v="Capital Industries, inc."/>
    <m/>
    <s v="6 YD FEL/REL/SL Metal"/>
    <d v="2004-05-28T00:00:00"/>
    <d v="2004-05-28T00:00:00"/>
    <n v="42112019"/>
    <n v="1200"/>
    <n v="14050"/>
    <n v="2881.02"/>
    <n v="14056"/>
    <n v="2881.02"/>
    <n v="0"/>
    <n v="0"/>
    <n v="54260"/>
    <n v="0"/>
    <s v="P"/>
    <n v="0"/>
    <n v="148848"/>
    <m/>
    <s v="Internal"/>
    <s v="A"/>
    <s v="SL"/>
    <m/>
    <s v="WCNX"/>
    <n v="0"/>
    <n v="0"/>
    <m/>
    <x v="15"/>
    <n v="5"/>
    <n v="2004"/>
    <n v="2016"/>
    <n v="2016.4166666666667"/>
    <n v="20.007083333333334"/>
    <n v="240.08500000000001"/>
    <n v="0"/>
    <n v="2881.02"/>
    <n v="2881.02"/>
    <x v="1"/>
    <x v="1"/>
  </r>
  <r>
    <n v="2112"/>
    <n v="26299"/>
    <x v="0"/>
    <x v="68"/>
    <n v="38"/>
    <m/>
    <m/>
    <n v="0"/>
    <s v="Capital Industries, inc."/>
    <m/>
    <s v="2 YD FEL/REL/SL Metal"/>
    <d v="2004-05-28T00:00:00"/>
    <d v="2004-05-28T00:00:00"/>
    <n v="42112012"/>
    <n v="1200"/>
    <n v="14050"/>
    <n v="17190.400000000001"/>
    <n v="14056"/>
    <n v="17190.400000000001"/>
    <n v="0"/>
    <n v="0"/>
    <n v="54260"/>
    <n v="0"/>
    <s v="P"/>
    <n v="0"/>
    <n v="148875"/>
    <m/>
    <s v="Internal"/>
    <s v="A"/>
    <s v="SL"/>
    <m/>
    <s v="WCNX"/>
    <n v="0"/>
    <n v="0"/>
    <m/>
    <x v="15"/>
    <n v="5"/>
    <n v="2004"/>
    <n v="2016"/>
    <n v="2016.4166666666667"/>
    <n v="119.37777777777779"/>
    <n v="1432.5333333333335"/>
    <n v="0"/>
    <n v="17190.400000000001"/>
    <n v="17190.400000000001"/>
    <x v="1"/>
    <x v="1"/>
  </r>
  <r>
    <n v="2112"/>
    <n v="26025"/>
    <x v="0"/>
    <x v="487"/>
    <n v="0"/>
    <n v="2112"/>
    <m/>
    <n v="2004"/>
    <s v="Six Robblees' Inc."/>
    <s v="Other"/>
    <m/>
    <d v="2004-03-01T00:00:00"/>
    <d v="2004-03-01T00:00:00"/>
    <n v="42112008"/>
    <n v="500"/>
    <n v="14070"/>
    <n v="2165.12"/>
    <n v="14076"/>
    <n v="2165.12"/>
    <n v="0"/>
    <n v="0"/>
    <n v="51260"/>
    <n v="0"/>
    <s v="P"/>
    <n v="0"/>
    <s v="2-275266"/>
    <m/>
    <s v="Internal"/>
    <s v="A"/>
    <s v="SL"/>
    <m/>
    <s v="WCNX"/>
    <n v="0"/>
    <n v="0"/>
    <m/>
    <x v="15"/>
    <n v="3"/>
    <n v="2004"/>
    <n v="2009"/>
    <n v="2009.25"/>
    <n v="36.085333333333331"/>
    <n v="433.024"/>
    <n v="0"/>
    <n v="2165.12"/>
    <n v="2165.12"/>
    <x v="1"/>
    <x v="1"/>
  </r>
  <r>
    <n v="2112"/>
    <n v="25375"/>
    <x v="0"/>
    <x v="488"/>
    <n v="162"/>
    <s v="6801364 THRU 6801525"/>
    <m/>
    <n v="0"/>
    <s v="Otto Environmental System"/>
    <m/>
    <m/>
    <d v="2004-05-21T00:00:00"/>
    <d v="2004-05-21T00:00:00"/>
    <n v="42112014"/>
    <n v="700"/>
    <n v="14050"/>
    <n v="6336.43"/>
    <n v="14056"/>
    <n v="6336.43"/>
    <n v="0"/>
    <n v="0"/>
    <n v="54260"/>
    <n v="0"/>
    <s v="P"/>
    <n v="0"/>
    <s v="ELOY 531"/>
    <m/>
    <s v="Internal"/>
    <s v="A"/>
    <s v="SL"/>
    <m/>
    <s v="WCNX"/>
    <n v="0"/>
    <n v="0"/>
    <m/>
    <x v="15"/>
    <n v="5"/>
    <n v="2004"/>
    <n v="2011"/>
    <n v="2011.4166666666667"/>
    <n v="75.433690476190478"/>
    <n v="905.20428571428579"/>
    <n v="0"/>
    <n v="6336.43"/>
    <n v="6336.43"/>
    <x v="1"/>
    <x v="1"/>
  </r>
  <r>
    <n v="2112"/>
    <n v="25374"/>
    <x v="0"/>
    <x v="489"/>
    <n v="588"/>
    <s v="6800776 THRU 6801363"/>
    <m/>
    <n v="0"/>
    <s v="Otto Environmental System"/>
    <m/>
    <m/>
    <d v="2004-05-18T00:00:00"/>
    <d v="2004-05-18T00:00:00"/>
    <n v="42112014"/>
    <n v="700"/>
    <n v="14050"/>
    <n v="22998.89"/>
    <n v="14056"/>
    <n v="22998.89"/>
    <n v="0"/>
    <n v="0"/>
    <n v="54260"/>
    <n v="0"/>
    <s v="P"/>
    <n v="0"/>
    <s v="ELOY 520"/>
    <m/>
    <s v="Internal"/>
    <s v="A"/>
    <s v="SL"/>
    <m/>
    <s v="WCNX"/>
    <n v="0"/>
    <n v="0"/>
    <m/>
    <x v="15"/>
    <n v="5"/>
    <n v="2004"/>
    <n v="2011"/>
    <n v="2011.4166666666667"/>
    <n v="273.7963095238095"/>
    <n v="3285.5557142857142"/>
    <n v="0"/>
    <n v="22998.89"/>
    <n v="22998.89"/>
    <x v="1"/>
    <x v="1"/>
  </r>
  <r>
    <n v="2112"/>
    <n v="25026"/>
    <x v="0"/>
    <x v="490"/>
    <n v="0"/>
    <n v="2112"/>
    <m/>
    <n v="2004"/>
    <s v="CAMCAL Inc"/>
    <s v="FrontLine-OnRoad"/>
    <m/>
    <d v="2004-04-19T00:00:00"/>
    <d v="2004-04-19T00:00:00"/>
    <n v="42112007"/>
    <n v="500"/>
    <n v="14070"/>
    <n v="3007.11"/>
    <n v="14076"/>
    <n v="3007.11"/>
    <n v="0"/>
    <n v="0"/>
    <n v="51260"/>
    <n v="0"/>
    <s v="P"/>
    <n v="0"/>
    <s v="IVC00838"/>
    <m/>
    <s v="Internal"/>
    <s v="A"/>
    <s v="SL"/>
    <m/>
    <s v="WCNX"/>
    <n v="0"/>
    <n v="0"/>
    <m/>
    <x v="15"/>
    <n v="4"/>
    <n v="2004"/>
    <n v="2009"/>
    <n v="2009.3333333333333"/>
    <n v="50.118500000000004"/>
    <n v="601.42200000000003"/>
    <n v="0"/>
    <n v="3007.11"/>
    <n v="3007.11"/>
    <x v="1"/>
    <x v="1"/>
  </r>
  <r>
    <n v="2112"/>
    <n v="24184"/>
    <x v="49"/>
    <x v="491"/>
    <n v="0"/>
    <m/>
    <m/>
    <n v="0"/>
    <s v="Progressive Data Systems,"/>
    <m/>
    <m/>
    <d v="2004-01-31T00:00:00"/>
    <d v="2004-01-31T00:00:00"/>
    <n v="42112023"/>
    <n v="500"/>
    <n v="14110"/>
    <n v="960"/>
    <n v="14116"/>
    <n v="960"/>
    <n v="0"/>
    <n v="0"/>
    <n v="70260"/>
    <n v="0"/>
    <s v="A"/>
    <n v="0"/>
    <n v="401611"/>
    <m/>
    <s v="Internal"/>
    <s v="A"/>
    <s v="SL"/>
    <m/>
    <s v="WCNX"/>
    <n v="0"/>
    <n v="0"/>
    <m/>
    <x v="15"/>
    <n v="1"/>
    <n v="2004"/>
    <n v="2009"/>
    <n v="2009.0833333333333"/>
    <n v="16"/>
    <n v="192"/>
    <n v="0"/>
    <n v="960"/>
    <n v="960"/>
    <x v="1"/>
    <x v="1"/>
  </r>
  <r>
    <n v="2112"/>
    <n v="24183"/>
    <x v="49"/>
    <x v="491"/>
    <n v="0"/>
    <m/>
    <m/>
    <n v="0"/>
    <s v="Progressive Data Systems,"/>
    <m/>
    <m/>
    <d v="2004-01-16T00:00:00"/>
    <d v="2004-01-16T00:00:00"/>
    <n v="42112023"/>
    <n v="500"/>
    <n v="14110"/>
    <n v="2200"/>
    <n v="14116"/>
    <n v="2200"/>
    <n v="0"/>
    <n v="0"/>
    <n v="70260"/>
    <n v="0"/>
    <s v="A"/>
    <n v="0"/>
    <n v="401609"/>
    <m/>
    <s v="Internal"/>
    <s v="A"/>
    <s v="SL"/>
    <m/>
    <s v="WCNX"/>
    <n v="0"/>
    <n v="0"/>
    <m/>
    <x v="15"/>
    <n v="1"/>
    <n v="2004"/>
    <n v="2009"/>
    <n v="2009.0833333333333"/>
    <n v="36.666666666666664"/>
    <n v="440"/>
    <n v="0"/>
    <n v="2200"/>
    <n v="2200"/>
    <x v="1"/>
    <x v="1"/>
  </r>
  <r>
    <n v="2112"/>
    <n v="24182"/>
    <x v="49"/>
    <x v="491"/>
    <n v="0"/>
    <m/>
    <m/>
    <n v="0"/>
    <s v="Progressive Data Systems,"/>
    <m/>
    <m/>
    <d v="2004-01-31T00:00:00"/>
    <d v="2004-01-31T00:00:00"/>
    <n v="42112023"/>
    <n v="500"/>
    <n v="14110"/>
    <n v="640"/>
    <n v="14116"/>
    <n v="640"/>
    <n v="0"/>
    <n v="0"/>
    <n v="70260"/>
    <n v="0"/>
    <s v="A"/>
    <n v="0"/>
    <n v="401612"/>
    <m/>
    <s v="Internal"/>
    <s v="A"/>
    <s v="SL"/>
    <m/>
    <s v="WCNX"/>
    <n v="0"/>
    <n v="0"/>
    <m/>
    <x v="15"/>
    <n v="1"/>
    <n v="2004"/>
    <n v="2009"/>
    <n v="2009.0833333333333"/>
    <n v="10.666666666666666"/>
    <n v="128"/>
    <n v="0"/>
    <n v="640"/>
    <n v="640"/>
    <x v="1"/>
    <x v="1"/>
  </r>
  <r>
    <n v="2112"/>
    <n v="23536"/>
    <x v="49"/>
    <x v="492"/>
    <n v="0"/>
    <m/>
    <m/>
    <n v="0"/>
    <s v="NetVersant"/>
    <m/>
    <m/>
    <d v="2004-01-15T00:00:00"/>
    <d v="2004-01-15T00:00:00"/>
    <n v="42112022"/>
    <n v="500"/>
    <n v="14090"/>
    <n v="5051.95"/>
    <n v="14096"/>
    <n v="5051.95"/>
    <n v="0"/>
    <n v="0"/>
    <n v="57260"/>
    <n v="0"/>
    <s v="P"/>
    <m/>
    <s v="111-4983"/>
    <m/>
    <s v="Internal"/>
    <s v="A"/>
    <s v="SL"/>
    <m/>
    <s v="WCNX"/>
    <n v="0"/>
    <n v="0"/>
    <m/>
    <x v="15"/>
    <n v="1"/>
    <n v="2004"/>
    <n v="2009"/>
    <n v="2009.0833333333333"/>
    <n v="84.19916666666667"/>
    <n v="1010.3900000000001"/>
    <n v="0"/>
    <n v="5051.95"/>
    <n v="5051.95"/>
    <x v="1"/>
    <x v="1"/>
  </r>
  <r>
    <n v="2112"/>
    <n v="23440"/>
    <x v="49"/>
    <x v="492"/>
    <n v="0"/>
    <m/>
    <m/>
    <n v="0"/>
    <s v="Insight Technology Soluti"/>
    <m/>
    <m/>
    <d v="2004-01-01T00:00:00"/>
    <d v="2004-01-01T00:00:00"/>
    <n v="42112022"/>
    <n v="500"/>
    <n v="14090"/>
    <n v="760"/>
    <n v="14096"/>
    <n v="760"/>
    <n v="0"/>
    <n v="0"/>
    <n v="57260"/>
    <n v="0"/>
    <s v="P"/>
    <m/>
    <n v="2036"/>
    <m/>
    <s v="Internal"/>
    <s v="A"/>
    <s v="SL"/>
    <m/>
    <s v="WCNX"/>
    <n v="0"/>
    <n v="0"/>
    <m/>
    <x v="15"/>
    <n v="1"/>
    <n v="2004"/>
    <n v="2009"/>
    <n v="2009.0833333333333"/>
    <n v="12.666666666666666"/>
    <n v="152"/>
    <n v="0"/>
    <n v="760"/>
    <n v="760"/>
    <x v="1"/>
    <x v="1"/>
  </r>
  <r>
    <n v="2112"/>
    <n v="23391"/>
    <x v="49"/>
    <x v="493"/>
    <n v="0"/>
    <m/>
    <m/>
    <n v="0"/>
    <s v="Quest"/>
    <m/>
    <m/>
    <d v="2004-01-01T00:00:00"/>
    <d v="2004-01-01T00:00:00"/>
    <n v="42112023"/>
    <n v="500"/>
    <n v="14110"/>
    <n v="3391.76"/>
    <n v="14116"/>
    <n v="3391.76"/>
    <n v="0"/>
    <n v="0"/>
    <n v="70260"/>
    <n v="0"/>
    <s v="P"/>
    <m/>
    <m/>
    <m/>
    <s v="Internal"/>
    <s v="A"/>
    <s v="SL"/>
    <m/>
    <s v="WCNX"/>
    <n v="0"/>
    <n v="0"/>
    <m/>
    <x v="15"/>
    <n v="1"/>
    <n v="2004"/>
    <n v="2009"/>
    <n v="2009.0833333333333"/>
    <n v="56.529333333333341"/>
    <n v="678.35200000000009"/>
    <n v="0"/>
    <n v="3391.76"/>
    <n v="3391.76"/>
    <x v="1"/>
    <x v="1"/>
  </r>
  <r>
    <n v="2112"/>
    <n v="22864"/>
    <x v="0"/>
    <x v="494"/>
    <n v="0"/>
    <m/>
    <m/>
    <n v="0"/>
    <m/>
    <m/>
    <s v="Non Audit Assets"/>
    <d v="2003-12-31T00:00:00"/>
    <d v="2003-12-31T00:00:00"/>
    <s v="03-2112-017"/>
    <n v="300"/>
    <n v="14050"/>
    <n v="1262.08"/>
    <n v="14056"/>
    <n v="1262.08"/>
    <n v="0"/>
    <n v="0"/>
    <n v="54260"/>
    <n v="0"/>
    <s v="P"/>
    <m/>
    <n v="144942"/>
    <m/>
    <s v="Internal"/>
    <s v="A"/>
    <s v="SL"/>
    <m/>
    <s v="WCNX"/>
    <n v="0"/>
    <n v="0"/>
    <m/>
    <x v="15"/>
    <n v="12"/>
    <n v="2003"/>
    <n v="2006"/>
    <n v="2007"/>
    <n v="35.05777777777778"/>
    <n v="420.69333333333338"/>
    <n v="0"/>
    <n v="1262.08"/>
    <n v="1262.08"/>
    <x v="1"/>
    <x v="1"/>
  </r>
  <r>
    <n v="2112"/>
    <n v="22057"/>
    <x v="0"/>
    <x v="495"/>
    <n v="0"/>
    <m/>
    <m/>
    <n v="0"/>
    <m/>
    <m/>
    <m/>
    <d v="2003-11-01T00:00:00"/>
    <d v="2003-11-01T00:00:00"/>
    <m/>
    <n v="0"/>
    <n v="15260"/>
    <n v="325000"/>
    <n v="15266"/>
    <n v="0"/>
    <n v="325000"/>
    <n v="0"/>
    <n v="0"/>
    <n v="0"/>
    <s v="A"/>
    <s v="Olympic"/>
    <m/>
    <m/>
    <s v="Internal"/>
    <s v="A"/>
    <s v="NO"/>
    <m/>
    <s v="WCNX"/>
    <n v="0"/>
    <n v="0"/>
    <m/>
    <x v="15"/>
    <n v="11"/>
    <n v="2003"/>
    <n v="2003"/>
    <n v="2003.9166666666667"/>
    <n v="0"/>
    <n v="0"/>
    <n v="0"/>
    <n v="325000"/>
    <n v="325000"/>
    <x v="1"/>
    <x v="1"/>
  </r>
  <r>
    <n v="2112"/>
    <n v="20891"/>
    <x v="0"/>
    <x v="496"/>
    <n v="250"/>
    <m/>
    <m/>
    <n v="0"/>
    <s v="Otto Industries"/>
    <m/>
    <m/>
    <d v="2003-09-01T00:00:00"/>
    <d v="2003-09-01T00:00:00"/>
    <s v="03-2112-007"/>
    <n v="700"/>
    <n v="14050"/>
    <n v="11067.75"/>
    <n v="14056"/>
    <n v="11067.75"/>
    <n v="0"/>
    <n v="0"/>
    <n v="54260"/>
    <n v="0"/>
    <s v="P"/>
    <m/>
    <s v="OWS 1205"/>
    <m/>
    <s v="Internal"/>
    <s v="A"/>
    <s v="SL"/>
    <m/>
    <s v="WCNX"/>
    <n v="0"/>
    <n v="0"/>
    <m/>
    <x v="15"/>
    <n v="9"/>
    <n v="2003"/>
    <n v="2010"/>
    <n v="2010.75"/>
    <n v="131.75892857142858"/>
    <n v="1581.1071428571431"/>
    <n v="0"/>
    <n v="11067.75"/>
    <n v="11067.75"/>
    <x v="1"/>
    <x v="2"/>
  </r>
  <r>
    <n v="2112"/>
    <n v="20890"/>
    <x v="0"/>
    <x v="391"/>
    <n v="300"/>
    <m/>
    <m/>
    <n v="0"/>
    <s v="Otto Industries"/>
    <m/>
    <m/>
    <d v="2003-09-01T00:00:00"/>
    <d v="2003-09-01T00:00:00"/>
    <s v="03-2112-008"/>
    <n v="700"/>
    <n v="14050"/>
    <n v="9509.77"/>
    <n v="14056"/>
    <n v="9509.77"/>
    <n v="0"/>
    <n v="0"/>
    <n v="54260"/>
    <n v="0"/>
    <s v="P"/>
    <m/>
    <s v="OWS 1205"/>
    <m/>
    <s v="Internal"/>
    <s v="A"/>
    <s v="SL"/>
    <m/>
    <s v="WCNX"/>
    <n v="0"/>
    <n v="0"/>
    <m/>
    <x v="15"/>
    <n v="9"/>
    <n v="2003"/>
    <n v="2010"/>
    <n v="2010.75"/>
    <n v="113.21154761904762"/>
    <n v="1358.5385714285715"/>
    <n v="0"/>
    <n v="9509.77"/>
    <n v="9509.77"/>
    <x v="1"/>
    <x v="1"/>
  </r>
  <r>
    <n v="2112"/>
    <n v="20887"/>
    <x v="0"/>
    <x v="384"/>
    <n v="48"/>
    <m/>
    <m/>
    <n v="0"/>
    <s v="Wasteline Industries"/>
    <m/>
    <s v="1 YD FEL/REL/SL Metal"/>
    <d v="2003-08-01T00:00:00"/>
    <d v="2003-08-01T00:00:00"/>
    <s v="03-2112-001, 002, 003"/>
    <n v="1200"/>
    <n v="14050"/>
    <n v="14105.71"/>
    <n v="14056"/>
    <n v="14105.71"/>
    <n v="0"/>
    <n v="0"/>
    <n v="54260"/>
    <n v="0"/>
    <s v="P"/>
    <m/>
    <n v="2642"/>
    <m/>
    <s v="Internal"/>
    <s v="A"/>
    <s v="SL"/>
    <m/>
    <s v="WCNX"/>
    <n v="0"/>
    <n v="0"/>
    <m/>
    <x v="15"/>
    <n v="8"/>
    <n v="2003"/>
    <n v="2015"/>
    <n v="2015.6666666666667"/>
    <n v="97.956319444444432"/>
    <n v="1175.4758333333332"/>
    <n v="0"/>
    <n v="14105.71"/>
    <n v="14105.71"/>
    <x v="1"/>
    <x v="1"/>
  </r>
  <r>
    <n v="2112"/>
    <n v="20885"/>
    <x v="0"/>
    <x v="497"/>
    <n v="2"/>
    <m/>
    <m/>
    <n v="0"/>
    <s v="Capital Industries"/>
    <m/>
    <s v="3 YD FEL/REL/SL Metal"/>
    <d v="2003-08-01T00:00:00"/>
    <d v="2003-08-01T00:00:00"/>
    <s v="U-03-2112-016"/>
    <n v="500"/>
    <n v="14050"/>
    <n v="866.19"/>
    <n v="14056"/>
    <n v="866.19"/>
    <n v="0"/>
    <n v="0"/>
    <n v="54260"/>
    <n v="0"/>
    <s v="P"/>
    <m/>
    <n v="140242"/>
    <m/>
    <s v="Internal"/>
    <s v="A"/>
    <s v="SL"/>
    <m/>
    <s v="WCNX"/>
    <n v="4"/>
    <n v="0"/>
    <m/>
    <x v="15"/>
    <n v="8"/>
    <n v="2003"/>
    <n v="2008"/>
    <n v="2008.6666666666667"/>
    <n v="14.436500000000001"/>
    <n v="173.238"/>
    <n v="0"/>
    <n v="866.19"/>
    <n v="866.19"/>
    <x v="1"/>
    <x v="1"/>
  </r>
  <r>
    <n v="2112"/>
    <n v="20628"/>
    <x v="0"/>
    <x v="498"/>
    <n v="0"/>
    <m/>
    <m/>
    <n v="0"/>
    <s v="Capital Industries"/>
    <m/>
    <s v="Non Audit Assets"/>
    <d v="2003-06-30T00:00:00"/>
    <d v="2003-06-30T00:00:00"/>
    <s v="U-03-2112-016"/>
    <n v="1200"/>
    <n v="14050"/>
    <n v="304.64"/>
    <n v="14056"/>
    <n v="304.64"/>
    <n v="0"/>
    <n v="0"/>
    <n v="54260"/>
    <n v="0"/>
    <s v="P"/>
    <m/>
    <n v="140020"/>
    <m/>
    <s v="Internal"/>
    <s v="A"/>
    <s v="SL"/>
    <m/>
    <s v="WCNX"/>
    <n v="0"/>
    <n v="0"/>
    <m/>
    <x v="15"/>
    <n v="6"/>
    <n v="2003"/>
    <n v="2015"/>
    <n v="2015.5"/>
    <n v="2.1155555555555554"/>
    <n v="25.386666666666663"/>
    <n v="0"/>
    <n v="304.64"/>
    <n v="304.64"/>
    <x v="1"/>
    <x v="1"/>
  </r>
  <r>
    <n v="2112"/>
    <n v="19411"/>
    <x v="0"/>
    <x v="391"/>
    <n v="125"/>
    <m/>
    <m/>
    <n v="0"/>
    <s v="Otto Waste Systems"/>
    <m/>
    <m/>
    <d v="2003-03-31T00:00:00"/>
    <d v="2003-03-31T00:00:00"/>
    <s v="03-2112-005"/>
    <n v="700"/>
    <n v="14050"/>
    <n v="3506.75"/>
    <n v="14056"/>
    <n v="3506.75"/>
    <n v="0"/>
    <n v="0"/>
    <n v="54260"/>
    <n v="0"/>
    <s v="P"/>
    <m/>
    <s v="OWS 440"/>
    <m/>
    <s v="Internal"/>
    <s v="A"/>
    <s v="SL"/>
    <m/>
    <s v="WCNX"/>
    <n v="0"/>
    <n v="0"/>
    <m/>
    <x v="15"/>
    <n v="3"/>
    <n v="2003"/>
    <n v="2010"/>
    <n v="2010.25"/>
    <n v="41.74702380952381"/>
    <n v="500.96428571428572"/>
    <n v="0"/>
    <n v="3506.75"/>
    <n v="3506.75"/>
    <x v="1"/>
    <x v="1"/>
  </r>
  <r>
    <n v="2112"/>
    <n v="19410"/>
    <x v="0"/>
    <x v="270"/>
    <n v="250"/>
    <m/>
    <m/>
    <n v="0"/>
    <s v="Otto Waste Systems"/>
    <m/>
    <m/>
    <d v="2003-03-31T00:00:00"/>
    <d v="2003-03-31T00:00:00"/>
    <s v="03-2112-005"/>
    <n v="700"/>
    <n v="14050"/>
    <n v="11615.25"/>
    <n v="14056"/>
    <n v="11615.25"/>
    <n v="0"/>
    <n v="0"/>
    <n v="54260"/>
    <n v="0"/>
    <s v="P"/>
    <m/>
    <s v="OWS 378"/>
    <m/>
    <s v="Internal"/>
    <s v="A"/>
    <s v="SL"/>
    <m/>
    <s v="WCNX"/>
    <n v="0"/>
    <n v="0"/>
    <m/>
    <x v="15"/>
    <n v="3"/>
    <n v="2003"/>
    <n v="2010"/>
    <n v="2010.25"/>
    <n v="138.27678571428572"/>
    <n v="1659.3214285714287"/>
    <n v="0"/>
    <n v="11615.25"/>
    <n v="11615.25"/>
    <x v="1"/>
    <x v="1"/>
  </r>
  <r>
    <n v="2112"/>
    <n v="16548"/>
    <x v="0"/>
    <x v="459"/>
    <n v="100"/>
    <s v="320001-320100"/>
    <m/>
    <n v="0"/>
    <s v="Otto Industries"/>
    <m/>
    <m/>
    <d v="2002-07-29T00:00:00"/>
    <d v="2002-07-29T00:00:00"/>
    <s v="02-2112-005"/>
    <n v="700"/>
    <n v="14050"/>
    <n v="5130.3999999999996"/>
    <n v="14056"/>
    <n v="5130.3999999999996"/>
    <n v="0"/>
    <n v="0"/>
    <n v="54260"/>
    <n v="0"/>
    <s v="P"/>
    <m/>
    <n v="51809"/>
    <m/>
    <s v="Internal"/>
    <s v="A"/>
    <s v="SL"/>
    <m/>
    <s v="WCNX"/>
    <n v="0"/>
    <n v="0"/>
    <m/>
    <x v="15"/>
    <n v="7"/>
    <n v="2002"/>
    <n v="2009"/>
    <n v="2009.5833333333333"/>
    <n v="61.076190476190476"/>
    <n v="732.91428571428571"/>
    <n v="0"/>
    <n v="5130.3999999999996"/>
    <n v="5130.3999999999996"/>
    <x v="1"/>
    <x v="1"/>
  </r>
  <r>
    <n v="2112"/>
    <n v="16090"/>
    <x v="0"/>
    <x v="499"/>
    <n v="20"/>
    <s v="176406-176425"/>
    <m/>
    <n v="0"/>
    <s v="DeWald Northwest"/>
    <m/>
    <s v="1 YD FEL/REL/SL Metal"/>
    <d v="2002-05-30T00:00:00"/>
    <d v="2002-05-30T00:00:00"/>
    <s v="02-2112-002"/>
    <n v="1200"/>
    <n v="14050"/>
    <n v="6451.1"/>
    <n v="14056"/>
    <n v="6451.1"/>
    <n v="0"/>
    <n v="0"/>
    <n v="54260"/>
    <n v="0"/>
    <s v="P"/>
    <m/>
    <n v="39087"/>
    <m/>
    <s v="Internal"/>
    <s v="A"/>
    <s v="SL"/>
    <m/>
    <s v="WCNX"/>
    <n v="0"/>
    <n v="0"/>
    <m/>
    <x v="15"/>
    <n v="5"/>
    <n v="2002"/>
    <n v="2014"/>
    <n v="2014.4166666666667"/>
    <n v="44.799305555555556"/>
    <n v="537.5916666666667"/>
    <n v="0"/>
    <n v="6451.1"/>
    <n v="6451.1"/>
    <x v="1"/>
    <x v="1"/>
  </r>
  <r>
    <n v="2112"/>
    <n v="16087"/>
    <x v="0"/>
    <x v="500"/>
    <n v="225"/>
    <s v="680001-680225"/>
    <m/>
    <n v="0"/>
    <s v="Otto Industries"/>
    <m/>
    <m/>
    <d v="2002-07-29T00:00:00"/>
    <d v="2002-07-29T00:00:00"/>
    <s v="02-2112-003"/>
    <n v="700"/>
    <n v="14050"/>
    <n v="9974.92"/>
    <n v="14056"/>
    <n v="9974.92"/>
    <n v="0"/>
    <n v="0"/>
    <n v="54260"/>
    <n v="0"/>
    <s v="P"/>
    <m/>
    <s v="OII 51811"/>
    <m/>
    <s v="Internal"/>
    <s v="A"/>
    <s v="SL"/>
    <m/>
    <s v="WCNX"/>
    <n v="0"/>
    <n v="0"/>
    <m/>
    <x v="15"/>
    <n v="7"/>
    <n v="2002"/>
    <n v="2009"/>
    <n v="2009.5833333333333"/>
    <n v="118.74904761904763"/>
    <n v="1424.9885714285715"/>
    <n v="0"/>
    <n v="9974.92"/>
    <n v="9974.92"/>
    <x v="1"/>
    <x v="1"/>
  </r>
  <r>
    <n v="2112"/>
    <n v="11283"/>
    <x v="0"/>
    <x v="501"/>
    <n v="17"/>
    <m/>
    <m/>
    <n v="0"/>
    <s v="Capital Industries"/>
    <m/>
    <s v="1 YD FEL/REL/SL Metal"/>
    <d v="2001-07-13T00:00:00"/>
    <d v="2001-07-13T00:00:00"/>
    <s v="01-2112-007"/>
    <n v="1200"/>
    <n v="14050"/>
    <n v="3713.42"/>
    <n v="14056"/>
    <n v="3713.42"/>
    <n v="0"/>
    <n v="0"/>
    <n v="54260"/>
    <n v="0"/>
    <s v="P"/>
    <m/>
    <n v="123497"/>
    <m/>
    <s v="Internal"/>
    <s v="A"/>
    <s v="SL"/>
    <m/>
    <s v="WCNX"/>
    <n v="2"/>
    <n v="0"/>
    <m/>
    <x v="15"/>
    <n v="7"/>
    <n v="2001"/>
    <n v="2013"/>
    <n v="2013.5833333333333"/>
    <n v="25.787638888888889"/>
    <n v="309.45166666666665"/>
    <n v="0"/>
    <n v="3713.42"/>
    <n v="3713.42"/>
    <x v="1"/>
    <x v="1"/>
  </r>
  <r>
    <n v="2112"/>
    <n v="11281"/>
    <x v="0"/>
    <x v="502"/>
    <n v="0"/>
    <s v="WC1-1 T0 WC1-90"/>
    <m/>
    <n v="0"/>
    <s v="Rehrig Pacific"/>
    <m/>
    <s v="Non Audit Assets"/>
    <d v="2001-06-18T00:00:00"/>
    <d v="2001-06-18T00:00:00"/>
    <s v="01-2112-003"/>
    <n v="700"/>
    <n v="14050"/>
    <n v="442.68"/>
    <n v="14056"/>
    <n v="442.68"/>
    <n v="0"/>
    <n v="0"/>
    <n v="54260"/>
    <n v="0"/>
    <s v="P"/>
    <m/>
    <s v="TR61891F"/>
    <m/>
    <s v="Internal"/>
    <s v="A"/>
    <s v="SL"/>
    <m/>
    <s v="WCNX"/>
    <n v="0"/>
    <n v="0"/>
    <m/>
    <x v="15"/>
    <n v="6"/>
    <n v="2001"/>
    <n v="2008"/>
    <n v="2008.5"/>
    <n v="5.2700000000000005"/>
    <n v="63.240000000000009"/>
    <n v="0"/>
    <n v="442.68"/>
    <n v="442.68"/>
    <x v="1"/>
    <x v="1"/>
  </r>
  <r>
    <n v="2112"/>
    <n v="11018"/>
    <x v="0"/>
    <x v="503"/>
    <n v="90"/>
    <s v="WC1-1 T0 WC1-90"/>
    <m/>
    <n v="0"/>
    <s v="Rehrig Pacific Company"/>
    <m/>
    <m/>
    <d v="2001-06-18T00:00:00"/>
    <d v="2001-06-18T00:00:00"/>
    <s v="01-2112-003"/>
    <n v="700"/>
    <n v="14050"/>
    <n v="3564.23"/>
    <n v="14056"/>
    <n v="3564.23"/>
    <n v="0"/>
    <n v="0"/>
    <n v="54260"/>
    <n v="0"/>
    <s v="P"/>
    <m/>
    <s v="TR61891"/>
    <m/>
    <s v="Internal"/>
    <s v="A"/>
    <s v="SL"/>
    <m/>
    <s v="WCNX"/>
    <n v="0"/>
    <n v="0"/>
    <m/>
    <x v="15"/>
    <n v="6"/>
    <n v="2001"/>
    <n v="2008"/>
    <n v="2008.5"/>
    <n v="42.431309523809524"/>
    <n v="509.17571428571432"/>
    <n v="0"/>
    <n v="3564.23"/>
    <n v="3564.23"/>
    <x v="1"/>
    <x v="1"/>
  </r>
  <r>
    <n v="2112"/>
    <n v="8140"/>
    <x v="0"/>
    <x v="504"/>
    <n v="15"/>
    <s v="165950-165964"/>
    <m/>
    <n v="0"/>
    <s v="DeWald Northwest Co."/>
    <m/>
    <s v="1 YD FEL/REL/SL Metal"/>
    <d v="2000-05-30T00:00:00"/>
    <d v="2000-05-30T00:00:00"/>
    <s v="00-2112-001"/>
    <n v="1000"/>
    <n v="14050"/>
    <n v="4786.29"/>
    <n v="14056"/>
    <n v="4786.29"/>
    <n v="0"/>
    <n v="0"/>
    <n v="54260"/>
    <n v="0"/>
    <s v="P"/>
    <m/>
    <m/>
    <m/>
    <s v="Internal"/>
    <s v="A"/>
    <s v="SL"/>
    <m/>
    <s v="WCNX"/>
    <n v="0"/>
    <n v="0"/>
    <m/>
    <x v="15"/>
    <n v="5"/>
    <n v="2000"/>
    <n v="2010"/>
    <n v="2010.4166666666667"/>
    <n v="39.885750000000002"/>
    <n v="478.62900000000002"/>
    <n v="0"/>
    <n v="4786.29"/>
    <n v="4786.29"/>
    <x v="1"/>
    <x v="1"/>
  </r>
  <r>
    <n v="2112"/>
    <n v="6916"/>
    <x v="49"/>
    <x v="505"/>
    <n v="0"/>
    <m/>
    <m/>
    <n v="0"/>
    <m/>
    <m/>
    <m/>
    <d v="1997-12-01T00:00:00"/>
    <d v="1997-12-01T00:00:00"/>
    <m/>
    <n v="700"/>
    <n v="15260"/>
    <n v="1400000"/>
    <n v="15266"/>
    <n v="177916.67"/>
    <n v="1222083.33"/>
    <n v="0"/>
    <n v="70264"/>
    <n v="0"/>
    <s v="A"/>
    <s v="Olympic Disposal"/>
    <m/>
    <m/>
    <s v="Internal"/>
    <s v="A"/>
    <s v="OC"/>
    <d v="2002-12-31T00:00:00"/>
    <s v="WCNX"/>
    <n v="0"/>
    <n v="177916.67"/>
    <m/>
    <x v="15"/>
    <n v="12"/>
    <n v="1997"/>
    <n v="2004"/>
    <n v="2005"/>
    <n v="16666.666666666668"/>
    <n v="200000"/>
    <n v="0"/>
    <n v="1400000"/>
    <n v="1400000"/>
    <x v="1"/>
    <x v="1"/>
  </r>
  <r>
    <n v="2112"/>
    <n v="6915"/>
    <x v="49"/>
    <x v="506"/>
    <n v="0"/>
    <m/>
    <m/>
    <n v="0"/>
    <m/>
    <m/>
    <m/>
    <d v="1997-12-01T00:00:00"/>
    <d v="1997-12-01T00:00:00"/>
    <m/>
    <n v="500"/>
    <n v="15210"/>
    <n v="40000"/>
    <n v="15216"/>
    <n v="40000"/>
    <n v="0"/>
    <n v="0"/>
    <n v="70266"/>
    <n v="0"/>
    <s v="A"/>
    <s v="Olympic Disposal"/>
    <m/>
    <m/>
    <s v="Internal"/>
    <s v="A"/>
    <s v="SL"/>
    <m/>
    <s v="WCNX"/>
    <n v="0"/>
    <n v="0"/>
    <m/>
    <x v="15"/>
    <n v="12"/>
    <n v="1997"/>
    <n v="2002"/>
    <n v="2003"/>
    <n v="666.66666666666663"/>
    <n v="8000"/>
    <n v="0"/>
    <n v="40000"/>
    <n v="40000"/>
    <x v="1"/>
    <x v="1"/>
  </r>
  <r>
    <n v="2112"/>
    <n v="6914"/>
    <x v="49"/>
    <x v="507"/>
    <n v="0"/>
    <m/>
    <m/>
    <n v="0"/>
    <m/>
    <m/>
    <m/>
    <d v="1997-12-01T00:00:00"/>
    <d v="1997-12-01T00:00:00"/>
    <m/>
    <n v="0"/>
    <n v="15110"/>
    <n v="25000"/>
    <n v="15120"/>
    <n v="2552.08"/>
    <n v="22447.919999999998"/>
    <n v="0"/>
    <n v="70264"/>
    <n v="0"/>
    <s v="A"/>
    <s v="Olympic Disposal"/>
    <m/>
    <m/>
    <s v="Internal"/>
    <s v="A"/>
    <s v="NO"/>
    <d v="2001-12-31T00:00:00"/>
    <s v="WCNX"/>
    <n v="0"/>
    <n v="2552.08"/>
    <m/>
    <x v="15"/>
    <n v="12"/>
    <n v="1997"/>
    <n v="1997"/>
    <n v="1998"/>
    <n v="0"/>
    <n v="0"/>
    <n v="0"/>
    <n v="25000"/>
    <n v="25000"/>
    <x v="1"/>
    <x v="1"/>
  </r>
  <r>
    <n v="2112"/>
    <n v="6913"/>
    <x v="49"/>
    <x v="508"/>
    <n v="0"/>
    <s v="952320695/S6943CVN2K460"/>
    <m/>
    <n v="0"/>
    <s v="Insight"/>
    <m/>
    <m/>
    <d v="2000-02-24T00:00:00"/>
    <d v="2000-02-24T00:00:00"/>
    <s v="00-2112-222"/>
    <n v="300"/>
    <n v="14110"/>
    <n v="1093.5899999999999"/>
    <n v="14116"/>
    <n v="1093.5899999999999"/>
    <n v="0"/>
    <n v="0"/>
    <n v="70260"/>
    <n v="0"/>
    <s v="P"/>
    <m/>
    <m/>
    <m/>
    <s v="Internal"/>
    <s v="A"/>
    <s v="SL"/>
    <m/>
    <s v="WCNX"/>
    <n v="0"/>
    <n v="0"/>
    <m/>
    <x v="15"/>
    <n v="2"/>
    <n v="2000"/>
    <n v="2003"/>
    <n v="2003.1666666666667"/>
    <n v="30.377499999999998"/>
    <n v="364.53"/>
    <n v="0"/>
    <n v="1093.5899999999999"/>
    <n v="1093.5899999999999"/>
    <x v="1"/>
    <x v="1"/>
  </r>
  <r>
    <n v="2112"/>
    <n v="6912"/>
    <x v="49"/>
    <x v="509"/>
    <n v="0"/>
    <m/>
    <m/>
    <n v="0"/>
    <m/>
    <m/>
    <m/>
    <d v="1998-06-25T00:00:00"/>
    <d v="1998-06-25T00:00:00"/>
    <m/>
    <n v="500"/>
    <n v="14100"/>
    <n v="754.22"/>
    <n v="14106"/>
    <n v="754.22"/>
    <n v="0"/>
    <n v="0"/>
    <n v="70260"/>
    <n v="0"/>
    <s v="A"/>
    <s v="Olympic Disposal"/>
    <m/>
    <m/>
    <s v="Internal"/>
    <s v="A"/>
    <s v="SL"/>
    <m/>
    <s v="WCNX"/>
    <n v="0"/>
    <n v="0"/>
    <m/>
    <x v="15"/>
    <n v="6"/>
    <n v="1998"/>
    <n v="2003"/>
    <n v="2003.5"/>
    <n v="12.570333333333332"/>
    <n v="150.84399999999999"/>
    <n v="0"/>
    <n v="754.22"/>
    <n v="754.22"/>
    <x v="1"/>
    <x v="1"/>
  </r>
  <r>
    <n v="2112"/>
    <n v="6911"/>
    <x v="49"/>
    <x v="510"/>
    <n v="0"/>
    <m/>
    <m/>
    <n v="0"/>
    <m/>
    <m/>
    <m/>
    <d v="1997-12-01T00:00:00"/>
    <d v="1997-12-01T00:00:00"/>
    <m/>
    <n v="300"/>
    <n v="14100"/>
    <n v="15781"/>
    <n v="14106"/>
    <n v="15781"/>
    <n v="0"/>
    <n v="0"/>
    <n v="70257"/>
    <n v="0"/>
    <s v="A"/>
    <s v="Olympic Disposal"/>
    <m/>
    <m/>
    <s v="Internal"/>
    <s v="A"/>
    <s v="SL"/>
    <m/>
    <s v="WCNX"/>
    <n v="0"/>
    <n v="0"/>
    <m/>
    <x v="15"/>
    <n v="12"/>
    <n v="1997"/>
    <n v="2000"/>
    <n v="2001"/>
    <n v="438.36111111111109"/>
    <n v="5260.333333333333"/>
    <n v="0"/>
    <n v="15781"/>
    <n v="15781"/>
    <x v="1"/>
    <x v="1"/>
  </r>
  <r>
    <n v="2112"/>
    <n v="6906"/>
    <x v="0"/>
    <x v="511"/>
    <n v="0"/>
    <m/>
    <m/>
    <n v="0"/>
    <s v="Dewald Northwest"/>
    <m/>
    <s v="Non Audit Assets"/>
    <d v="1999-07-30T00:00:00"/>
    <d v="1999-07-30T00:00:00"/>
    <s v="99-2111-0862"/>
    <n v="1200"/>
    <n v="14050"/>
    <n v="2294.83"/>
    <n v="14056"/>
    <n v="2294.83"/>
    <n v="0"/>
    <n v="0"/>
    <n v="54260"/>
    <n v="0"/>
    <s v="P"/>
    <m/>
    <m/>
    <m/>
    <s v="Internal"/>
    <s v="A"/>
    <s v="SL"/>
    <m/>
    <s v="WCNX"/>
    <n v="0"/>
    <n v="0"/>
    <m/>
    <x v="15"/>
    <n v="7"/>
    <n v="1999"/>
    <n v="2011"/>
    <n v="2011.5833333333333"/>
    <n v="15.936319444444443"/>
    <n v="191.23583333333332"/>
    <n v="0"/>
    <n v="2294.83"/>
    <n v="2294.83"/>
    <x v="1"/>
    <x v="1"/>
  </r>
  <r>
    <n v="2112"/>
    <n v="6904"/>
    <x v="0"/>
    <x v="512"/>
    <n v="20"/>
    <m/>
    <m/>
    <n v="0"/>
    <s v="Dewald Northwest"/>
    <m/>
    <s v="1 YD FEL/REL/SL Metal"/>
    <d v="1999-07-30T00:00:00"/>
    <d v="1999-07-30T00:00:00"/>
    <s v="99-2111-0862"/>
    <n v="1200"/>
    <n v="14050"/>
    <n v="5041.6000000000004"/>
    <n v="14056"/>
    <n v="5041.6000000000004"/>
    <n v="0"/>
    <n v="0"/>
    <n v="54260"/>
    <n v="0"/>
    <s v="P"/>
    <m/>
    <m/>
    <m/>
    <s v="Internal"/>
    <s v="A"/>
    <s v="SL"/>
    <m/>
    <s v="WCNX"/>
    <n v="0"/>
    <n v="0"/>
    <m/>
    <x v="15"/>
    <n v="7"/>
    <n v="1999"/>
    <n v="2011"/>
    <n v="2011.5833333333333"/>
    <n v="35.011111111111113"/>
    <n v="420.13333333333333"/>
    <n v="0"/>
    <n v="5041.6000000000004"/>
    <n v="5041.6000000000004"/>
    <x v="1"/>
    <x v="1"/>
  </r>
  <r>
    <n v="2112"/>
    <n v="6903"/>
    <x v="0"/>
    <x v="513"/>
    <n v="3000"/>
    <m/>
    <m/>
    <n v="0"/>
    <s v="Orix Credit"/>
    <m/>
    <m/>
    <d v="1999-01-01T00:00:00"/>
    <d v="1999-01-01T00:00:00"/>
    <m/>
    <n v="500"/>
    <n v="14050"/>
    <n v="100000"/>
    <n v="14056"/>
    <n v="100000"/>
    <n v="0"/>
    <n v="0"/>
    <n v="54260"/>
    <n v="0"/>
    <s v="P"/>
    <m/>
    <m/>
    <m/>
    <s v="Internal"/>
    <s v="A"/>
    <s v="SL"/>
    <m/>
    <s v="WCNX"/>
    <n v="0"/>
    <n v="0"/>
    <m/>
    <x v="15"/>
    <n v="1"/>
    <n v="1999"/>
    <n v="2004"/>
    <n v="2004.0833333333333"/>
    <n v="1666.6666666666667"/>
    <n v="20000"/>
    <n v="0"/>
    <n v="100000"/>
    <n v="100000"/>
    <x v="1"/>
    <x v="1"/>
  </r>
  <r>
    <n v="2112"/>
    <n v="6902"/>
    <x v="0"/>
    <x v="512"/>
    <n v="40"/>
    <s v="15894-159028"/>
    <m/>
    <n v="0"/>
    <s v="Dewald Northwest"/>
    <m/>
    <s v="1 YD FEL/REL/SL Metal"/>
    <d v="1999-05-26T00:00:00"/>
    <d v="1999-05-26T00:00:00"/>
    <s v="99-2111-0855"/>
    <n v="1200"/>
    <n v="14050"/>
    <n v="12068.39"/>
    <n v="14056"/>
    <n v="12068.39"/>
    <n v="0"/>
    <n v="0"/>
    <n v="54260"/>
    <n v="0"/>
    <s v="P"/>
    <m/>
    <m/>
    <m/>
    <s v="Internal"/>
    <s v="A"/>
    <s v="SL"/>
    <m/>
    <s v="WCNX"/>
    <n v="0"/>
    <n v="0"/>
    <m/>
    <x v="15"/>
    <n v="5"/>
    <n v="1999"/>
    <n v="2011"/>
    <n v="2011.4166666666667"/>
    <n v="83.808263888888888"/>
    <n v="1005.6991666666667"/>
    <n v="0"/>
    <n v="12068.39"/>
    <n v="12068.39"/>
    <x v="1"/>
    <x v="1"/>
  </r>
  <r>
    <n v="2112"/>
    <n v="6895"/>
    <x v="0"/>
    <x v="514"/>
    <n v="12"/>
    <m/>
    <m/>
    <n v="0"/>
    <m/>
    <m/>
    <s v="1 YD FEL/REL/SL Metal"/>
    <d v="1998-04-14T00:00:00"/>
    <d v="1998-04-14T00:00:00"/>
    <m/>
    <n v="1200"/>
    <n v="14050"/>
    <n v="3291.8"/>
    <n v="14056"/>
    <n v="3291.8"/>
    <n v="0"/>
    <n v="0"/>
    <n v="54260"/>
    <n v="0"/>
    <s v="A"/>
    <s v="Olympic Disposal"/>
    <m/>
    <m/>
    <s v="Internal"/>
    <s v="A"/>
    <s v="SL"/>
    <d v="2023-05-31T00:00:00"/>
    <s v="WCNX"/>
    <n v="5"/>
    <n v="3291.8"/>
    <m/>
    <x v="15"/>
    <n v="4"/>
    <n v="1998"/>
    <n v="2010"/>
    <n v="2010.3333333333333"/>
    <n v="22.859722222222221"/>
    <n v="274.31666666666666"/>
    <n v="0"/>
    <n v="3291.8"/>
    <n v="3291.8"/>
    <x v="1"/>
    <x v="1"/>
  </r>
  <r>
    <n v="2112"/>
    <n v="6894"/>
    <x v="0"/>
    <x v="515"/>
    <n v="1080"/>
    <m/>
    <m/>
    <n v="0"/>
    <m/>
    <m/>
    <m/>
    <d v="1998-03-11T00:00:00"/>
    <d v="1998-03-11T00:00:00"/>
    <m/>
    <n v="1200"/>
    <n v="14050"/>
    <n v="37290.239999999998"/>
    <n v="14056"/>
    <n v="37290.239999999998"/>
    <n v="0"/>
    <n v="0"/>
    <n v="54260"/>
    <n v="0"/>
    <s v="A"/>
    <s v="Olympic Disposal"/>
    <m/>
    <m/>
    <s v="Internal"/>
    <s v="A"/>
    <s v="SL"/>
    <m/>
    <s v="WCNX"/>
    <n v="0"/>
    <n v="0"/>
    <m/>
    <x v="15"/>
    <n v="3"/>
    <n v="1998"/>
    <n v="2010"/>
    <n v="2010.25"/>
    <n v="258.95999999999998"/>
    <n v="3107.5199999999995"/>
    <n v="0"/>
    <n v="37290.239999999998"/>
    <n v="37290.239999999998"/>
    <x v="1"/>
    <x v="1"/>
  </r>
  <r>
    <n v="2112"/>
    <n v="6893"/>
    <x v="0"/>
    <x v="516"/>
    <n v="4"/>
    <m/>
    <m/>
    <n v="0"/>
    <m/>
    <m/>
    <s v="20 YD RO Box"/>
    <d v="1998-02-26T00:00:00"/>
    <d v="1998-02-26T00:00:00"/>
    <m/>
    <n v="1200"/>
    <n v="14050"/>
    <n v="15868.15"/>
    <n v="14056"/>
    <n v="15868.15"/>
    <n v="0"/>
    <n v="0"/>
    <n v="54260"/>
    <n v="0"/>
    <s v="A"/>
    <s v="Olympic Disposal"/>
    <m/>
    <m/>
    <s v="Internal"/>
    <s v="A"/>
    <s v="SL"/>
    <m/>
    <s v="WCNX"/>
    <n v="0"/>
    <n v="0"/>
    <m/>
    <x v="15"/>
    <n v="2"/>
    <n v="1998"/>
    <n v="2010"/>
    <n v="2010.1666666666667"/>
    <n v="110.19548611111111"/>
    <n v="1322.3458333333333"/>
    <n v="0"/>
    <n v="15868.15"/>
    <n v="15868.15"/>
    <x v="1"/>
    <x v="1"/>
  </r>
  <r>
    <n v="2112"/>
    <n v="6869"/>
    <x v="0"/>
    <x v="517"/>
    <n v="0"/>
    <n v="2112"/>
    <m/>
    <n v="1992"/>
    <m/>
    <m/>
    <s v="Non-Rolling Stock"/>
    <d v="1997-12-01T00:00:00"/>
    <d v="1997-12-01T00:00:00"/>
    <m/>
    <n v="1000"/>
    <n v="14040"/>
    <n v="1012.78"/>
    <n v="14046"/>
    <n v="1012.78"/>
    <n v="0"/>
    <n v="0"/>
    <n v="51260"/>
    <n v="0"/>
    <s v="A"/>
    <s v="Olympic Disposal"/>
    <m/>
    <m/>
    <s v="Internal"/>
    <s v="A"/>
    <s v="SL"/>
    <d v="1999-12-31T00:00:00"/>
    <s v="WCNX"/>
    <n v="0"/>
    <n v="211"/>
    <m/>
    <x v="15"/>
    <n v="12"/>
    <n v="1997"/>
    <n v="2007"/>
    <n v="2008"/>
    <n v="8.4398333333333326"/>
    <n v="101.27799999999999"/>
    <n v="0"/>
    <n v="1012.78"/>
    <n v="1012.78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47469B-1645-4834-BCDD-5D20BA4200C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F19" firstHeaderRow="0" firstDataRow="1" firstDataCol="1" rowPageCount="1" colPageCount="1"/>
  <pivotFields count="4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showAll="0"/>
    <pivotField dataField="1" numFmtId="43" showAll="0"/>
    <pivotField showAll="0"/>
    <pivotField numFmtId="43" showAll="0"/>
    <pivotField numFmtId="43" showAll="0"/>
    <pivotField numFmtId="1" showAll="0"/>
    <pivotField showAll="0"/>
    <pivotField numFmtId="4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7">
        <item x="1"/>
        <item x="4"/>
        <item x="7"/>
        <item x="14"/>
        <item x="10"/>
        <item x="13"/>
        <item x="11"/>
        <item x="2"/>
        <item x="3"/>
        <item x="8"/>
        <item x="5"/>
        <item x="0"/>
        <item x="12"/>
        <item x="15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axis="axisPage" showAll="0">
      <items count="4">
        <item x="0"/>
        <item x="1"/>
        <item x="2"/>
        <item t="default"/>
      </items>
    </pivotField>
  </pivotFields>
  <rowFields count="1">
    <field x="3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6" item="0" hier="-1"/>
  </pageFields>
  <dataFields count="5">
    <dataField name="Sum of Cost" fld="16" baseField="0" baseItem="0"/>
    <dataField name="Sum of Test Year Dep" fld="42" baseField="0" baseItem="0"/>
    <dataField name="Sum of BOY Accum" fld="43" baseField="0" baseItem="0"/>
    <dataField name="Sum of EOY Accum" fld="44" baseField="0" baseItem="0"/>
    <dataField name="Sum of EOY Average Investment" fld="45" baseField="0" baseItem="0"/>
  </dataFields>
  <formats count="1">
    <format dxfId="5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E36F5-885A-4E19-8B74-FC5918AE9565}" name="Table1" displayName="Table1" ref="A13:AU686" totalsRowShown="0" headerRowDxfId="54" headerRowCellStyle="Normal 97" dataCellStyle="Normal 97">
  <autoFilter ref="A13:AU686" xr:uid="{30DE36F5-885A-4E19-8B74-FC5918AE9565}"/>
  <tableColumns count="47">
    <tableColumn id="1" xr3:uid="{8CD76995-9781-4DD6-910B-5143A41239EC}" name="District" dataDxfId="53" dataCellStyle="Normal 98"/>
    <tableColumn id="2" xr3:uid="{DEE89038-66ED-40DD-ABD3-67492BA85048}" name="Asset #" dataDxfId="52" dataCellStyle="Normal 98"/>
    <tableColumn id="3" xr3:uid="{9E422D8A-F08D-4C70-9FE1-415AC32B78EC}" name="Parent/ Child" dataDxfId="51" dataCellStyle="Normal 98"/>
    <tableColumn id="4" xr3:uid="{E8A01BF3-A234-45B6-B78B-243B487F1BEB}" name="Descr" dataDxfId="50" dataCellStyle="Normal 98"/>
    <tableColumn id="5" xr3:uid="{83CC6D6B-C0AB-428A-9D7E-6F8133DCEDDF}" name="Container Count" dataDxfId="49" dataCellStyle="Normal 98"/>
    <tableColumn id="6" xr3:uid="{29BFF5B0-49E1-49DF-B437-A9BA63D5AE52}" name="MFG Serial#" dataDxfId="48" dataCellStyle="Normal 98"/>
    <tableColumn id="7" xr3:uid="{6169255F-716E-4DE2-84A7-C5D91A755414}" name="License Plate" dataDxfId="47" dataCellStyle="Normal 98"/>
    <tableColumn id="8" xr3:uid="{5A2915FB-6135-4F30-B353-7B194C51EF8C}" name="Model Year" dataDxfId="46" dataCellStyle="Normal 98"/>
    <tableColumn id="9" xr3:uid="{3DAFC81A-B144-47F5-AD08-D6679F9923F2}" name="Vendor/Mfg" dataDxfId="45" dataCellStyle="Normal 98"/>
    <tableColumn id="10" xr3:uid="{94275E51-371B-47A5-AD51-5CF67A6C641B}" name="Body Mfg" dataDxfId="44" dataCellStyle="Normal 98"/>
    <tableColumn id="11" xr3:uid="{61CABBD6-3C37-4D70-88B7-4A4F4FEA0F93}" name="Ins Category" dataDxfId="43" dataCellStyle="Normal 98"/>
    <tableColumn id="12" xr3:uid="{9CE18C3D-D82A-447D-87B1-924B8FC4D3BC}" name="In Service Date" dataDxfId="42" dataCellStyle="Normal 98"/>
    <tableColumn id="13" xr3:uid="{68EA7613-5151-40A7-99D7-E9FD3ADF49D7}" name="Acq Date" dataDxfId="41" dataCellStyle="Normal 98"/>
    <tableColumn id="14" xr3:uid="{CB7E5B1D-3888-4AB6-9677-700DE05702E5}" name="CER #" dataDxfId="40" dataCellStyle="Normal 98"/>
    <tableColumn id="15" xr3:uid="{F4B63DE8-B106-4353-84ED-BC27E6774412}" name="Useful Life" dataDxfId="39" dataCellStyle="Normal 98"/>
    <tableColumn id="16" xr3:uid="{92584384-A11A-4A17-B97D-12971AB9C9E4}" name="Asset Account" dataDxfId="38" dataCellStyle="Normal 98"/>
    <tableColumn id="17" xr3:uid="{7F68C8D9-F8A4-4D33-B26A-706B7437C24D}" name="Cost" dataDxfId="37" dataCellStyle="Comma 22"/>
    <tableColumn id="18" xr3:uid="{EF184073-99A9-42B8-90A8-D0504230882C}" name="Accum Account" dataDxfId="36" dataCellStyle="Normal 98"/>
    <tableColumn id="19" xr3:uid="{80547280-A2B1-4D29-B444-E0BAC8E2A256}" name="Accum Life to Date" dataDxfId="35" dataCellStyle="Comma 22"/>
    <tableColumn id="20" xr3:uid="{39AE44FA-894D-429A-BAE5-2953A0647C0F}" name="NBV" dataDxfId="34" dataCellStyle="Comma 22">
      <calculatedColumnFormula>Q14-S14</calculatedColumnFormula>
    </tableColumn>
    <tableColumn id="21" xr3:uid="{9B5AB0E3-02E8-444E-B5BA-2AA6159AFF65}" name="Accum YTD" dataDxfId="33" dataCellStyle="Comma 22"/>
    <tableColumn id="22" xr3:uid="{B6908D81-383B-457F-953F-9D3E91B7CFB5}" name="Expense Account" dataDxfId="32" dataCellStyle="Normal 98"/>
    <tableColumn id="23" xr3:uid="{0EF2D6FD-EED9-41A4-B135-04D56CEB9E47}" name="Current Depr" dataDxfId="31" dataCellStyle="Comma 22"/>
    <tableColumn id="24" xr3:uid="{59202C75-C703-42FD-ACF7-2B0DB7613022}" name="Acq Type" dataDxfId="30" dataCellStyle="Normal 98"/>
    <tableColumn id="25" xr3:uid="{0F946F21-B3BB-4A8E-9362-071DB5CFCDC9}" name="Former Company" dataDxfId="29" dataCellStyle="Normal 98"/>
    <tableColumn id="26" xr3:uid="{65A03F98-90E9-41F4-8DAC-8FB1988A65C5}" name="Invoice #" dataDxfId="28" dataCellStyle="Normal 98"/>
    <tableColumn id="27" xr3:uid="{8618C03B-56FF-4061-8404-4CD413958F30}" name="Company Asset #" dataDxfId="27" dataCellStyle="Normal 98"/>
    <tableColumn id="28" xr3:uid="{2114AED5-9B9F-4F2F-B285-A0F8D5E8D02F}" name="Book" dataDxfId="26" dataCellStyle="Normal 98"/>
    <tableColumn id="29" xr3:uid="{97CF771A-0C2A-4ABF-B56B-7B2F067485E0}" name="Activity Cd" dataDxfId="25" dataCellStyle="Normal 98"/>
    <tableColumn id="30" xr3:uid="{A3660CE0-C16B-4178-B795-5485A9E31F46}" name="Depr Meth" dataDxfId="24" dataCellStyle="Normal 98"/>
    <tableColumn id="31" xr3:uid="{1AA12C84-B41F-4B07-B8F9-F0727FDAF212}" name="Beg Date" dataDxfId="23" dataCellStyle="Normal 98"/>
    <tableColumn id="32" xr3:uid="{DDFEE8C8-DA04-451C-A502-EC41FF7B6EEE}" name="Dbase" dataDxfId="22" dataCellStyle="Normal 98"/>
    <tableColumn id="33" xr3:uid="{21C08913-9D60-4885-BA8F-AF5657EAE54F}" name="Seq" dataDxfId="21" dataCellStyle="Normal 98"/>
    <tableColumn id="34" xr3:uid="{E184A543-A1C1-4534-BE8C-A74492BF0597}" name="Beg Depr" dataDxfId="20" dataCellStyle="Normal 98"/>
    <tableColumn id="35" xr3:uid="{F9FFDEB4-141B-483C-8D20-CCBDD1C50434}" name="Truck #" dataCellStyle="Normal 97"/>
    <tableColumn id="36" xr3:uid="{84FD107F-B53A-4304-8FD9-B432EBDDF89F}" name="Equipment Type" dataCellStyle="Normal 97"/>
    <tableColumn id="37" xr3:uid="{5291DB48-F07B-4D71-B8C7-7BBDB301CDCD}" name="Month" dataDxfId="19" dataCellStyle="Normal 97">
      <calculatedColumnFormula>MONTH($L14)</calculatedColumnFormula>
    </tableColumn>
    <tableColumn id="38" xr3:uid="{99EE286D-3E32-4CB8-A3E1-0AFAD0C712E8}" name="YearPIS" dataDxfId="18" dataCellStyle="Normal 97">
      <calculatedColumnFormula>YEAR($L14)</calculatedColumnFormula>
    </tableColumn>
    <tableColumn id="39" xr3:uid="{BC94E814-7B04-4E52-B38D-318FB19D602F}" name="Year Fully Dep" dataDxfId="17" dataCellStyle="Normal 97">
      <calculatedColumnFormula>$AL14+($O14/100)</calculatedColumnFormula>
    </tableColumn>
    <tableColumn id="40" xr3:uid="{ADC06A5E-0057-4732-B68D-E7C091D0E3F5}" name="Year/Mo Fully Dep" dataDxfId="16" dataCellStyle="Normal 97">
      <calculatedColumnFormula>$AM14+($AK14/12)</calculatedColumnFormula>
    </tableColumn>
    <tableColumn id="41" xr3:uid="{8727DF32-9DFF-4B5E-8109-EC5270E57D79}" name="Monthly Dep" dataDxfId="15" dataCellStyle="Normal 97">
      <calculatedColumnFormula>IFERROR($Q14/($O14/100)/12,0)</calculatedColumnFormula>
    </tableColumn>
    <tableColumn id="42" xr3:uid="{22415C08-E401-40B4-A3AF-677955767EE5}" name="Annual Dep" dataDxfId="14" dataCellStyle="Normal 97">
      <calculatedColumnFormula>$AO14*12</calculatedColumnFormula>
    </tableColumn>
    <tableColumn id="43" xr3:uid="{0BFDA719-A3A0-4A64-97CD-F69470AA5765}" name="Test Year Dep" dataDxfId="13" dataCellStyle="Normal 97">
      <calculatedColumnFormula>+IF(AN14&lt;=$AI$9,0,AP14)</calculatedColumnFormula>
    </tableColumn>
    <tableColumn id="44" xr3:uid="{E61F8562-AB2F-4077-872C-B96B73B27193}" name="BOY Accum" dataDxfId="12" dataCellStyle="Normal 97">
      <calculatedColumnFormula>+IF(AN14&lt;=$AI$10,Q14,IF((AL14+(AK14/12))&gt;=$AI$10,0,((Q14-((AN14-$AI$10)*12)*AO14))))</calculatedColumnFormula>
    </tableColumn>
    <tableColumn id="45" xr3:uid="{48CB6880-EE1F-4E66-AD49-CBB236F8A566}" name="EOY Accum" dataDxfId="11" dataCellStyle="Normal 97">
      <calculatedColumnFormula>+IF(AN14&lt;$AI$9,Q14,AQ14+AR14)</calculatedColumnFormula>
    </tableColumn>
    <tableColumn id="46" xr3:uid="{12525E68-F303-45DF-90E5-461E723BD6B2}" name="EOY Average Investment" dataDxfId="10" dataCellStyle="Normal 97">
      <calculatedColumnFormula>$Q14-$AS14</calculatedColumnFormula>
    </tableColumn>
    <tableColumn id="47" xr3:uid="{0E2780D1-DBF4-46FE-9FFD-5A228F3E313B}" name="Pre 1/1/2021 Add?" dataCellStyle="Normal 97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R94"/>
  <sheetViews>
    <sheetView tabSelected="1" topLeftCell="A25" zoomScale="115" zoomScaleNormal="115" workbookViewId="0">
      <selection activeCell="F37" sqref="F37"/>
    </sheetView>
  </sheetViews>
  <sheetFormatPr defaultColWidth="8.88671875" defaultRowHeight="12"/>
  <cols>
    <col min="1" max="1" width="21.33203125" style="1" customWidth="1"/>
    <col min="2" max="2" width="10.44140625" style="1" customWidth="1"/>
    <col min="3" max="3" width="10.109375" style="1" bestFit="1" customWidth="1"/>
    <col min="4" max="4" width="11.33203125" style="1" bestFit="1" customWidth="1"/>
    <col min="5" max="5" width="11.88671875" style="1" customWidth="1"/>
    <col min="6" max="8" width="9.6640625" style="1" bestFit="1" customWidth="1"/>
    <col min="9" max="9" width="3.5546875" style="1" bestFit="1" customWidth="1"/>
    <col min="10" max="10" width="18.77734375" style="1" customWidth="1"/>
    <col min="11" max="11" width="9.6640625" style="1" bestFit="1" customWidth="1"/>
    <col min="12" max="17" width="8.88671875" style="1"/>
    <col min="18" max="18" width="3.5546875" style="1" bestFit="1" customWidth="1"/>
    <col min="19" max="19" width="17.44140625" style="1" customWidth="1"/>
    <col min="20" max="27" width="8.88671875" style="1"/>
    <col min="28" max="28" width="17.44140625" style="1" customWidth="1"/>
    <col min="29" max="30" width="8.88671875" style="1"/>
    <col min="31" max="31" width="12.33203125" style="1" bestFit="1" customWidth="1"/>
    <col min="32" max="36" width="8.88671875" style="1"/>
    <col min="37" max="37" width="17.44140625" style="1" customWidth="1"/>
    <col min="38" max="16384" width="8.88671875" style="1"/>
  </cols>
  <sheetData>
    <row r="1" spans="1:44">
      <c r="A1" s="297" t="s">
        <v>269</v>
      </c>
      <c r="B1" s="298"/>
    </row>
    <row r="2" spans="1:44">
      <c r="A2" s="297" t="s">
        <v>270</v>
      </c>
    </row>
    <row r="3" spans="1:44" ht="12.75" thickBot="1">
      <c r="A3" s="297"/>
    </row>
    <row r="4" spans="1:44" ht="12" customHeight="1">
      <c r="A4" s="568" t="s">
        <v>1873</v>
      </c>
      <c r="B4" s="569"/>
      <c r="C4" s="569"/>
      <c r="D4" s="569"/>
      <c r="E4" s="569"/>
      <c r="F4" s="569"/>
      <c r="G4" s="569"/>
      <c r="H4" s="570"/>
      <c r="J4" s="568" t="s">
        <v>1874</v>
      </c>
      <c r="K4" s="569"/>
      <c r="L4" s="569"/>
      <c r="M4" s="569"/>
      <c r="N4" s="569"/>
      <c r="O4" s="569"/>
      <c r="P4" s="569"/>
      <c r="Q4" s="570"/>
      <c r="S4" s="568" t="s">
        <v>1876</v>
      </c>
      <c r="T4" s="569"/>
      <c r="U4" s="569"/>
      <c r="V4" s="569"/>
      <c r="W4" s="569"/>
      <c r="X4" s="569"/>
      <c r="Y4" s="569"/>
      <c r="Z4" s="570"/>
      <c r="AA4" s="538"/>
      <c r="AB4" s="568" t="s">
        <v>2305</v>
      </c>
      <c r="AC4" s="569"/>
      <c r="AD4" s="569"/>
      <c r="AE4" s="569"/>
      <c r="AF4" s="569"/>
      <c r="AG4" s="569"/>
      <c r="AH4" s="569"/>
      <c r="AI4" s="570"/>
      <c r="AK4" s="568" t="s">
        <v>1878</v>
      </c>
      <c r="AL4" s="569"/>
      <c r="AM4" s="569"/>
      <c r="AN4" s="569"/>
      <c r="AO4" s="569"/>
      <c r="AP4" s="569"/>
      <c r="AQ4" s="569"/>
      <c r="AR4" s="570"/>
    </row>
    <row r="5" spans="1:44" ht="12" customHeight="1">
      <c r="A5" s="571"/>
      <c r="B5" s="572"/>
      <c r="C5" s="572"/>
      <c r="D5" s="572"/>
      <c r="E5" s="572"/>
      <c r="F5" s="572"/>
      <c r="G5" s="572"/>
      <c r="H5" s="573"/>
      <c r="J5" s="571"/>
      <c r="K5" s="572"/>
      <c r="L5" s="572"/>
      <c r="M5" s="572"/>
      <c r="N5" s="572"/>
      <c r="O5" s="572"/>
      <c r="P5" s="572"/>
      <c r="Q5" s="573"/>
      <c r="S5" s="571"/>
      <c r="T5" s="572"/>
      <c r="U5" s="572"/>
      <c r="V5" s="572"/>
      <c r="W5" s="572"/>
      <c r="X5" s="572"/>
      <c r="Y5" s="572"/>
      <c r="Z5" s="573"/>
      <c r="AA5" s="538"/>
      <c r="AB5" s="571"/>
      <c r="AC5" s="572"/>
      <c r="AD5" s="572"/>
      <c r="AE5" s="572"/>
      <c r="AF5" s="572"/>
      <c r="AG5" s="572"/>
      <c r="AH5" s="572"/>
      <c r="AI5" s="573"/>
      <c r="AK5" s="571"/>
      <c r="AL5" s="572"/>
      <c r="AM5" s="572"/>
      <c r="AN5" s="572"/>
      <c r="AO5" s="572"/>
      <c r="AP5" s="572"/>
      <c r="AQ5" s="572"/>
      <c r="AR5" s="573"/>
    </row>
    <row r="6" spans="1:44">
      <c r="A6" s="299"/>
      <c r="B6" s="216"/>
      <c r="C6" s="216"/>
      <c r="D6" s="216"/>
      <c r="E6" s="216"/>
      <c r="F6" s="217" t="s">
        <v>18</v>
      </c>
      <c r="G6" s="217" t="s">
        <v>73</v>
      </c>
      <c r="H6" s="300" t="s">
        <v>38</v>
      </c>
      <c r="J6" s="299"/>
      <c r="K6" s="216"/>
      <c r="L6" s="216"/>
      <c r="M6" s="216"/>
      <c r="N6" s="216"/>
      <c r="O6" s="217" t="s">
        <v>18</v>
      </c>
      <c r="P6" s="217" t="s">
        <v>73</v>
      </c>
      <c r="Q6" s="300" t="s">
        <v>38</v>
      </c>
      <c r="S6" s="299"/>
      <c r="T6" s="216"/>
      <c r="U6" s="216"/>
      <c r="V6" s="216"/>
      <c r="W6" s="216"/>
      <c r="X6" s="217" t="s">
        <v>18</v>
      </c>
      <c r="Y6" s="217" t="s">
        <v>73</v>
      </c>
      <c r="Z6" s="300" t="s">
        <v>38</v>
      </c>
      <c r="AA6" s="539"/>
      <c r="AB6" s="299"/>
      <c r="AC6" s="216"/>
      <c r="AD6" s="216"/>
      <c r="AE6" s="216"/>
      <c r="AF6" s="216"/>
      <c r="AG6" s="217" t="s">
        <v>18</v>
      </c>
      <c r="AH6" s="217" t="s">
        <v>73</v>
      </c>
      <c r="AI6" s="300" t="s">
        <v>38</v>
      </c>
      <c r="AK6" s="299"/>
      <c r="AL6" s="216"/>
      <c r="AM6" s="216"/>
      <c r="AN6" s="216"/>
      <c r="AO6" s="216"/>
      <c r="AP6" s="217" t="s">
        <v>18</v>
      </c>
      <c r="AQ6" s="217" t="s">
        <v>73</v>
      </c>
      <c r="AR6" s="300" t="s">
        <v>38</v>
      </c>
    </row>
    <row r="7" spans="1:44">
      <c r="A7" s="301" t="s">
        <v>74</v>
      </c>
      <c r="B7" s="217" t="s">
        <v>42</v>
      </c>
      <c r="C7" s="217" t="s">
        <v>23</v>
      </c>
      <c r="D7" s="217" t="s">
        <v>64</v>
      </c>
      <c r="E7" s="217" t="s">
        <v>75</v>
      </c>
      <c r="F7" s="217" t="s">
        <v>76</v>
      </c>
      <c r="G7" s="217" t="s">
        <v>76</v>
      </c>
      <c r="H7" s="300" t="s">
        <v>45</v>
      </c>
      <c r="J7" s="301" t="s">
        <v>74</v>
      </c>
      <c r="K7" s="217" t="s">
        <v>42</v>
      </c>
      <c r="L7" s="217" t="s">
        <v>23</v>
      </c>
      <c r="M7" s="217" t="s">
        <v>64</v>
      </c>
      <c r="N7" s="217" t="s">
        <v>75</v>
      </c>
      <c r="O7" s="217" t="s">
        <v>76</v>
      </c>
      <c r="P7" s="217" t="s">
        <v>76</v>
      </c>
      <c r="Q7" s="300" t="s">
        <v>45</v>
      </c>
      <c r="S7" s="301" t="s">
        <v>74</v>
      </c>
      <c r="T7" s="217" t="s">
        <v>42</v>
      </c>
      <c r="U7" s="217" t="s">
        <v>23</v>
      </c>
      <c r="V7" s="217" t="s">
        <v>64</v>
      </c>
      <c r="W7" s="217" t="s">
        <v>75</v>
      </c>
      <c r="X7" s="217" t="s">
        <v>76</v>
      </c>
      <c r="Y7" s="217" t="s">
        <v>76</v>
      </c>
      <c r="Z7" s="300" t="s">
        <v>45</v>
      </c>
      <c r="AA7" s="539"/>
      <c r="AB7" s="301" t="s">
        <v>74</v>
      </c>
      <c r="AC7" s="217" t="s">
        <v>42</v>
      </c>
      <c r="AD7" s="217" t="s">
        <v>23</v>
      </c>
      <c r="AE7" s="217" t="s">
        <v>64</v>
      </c>
      <c r="AF7" s="217" t="s">
        <v>75</v>
      </c>
      <c r="AG7" s="217" t="s">
        <v>76</v>
      </c>
      <c r="AH7" s="217" t="s">
        <v>76</v>
      </c>
      <c r="AI7" s="300" t="s">
        <v>45</v>
      </c>
      <c r="AK7" s="301" t="s">
        <v>74</v>
      </c>
      <c r="AL7" s="217" t="s">
        <v>42</v>
      </c>
      <c r="AM7" s="217" t="s">
        <v>23</v>
      </c>
      <c r="AN7" s="217" t="s">
        <v>64</v>
      </c>
      <c r="AO7" s="217" t="s">
        <v>75</v>
      </c>
      <c r="AP7" s="217" t="s">
        <v>76</v>
      </c>
      <c r="AQ7" s="217" t="s">
        <v>76</v>
      </c>
      <c r="AR7" s="300" t="s">
        <v>45</v>
      </c>
    </row>
    <row r="8" spans="1:44">
      <c r="A8" s="302"/>
      <c r="B8" s="218"/>
      <c r="C8" s="218"/>
      <c r="D8" s="218" t="s">
        <v>42</v>
      </c>
      <c r="E8" s="218" t="s">
        <v>64</v>
      </c>
      <c r="F8" s="219">
        <v>44774</v>
      </c>
      <c r="G8" s="219">
        <v>45138</v>
      </c>
      <c r="H8" s="303">
        <f>G8</f>
        <v>45138</v>
      </c>
      <c r="I8" s="2"/>
      <c r="J8" s="302"/>
      <c r="K8" s="218"/>
      <c r="L8" s="218"/>
      <c r="M8" s="218" t="s">
        <v>42</v>
      </c>
      <c r="N8" s="218" t="s">
        <v>64</v>
      </c>
      <c r="O8" s="219">
        <f>+F8</f>
        <v>44774</v>
      </c>
      <c r="P8" s="219">
        <f>+G8</f>
        <v>45138</v>
      </c>
      <c r="Q8" s="303">
        <f>+H8</f>
        <v>45138</v>
      </c>
      <c r="S8" s="302"/>
      <c r="T8" s="218"/>
      <c r="U8" s="218"/>
      <c r="V8" s="218" t="s">
        <v>42</v>
      </c>
      <c r="W8" s="218" t="s">
        <v>64</v>
      </c>
      <c r="X8" s="219">
        <f>+F8</f>
        <v>44774</v>
      </c>
      <c r="Y8" s="219">
        <f>+G8</f>
        <v>45138</v>
      </c>
      <c r="Z8" s="303">
        <f>+H8</f>
        <v>45138</v>
      </c>
      <c r="AA8" s="540"/>
      <c r="AB8" s="302"/>
      <c r="AC8" s="218"/>
      <c r="AD8" s="218"/>
      <c r="AE8" s="218" t="s">
        <v>42</v>
      </c>
      <c r="AF8" s="218" t="s">
        <v>64</v>
      </c>
      <c r="AG8" s="219">
        <f>+O8</f>
        <v>44774</v>
      </c>
      <c r="AH8" s="219">
        <f>+P8</f>
        <v>45138</v>
      </c>
      <c r="AI8" s="303">
        <f>+Q8</f>
        <v>45138</v>
      </c>
      <c r="AK8" s="302"/>
      <c r="AL8" s="218"/>
      <c r="AM8" s="218"/>
      <c r="AN8" s="218" t="s">
        <v>42</v>
      </c>
      <c r="AO8" s="218" t="s">
        <v>64</v>
      </c>
      <c r="AP8" s="219">
        <f>+F8</f>
        <v>44774</v>
      </c>
      <c r="AQ8" s="219">
        <f>+G8</f>
        <v>45138</v>
      </c>
      <c r="AR8" s="303">
        <f>+H8</f>
        <v>45138</v>
      </c>
    </row>
    <row r="9" spans="1:44">
      <c r="A9" s="304" t="s">
        <v>77</v>
      </c>
      <c r="B9" s="3"/>
      <c r="H9" s="305"/>
      <c r="I9" s="2"/>
      <c r="J9" s="304" t="s">
        <v>77</v>
      </c>
      <c r="K9" s="3"/>
      <c r="Q9" s="305"/>
      <c r="S9" s="304" t="s">
        <v>77</v>
      </c>
      <c r="T9" s="3"/>
      <c r="Z9" s="305"/>
      <c r="AB9" s="304" t="s">
        <v>77</v>
      </c>
      <c r="AC9" s="3"/>
      <c r="AI9" s="305"/>
      <c r="AK9" s="304" t="s">
        <v>77</v>
      </c>
      <c r="AL9" s="3"/>
      <c r="AR9" s="305"/>
    </row>
    <row r="10" spans="1:44">
      <c r="A10" s="306" t="s">
        <v>1881</v>
      </c>
      <c r="B10" s="199">
        <f>'2112 Trks'!L46</f>
        <v>6225167.8499999996</v>
      </c>
      <c r="C10" s="199">
        <f>B10-D10</f>
        <v>0</v>
      </c>
      <c r="D10" s="199">
        <f>'2112 Trks'!M46</f>
        <v>6225167.8499999996</v>
      </c>
      <c r="E10" s="199">
        <f>'2112 Trks'!P46</f>
        <v>530288.13599999994</v>
      </c>
      <c r="F10" s="199">
        <f>'2112 Trks'!Q46</f>
        <v>3013029.6114167082</v>
      </c>
      <c r="G10" s="199">
        <f>'2112 Trks'!R46</f>
        <v>3554471.5807500388</v>
      </c>
      <c r="H10" s="307">
        <f>'2112 Trks'!S46</f>
        <v>2670696.2692499608</v>
      </c>
      <c r="J10" s="306" t="s">
        <v>1881</v>
      </c>
      <c r="K10" s="199">
        <f>+SUMIF('FAR Dep Summary'!$A$23:$A$38,Summary!$J10,'FAR Dep Summary'!$B$23:$B$38)</f>
        <v>1278245.28</v>
      </c>
      <c r="L10" s="199">
        <f>K10-M10</f>
        <v>0</v>
      </c>
      <c r="M10" s="199">
        <f>+SUMIF('FAR Dep Summary'!$A$23:$A$38,Summary!$J10,'FAR Dep Summary'!B$23:B$38)</f>
        <v>1278245.28</v>
      </c>
      <c r="N10" s="199">
        <f>+SUMIF('FAR Dep Summary'!$A$23:$A$38,Summary!$J10,'FAR Dep Summary'!C$23:C$38)</f>
        <v>48924.829666666665</v>
      </c>
      <c r="O10" s="199">
        <f>+SUMIF('FAR Dep Summary'!$A$23:$A$38,Summary!$J10,'FAR Dep Summary'!D$23:D$38)</f>
        <v>835737.6725000001</v>
      </c>
      <c r="P10" s="199">
        <f>+SUMIF('FAR Dep Summary'!$A$23:$A$38,Summary!$J10,'FAR Dep Summary'!E$23:E$38)</f>
        <v>884662.50216666656</v>
      </c>
      <c r="Q10" s="307">
        <f>+SUMIF('FAR Dep Summary'!$A$23:$A$38,Summary!$J10,'FAR Dep Summary'!F$23:F$38)</f>
        <v>393582.77783333336</v>
      </c>
      <c r="S10" s="306" t="s">
        <v>1881</v>
      </c>
      <c r="T10" s="199">
        <f>+SUMIF('Bud Capital Input'!$L$62:$L$64,$S10, 'Bud Capital Input'!$P$62:$P$64)</f>
        <v>0</v>
      </c>
      <c r="U10" s="199">
        <v>0</v>
      </c>
      <c r="V10" s="199">
        <f>+T10-U10</f>
        <v>0</v>
      </c>
      <c r="W10" s="199">
        <f>+SUMIF('Bud Capital Input'!$L$62:$L$64,$S10, 'Bud Capital Input'!$R$62:$R$64)</f>
        <v>0</v>
      </c>
      <c r="X10" s="199">
        <v>0</v>
      </c>
      <c r="Y10" s="199">
        <f>+W10+X10</f>
        <v>0</v>
      </c>
      <c r="Z10" s="307">
        <f>+V10-Y10</f>
        <v>0</v>
      </c>
      <c r="AA10" s="199"/>
      <c r="AB10" s="306" t="s">
        <v>1881</v>
      </c>
      <c r="AC10" s="199"/>
      <c r="AD10" s="199"/>
      <c r="AE10" s="199"/>
      <c r="AF10" s="199"/>
      <c r="AG10" s="199"/>
      <c r="AH10" s="199"/>
      <c r="AI10" s="307"/>
      <c r="AK10" s="306" t="s">
        <v>1881</v>
      </c>
      <c r="AL10" s="199">
        <f>+B10+K10+T10</f>
        <v>7503413.1299999999</v>
      </c>
      <c r="AM10" s="199"/>
      <c r="AN10" s="199">
        <f>+D10+M10+V10</f>
        <v>7503413.1299999999</v>
      </c>
      <c r="AO10" s="199">
        <f>+E10+N10+W10</f>
        <v>579212.96566666663</v>
      </c>
      <c r="AP10" s="199">
        <f>+F10+O10+X10</f>
        <v>3848767.2839167081</v>
      </c>
      <c r="AQ10" s="199">
        <f>+G10+P10+Y10</f>
        <v>4439134.0829167049</v>
      </c>
      <c r="AR10" s="307">
        <f>+H10+Q10+Z10</f>
        <v>3064279.047083294</v>
      </c>
    </row>
    <row r="11" spans="1:44">
      <c r="A11" s="306"/>
      <c r="B11" s="199"/>
      <c r="C11" s="199"/>
      <c r="D11" s="199"/>
      <c r="E11" s="199"/>
      <c r="F11" s="199"/>
      <c r="G11" s="199"/>
      <c r="H11" s="307"/>
      <c r="I11" s="4"/>
      <c r="J11" s="306"/>
      <c r="K11" s="199"/>
      <c r="L11" s="199"/>
      <c r="M11" s="199"/>
      <c r="N11" s="199"/>
      <c r="O11" s="199"/>
      <c r="P11" s="199"/>
      <c r="Q11" s="307"/>
      <c r="S11" s="306"/>
      <c r="T11" s="199"/>
      <c r="U11" s="199"/>
      <c r="V11" s="199"/>
      <c r="W11" s="199"/>
      <c r="X11" s="199"/>
      <c r="Y11" s="199"/>
      <c r="Z11" s="307"/>
      <c r="AA11" s="199"/>
      <c r="AB11" s="306"/>
      <c r="AC11" s="199"/>
      <c r="AD11" s="199"/>
      <c r="AE11" s="199"/>
      <c r="AF11" s="199"/>
      <c r="AG11" s="199"/>
      <c r="AH11" s="199"/>
      <c r="AI11" s="307"/>
      <c r="AK11" s="306"/>
      <c r="AL11" s="199"/>
      <c r="AM11" s="199"/>
      <c r="AN11" s="199"/>
      <c r="AO11" s="199"/>
      <c r="AP11" s="199"/>
      <c r="AQ11" s="199"/>
      <c r="AR11" s="307"/>
    </row>
    <row r="12" spans="1:44">
      <c r="A12" s="306" t="s">
        <v>1882</v>
      </c>
      <c r="B12" s="199">
        <f>'2112 Trks'!L73</f>
        <v>2500</v>
      </c>
      <c r="C12" s="199">
        <f>B12-D12</f>
        <v>0</v>
      </c>
      <c r="D12" s="199">
        <f>'2112 Trks'!M73</f>
        <v>2500</v>
      </c>
      <c r="E12" s="199">
        <f>'2112 Trks'!P73</f>
        <v>0</v>
      </c>
      <c r="F12" s="199">
        <f>'2112 Trks'!Q73</f>
        <v>2500</v>
      </c>
      <c r="G12" s="199">
        <f>'2112 Trks'!R73</f>
        <v>2500</v>
      </c>
      <c r="H12" s="307">
        <f>'2112 Trks'!S73</f>
        <v>0</v>
      </c>
      <c r="I12" s="4"/>
      <c r="J12" s="306" t="s">
        <v>1882</v>
      </c>
      <c r="K12" s="199">
        <f>+SUMIF('FAR Dep Summary'!$A$23:$A$38,Summary!$J12,'FAR Dep Summary'!$B$23:$B$38)</f>
        <v>648123.14999999991</v>
      </c>
      <c r="L12" s="199">
        <f>K12-M12</f>
        <v>0</v>
      </c>
      <c r="M12" s="199">
        <f>+SUMIF('FAR Dep Summary'!$A$23:$A$38,Summary!$J12,'FAR Dep Summary'!B$23:B$38)</f>
        <v>648123.14999999991</v>
      </c>
      <c r="N12" s="199">
        <f>+SUMIF('FAR Dep Summary'!$A$23:$A$38,Summary!$J12,'FAR Dep Summary'!C$23:C$38)</f>
        <v>89314.395000000004</v>
      </c>
      <c r="O12" s="199">
        <f>+SUMIF('FAR Dep Summary'!$A$23:$A$38,Summary!$J12,'FAR Dep Summary'!D$23:D$38)</f>
        <v>337877.92375000555</v>
      </c>
      <c r="P12" s="199">
        <f>+SUMIF('FAR Dep Summary'!$A$23:$A$38,Summary!$J12,'FAR Dep Summary'!E$23:E$38)</f>
        <v>427192.31875000551</v>
      </c>
      <c r="Q12" s="307">
        <f>+SUMIF('FAR Dep Summary'!$A$23:$A$38,Summary!$J12,'FAR Dep Summary'!F$23:F$38)</f>
        <v>220930.83124999446</v>
      </c>
      <c r="S12" s="306" t="s">
        <v>1882</v>
      </c>
      <c r="T12" s="199">
        <f>+SUMIF('Bud Capital Input'!$L$62:$L$64,$S12, 'Bud Capital Input'!$P$62:$P$64)</f>
        <v>0</v>
      </c>
      <c r="U12" s="199">
        <v>0</v>
      </c>
      <c r="V12" s="199">
        <f>+T12-U12</f>
        <v>0</v>
      </c>
      <c r="W12" s="199">
        <f>+SUMIF('Bud Capital Input'!$L$62:$L$64,$S12, 'Bud Capital Input'!$R$62:$R$64)</f>
        <v>0</v>
      </c>
      <c r="X12" s="199">
        <v>0</v>
      </c>
      <c r="Y12" s="199">
        <f>+W12+X12</f>
        <v>0</v>
      </c>
      <c r="Z12" s="307">
        <f>+V12-Y12</f>
        <v>0</v>
      </c>
      <c r="AA12" s="199"/>
      <c r="AB12" s="306" t="s">
        <v>1882</v>
      </c>
      <c r="AC12" s="199"/>
      <c r="AD12" s="199"/>
      <c r="AE12" s="199"/>
      <c r="AF12" s="199"/>
      <c r="AG12" s="199"/>
      <c r="AH12" s="199"/>
      <c r="AI12" s="307"/>
      <c r="AK12" s="306" t="s">
        <v>1882</v>
      </c>
      <c r="AL12" s="199">
        <f>+B12+K12+T12</f>
        <v>650623.14999999991</v>
      </c>
      <c r="AM12" s="199"/>
      <c r="AN12" s="199">
        <f>+D12+M12+V12</f>
        <v>650623.14999999991</v>
      </c>
      <c r="AO12" s="199">
        <f>+E12+N12+W12</f>
        <v>89314.395000000004</v>
      </c>
      <c r="AP12" s="199">
        <f>+F12+O12+X12</f>
        <v>340377.92375000555</v>
      </c>
      <c r="AQ12" s="199">
        <f>+G12+P12+Y12</f>
        <v>429692.31875000551</v>
      </c>
      <c r="AR12" s="307">
        <f>+H12+Q12+Z12</f>
        <v>220930.83124999446</v>
      </c>
    </row>
    <row r="13" spans="1:44">
      <c r="A13" s="306"/>
      <c r="B13" s="199"/>
      <c r="C13" s="199"/>
      <c r="D13" s="199"/>
      <c r="E13" s="199"/>
      <c r="F13" s="199"/>
      <c r="G13" s="199"/>
      <c r="H13" s="307"/>
      <c r="I13" s="4"/>
      <c r="J13" s="306"/>
      <c r="K13" s="199"/>
      <c r="L13" s="199"/>
      <c r="M13" s="199"/>
      <c r="N13" s="199"/>
      <c r="O13" s="199"/>
      <c r="P13" s="199"/>
      <c r="Q13" s="307"/>
      <c r="S13" s="306"/>
      <c r="T13" s="199"/>
      <c r="U13" s="199"/>
      <c r="V13" s="199"/>
      <c r="W13" s="199"/>
      <c r="X13" s="199"/>
      <c r="Y13" s="199"/>
      <c r="Z13" s="307"/>
      <c r="AA13" s="199"/>
      <c r="AB13" s="306"/>
      <c r="AC13" s="199"/>
      <c r="AD13" s="199"/>
      <c r="AE13" s="199"/>
      <c r="AF13" s="199"/>
      <c r="AG13" s="199"/>
      <c r="AH13" s="199"/>
      <c r="AI13" s="307"/>
      <c r="AK13" s="306"/>
      <c r="AL13" s="199"/>
      <c r="AM13" s="199"/>
      <c r="AN13" s="199"/>
      <c r="AO13" s="199"/>
      <c r="AP13" s="199"/>
      <c r="AQ13" s="199"/>
      <c r="AR13" s="307"/>
    </row>
    <row r="14" spans="1:44">
      <c r="A14" s="306" t="s">
        <v>1879</v>
      </c>
      <c r="B14" s="199">
        <f>'2112 Trks'!L58</f>
        <v>679214.35000000009</v>
      </c>
      <c r="C14" s="199">
        <f>B14-D14</f>
        <v>0</v>
      </c>
      <c r="D14" s="199">
        <f>'2112 Trks'!M58</f>
        <v>679214.35000000009</v>
      </c>
      <c r="E14" s="199">
        <f>'2112 Trks'!P58</f>
        <v>59816.366000000009</v>
      </c>
      <c r="F14" s="199">
        <f>'2112 Trks'!Q58</f>
        <v>362769.54500000365</v>
      </c>
      <c r="G14" s="199">
        <f>'2112 Trks'!R58</f>
        <v>422585.91100000363</v>
      </c>
      <c r="H14" s="307">
        <f>'2112 Trks'!S58</f>
        <v>256628.4389999964</v>
      </c>
      <c r="I14" s="4"/>
      <c r="J14" s="306" t="s">
        <v>1879</v>
      </c>
      <c r="K14" s="199">
        <f>+SUMIF('FAR Dep Summary'!$A$23:$A$38,Summary!$J14,'FAR Dep Summary'!$B$23:$B$38)</f>
        <v>716836.3899999999</v>
      </c>
      <c r="L14" s="199">
        <f>K14-M14</f>
        <v>0</v>
      </c>
      <c r="M14" s="199">
        <f>+SUMIF('FAR Dep Summary'!$A$23:$A$38,Summary!$J14,'FAR Dep Summary'!B$23:B$38)</f>
        <v>716836.3899999999</v>
      </c>
      <c r="N14" s="199">
        <f>+SUMIF('FAR Dep Summary'!$A$23:$A$38,Summary!$J14,'FAR Dep Summary'!C$23:C$38)</f>
        <v>69660.875571428565</v>
      </c>
      <c r="O14" s="199">
        <f>+SUMIF('FAR Dep Summary'!$A$23:$A$38,Summary!$J14,'FAR Dep Summary'!D$23:D$38)</f>
        <v>56745.053928571433</v>
      </c>
      <c r="P14" s="199">
        <f>+SUMIF('FAR Dep Summary'!$A$23:$A$38,Summary!$J14,'FAR Dep Summary'!E$23:E$38)</f>
        <v>126405.9295</v>
      </c>
      <c r="Q14" s="307">
        <f>+SUMIF('FAR Dep Summary'!$A$23:$A$38,Summary!$J14,'FAR Dep Summary'!F$23:F$38)</f>
        <v>590430.46050000004</v>
      </c>
      <c r="S14" s="306" t="s">
        <v>1879</v>
      </c>
      <c r="T14" s="199">
        <f>+SUMIF('Bud Capital Input'!$L$62:$L$64,$S14, 'Bud Capital Input'!$P$62:$P$64)</f>
        <v>0</v>
      </c>
      <c r="U14" s="199">
        <v>0</v>
      </c>
      <c r="V14" s="199">
        <f>+T14-U14</f>
        <v>0</v>
      </c>
      <c r="W14" s="199">
        <f>+SUMIF('Bud Capital Input'!$L$62:$L$64,$S14, 'Bud Capital Input'!$R$62:$R$64)</f>
        <v>0</v>
      </c>
      <c r="X14" s="199">
        <v>0</v>
      </c>
      <c r="Y14" s="199">
        <f>+W14+X14</f>
        <v>0</v>
      </c>
      <c r="Z14" s="307">
        <f>+V14-Y14</f>
        <v>0</v>
      </c>
      <c r="AA14" s="199"/>
      <c r="AB14" s="306" t="s">
        <v>1879</v>
      </c>
      <c r="AC14" s="199"/>
      <c r="AD14" s="199"/>
      <c r="AE14" s="199"/>
      <c r="AF14" s="199"/>
      <c r="AG14" s="199"/>
      <c r="AH14" s="199"/>
      <c r="AI14" s="307"/>
      <c r="AK14" s="306" t="s">
        <v>1879</v>
      </c>
      <c r="AL14" s="199">
        <f>+B14+K14+T14</f>
        <v>1396050.74</v>
      </c>
      <c r="AM14" s="199"/>
      <c r="AN14" s="199">
        <f>+D14+M14+V14</f>
        <v>1396050.74</v>
      </c>
      <c r="AO14" s="199">
        <f>+E14+N14+W14</f>
        <v>129477.24157142857</v>
      </c>
      <c r="AP14" s="199">
        <f>+F14+O14+X14</f>
        <v>419514.59892857505</v>
      </c>
      <c r="AQ14" s="199">
        <f>+G14+P14+Y14</f>
        <v>548991.84050000366</v>
      </c>
      <c r="AR14" s="307">
        <f>+H14+Q14+Z14</f>
        <v>847058.89949999645</v>
      </c>
    </row>
    <row r="15" spans="1:44">
      <c r="A15" s="306"/>
      <c r="B15" s="199"/>
      <c r="C15" s="199"/>
      <c r="D15" s="199"/>
      <c r="E15" s="199"/>
      <c r="F15" s="199"/>
      <c r="G15" s="199"/>
      <c r="H15" s="307"/>
      <c r="J15" s="306"/>
      <c r="K15" s="199"/>
      <c r="L15" s="199"/>
      <c r="M15" s="199"/>
      <c r="N15" s="199"/>
      <c r="O15" s="199"/>
      <c r="P15" s="199"/>
      <c r="Q15" s="307"/>
      <c r="S15" s="306"/>
      <c r="T15" s="199"/>
      <c r="U15" s="199"/>
      <c r="V15" s="199"/>
      <c r="W15" s="199"/>
      <c r="X15" s="199"/>
      <c r="Y15" s="199"/>
      <c r="Z15" s="307"/>
      <c r="AA15" s="199"/>
      <c r="AB15" s="306"/>
      <c r="AC15" s="199"/>
      <c r="AD15" s="199"/>
      <c r="AE15" s="199"/>
      <c r="AF15" s="199"/>
      <c r="AG15" s="199"/>
      <c r="AH15" s="199"/>
      <c r="AI15" s="307"/>
      <c r="AK15" s="306"/>
      <c r="AL15" s="199"/>
      <c r="AM15" s="199"/>
      <c r="AN15" s="199"/>
      <c r="AO15" s="199"/>
      <c r="AP15" s="199"/>
      <c r="AQ15" s="199"/>
      <c r="AR15" s="307"/>
    </row>
    <row r="16" spans="1:44">
      <c r="A16" s="306" t="s">
        <v>1884</v>
      </c>
      <c r="B16" s="199">
        <f>'2112 Trks'!L68</f>
        <v>831494.16</v>
      </c>
      <c r="C16" s="199">
        <f>B16-D16</f>
        <v>0</v>
      </c>
      <c r="D16" s="199">
        <f>'2112 Trks'!M68</f>
        <v>831494.16</v>
      </c>
      <c r="E16" s="199">
        <f>'2112 Trks'!P68</f>
        <v>32370.652000000002</v>
      </c>
      <c r="F16" s="199">
        <f>'2112 Trks'!Q68</f>
        <v>580621.60700000008</v>
      </c>
      <c r="G16" s="199">
        <f>'2112 Trks'!R68</f>
        <v>612992.25900000008</v>
      </c>
      <c r="H16" s="307">
        <f>'2112 Trks'!S68</f>
        <v>218501.90100000001</v>
      </c>
      <c r="I16" s="4"/>
      <c r="J16" s="306" t="s">
        <v>1884</v>
      </c>
      <c r="K16" s="199">
        <f>+SUMIF('FAR Dep Summary'!$A$23:$A$38,Summary!$J16,'FAR Dep Summary'!$B$23:$B$38)</f>
        <v>336407</v>
      </c>
      <c r="L16" s="199">
        <f>K16-M16</f>
        <v>0</v>
      </c>
      <c r="M16" s="199">
        <f>+SUMIF('FAR Dep Summary'!$A$23:$A$38,Summary!$J16,'FAR Dep Summary'!B$23:B$38)</f>
        <v>336407</v>
      </c>
      <c r="N16" s="199">
        <f>+SUMIF('FAR Dep Summary'!$A$23:$A$38,Summary!$J16,'FAR Dep Summary'!C$23:C$38)</f>
        <v>33640.700000000004</v>
      </c>
      <c r="O16" s="199">
        <f>+SUMIF('FAR Dep Summary'!$A$23:$A$38,Summary!$J16,'FAR Dep Summary'!D$23:D$38)</f>
        <v>0</v>
      </c>
      <c r="P16" s="199">
        <f>+SUMIF('FAR Dep Summary'!$A$23:$A$38,Summary!$J16,'FAR Dep Summary'!E$23:E$38)</f>
        <v>33640.700000000004</v>
      </c>
      <c r="Q16" s="307">
        <f>+SUMIF('FAR Dep Summary'!$A$23:$A$38,Summary!$J16,'FAR Dep Summary'!F$23:F$38)</f>
        <v>302766.3</v>
      </c>
      <c r="S16" s="306" t="s">
        <v>1884</v>
      </c>
      <c r="T16" s="199">
        <f>+SUMIF('Bud Capital Input'!$L$62:$L$64,$S16, 'Bud Capital Input'!$P$62:$P$64)</f>
        <v>0</v>
      </c>
      <c r="U16" s="199">
        <v>0</v>
      </c>
      <c r="V16" s="199">
        <f>+T16-U16</f>
        <v>0</v>
      </c>
      <c r="W16" s="199">
        <f>+SUMIF('Bud Capital Input'!$L$62:$L$64,$S16, 'Bud Capital Input'!$R$62:$R$64)</f>
        <v>0</v>
      </c>
      <c r="X16" s="199">
        <v>0</v>
      </c>
      <c r="Y16" s="199">
        <f>+W16+X16</f>
        <v>0</v>
      </c>
      <c r="Z16" s="307">
        <f>+V16-Y16</f>
        <v>0</v>
      </c>
      <c r="AA16" s="199"/>
      <c r="AB16" s="306" t="s">
        <v>1884</v>
      </c>
      <c r="AC16" s="199"/>
      <c r="AD16" s="199"/>
      <c r="AE16" s="199"/>
      <c r="AF16" s="199"/>
      <c r="AG16" s="199"/>
      <c r="AH16" s="199"/>
      <c r="AI16" s="307"/>
      <c r="AK16" s="306" t="s">
        <v>1884</v>
      </c>
      <c r="AL16" s="199">
        <f>+B16+K16+T16</f>
        <v>1167901.1600000001</v>
      </c>
      <c r="AM16" s="199"/>
      <c r="AN16" s="199">
        <f>+D16+M16+V16</f>
        <v>1167901.1600000001</v>
      </c>
      <c r="AO16" s="199">
        <f>+E16+N16+W16</f>
        <v>66011.352000000014</v>
      </c>
      <c r="AP16" s="199">
        <f>+F16+O16+X16</f>
        <v>580621.60700000008</v>
      </c>
      <c r="AQ16" s="199">
        <f>+G16+P16+Y16</f>
        <v>646632.95900000003</v>
      </c>
      <c r="AR16" s="307">
        <f>+H16+Q16+Z16</f>
        <v>521268.201</v>
      </c>
    </row>
    <row r="17" spans="1:44">
      <c r="A17" s="306"/>
      <c r="B17" s="199"/>
      <c r="C17" s="199"/>
      <c r="D17" s="199"/>
      <c r="E17" s="199"/>
      <c r="F17" s="199"/>
      <c r="G17" s="199"/>
      <c r="H17" s="307"/>
      <c r="J17" s="306"/>
      <c r="K17" s="199"/>
      <c r="L17" s="199"/>
      <c r="M17" s="199"/>
      <c r="N17" s="199"/>
      <c r="O17" s="199"/>
      <c r="P17" s="199"/>
      <c r="Q17" s="307"/>
      <c r="S17" s="306"/>
      <c r="T17" s="199"/>
      <c r="U17" s="199"/>
      <c r="V17" s="199"/>
      <c r="W17" s="199"/>
      <c r="X17" s="199"/>
      <c r="Y17" s="199"/>
      <c r="Z17" s="307"/>
      <c r="AA17" s="199"/>
      <c r="AB17" s="306"/>
      <c r="AC17" s="199"/>
      <c r="AD17" s="199"/>
      <c r="AE17" s="199"/>
      <c r="AF17" s="199"/>
      <c r="AG17" s="199"/>
      <c r="AH17" s="199"/>
      <c r="AI17" s="307"/>
      <c r="AK17" s="306"/>
      <c r="AL17" s="199"/>
      <c r="AM17" s="199"/>
      <c r="AN17" s="199"/>
      <c r="AO17" s="199"/>
      <c r="AP17" s="199"/>
      <c r="AQ17" s="199"/>
      <c r="AR17" s="307"/>
    </row>
    <row r="18" spans="1:44">
      <c r="A18" s="306" t="s">
        <v>1883</v>
      </c>
      <c r="B18" s="199">
        <f>'2112 Trks'!L82</f>
        <v>0</v>
      </c>
      <c r="C18" s="199">
        <f>B18-D18</f>
        <v>0</v>
      </c>
      <c r="D18" s="199">
        <f>'2112 Trks'!M82</f>
        <v>0</v>
      </c>
      <c r="E18" s="199">
        <f>'2112 Trks'!P82</f>
        <v>0</v>
      </c>
      <c r="F18" s="199">
        <f>'2112 Trks'!Q82</f>
        <v>0</v>
      </c>
      <c r="G18" s="199">
        <f>'2112 Trks'!R82</f>
        <v>0</v>
      </c>
      <c r="H18" s="307">
        <f>'2112 Trks'!S82</f>
        <v>0</v>
      </c>
      <c r="J18" s="306" t="s">
        <v>1883</v>
      </c>
      <c r="K18" s="199">
        <f>+SUMIF('FAR Dep Summary'!$A$23:$A$38,Summary!$J18,'FAR Dep Summary'!$B$23:$B$38)</f>
        <v>97977.16</v>
      </c>
      <c r="L18" s="199">
        <f>K18-M18</f>
        <v>0</v>
      </c>
      <c r="M18" s="199">
        <f>+SUMIF('FAR Dep Summary'!$A$23:$A$38,Summary!$J18,'FAR Dep Summary'!B$23:B$38)</f>
        <v>97977.16</v>
      </c>
      <c r="N18" s="199">
        <f>+SUMIF('FAR Dep Summary'!$A$23:$A$38,Summary!$J18,'FAR Dep Summary'!C$23:C$38)</f>
        <v>0</v>
      </c>
      <c r="O18" s="199">
        <f>+SUMIF('FAR Dep Summary'!$A$23:$A$38,Summary!$J18,'FAR Dep Summary'!D$23:D$38)</f>
        <v>97977.16</v>
      </c>
      <c r="P18" s="199">
        <f>+SUMIF('FAR Dep Summary'!$A$23:$A$38,Summary!$J18,'FAR Dep Summary'!E$23:E$38)</f>
        <v>97977.16</v>
      </c>
      <c r="Q18" s="307">
        <f>+SUMIF('FAR Dep Summary'!$A$23:$A$38,Summary!$J18,'FAR Dep Summary'!F$23:F$38)</f>
        <v>0</v>
      </c>
      <c r="S18" s="306" t="s">
        <v>1883</v>
      </c>
      <c r="T18" s="199">
        <f>+SUMIF('Bud Capital Input'!$L$62:$L$64,$S18, 'Bud Capital Input'!$P$62:$P$64)</f>
        <v>0</v>
      </c>
      <c r="U18" s="199">
        <v>0</v>
      </c>
      <c r="V18" s="199">
        <f>+T18-U18</f>
        <v>0</v>
      </c>
      <c r="W18" s="199">
        <f>+SUMIF('Bud Capital Input'!$L$62:$L$64,$S18, 'Bud Capital Input'!$R$62:$R$64)</f>
        <v>0</v>
      </c>
      <c r="X18" s="199">
        <v>0</v>
      </c>
      <c r="Y18" s="199">
        <f>+W18+X18</f>
        <v>0</v>
      </c>
      <c r="Z18" s="307">
        <f>+V18-Y18</f>
        <v>0</v>
      </c>
      <c r="AA18" s="199"/>
      <c r="AB18" s="306" t="s">
        <v>1883</v>
      </c>
      <c r="AC18" s="199"/>
      <c r="AD18" s="199"/>
      <c r="AE18" s="199"/>
      <c r="AF18" s="199"/>
      <c r="AG18" s="199"/>
      <c r="AH18" s="199"/>
      <c r="AI18" s="307"/>
      <c r="AK18" s="306" t="s">
        <v>1883</v>
      </c>
      <c r="AL18" s="199">
        <f>+B18+K18+T18</f>
        <v>97977.16</v>
      </c>
      <c r="AM18" s="199"/>
      <c r="AN18" s="199">
        <f>+D18+M18+V18</f>
        <v>97977.16</v>
      </c>
      <c r="AO18" s="199">
        <f>+E18+N18+W18</f>
        <v>0</v>
      </c>
      <c r="AP18" s="199">
        <f>+F18+O18+X18</f>
        <v>97977.16</v>
      </c>
      <c r="AQ18" s="199">
        <f>+G18+P18+Y18</f>
        <v>97977.16</v>
      </c>
      <c r="AR18" s="307">
        <f>+H18+Q18+Z18</f>
        <v>0</v>
      </c>
    </row>
    <row r="19" spans="1:44">
      <c r="A19" s="306"/>
      <c r="B19" s="199"/>
      <c r="C19" s="199"/>
      <c r="D19" s="199"/>
      <c r="E19" s="199"/>
      <c r="F19" s="199"/>
      <c r="G19" s="199"/>
      <c r="H19" s="307"/>
      <c r="J19" s="306"/>
      <c r="K19" s="199"/>
      <c r="L19" s="199"/>
      <c r="M19" s="199"/>
      <c r="N19" s="199"/>
      <c r="O19" s="199"/>
      <c r="P19" s="199"/>
      <c r="Q19" s="307"/>
      <c r="S19" s="306"/>
      <c r="T19" s="199"/>
      <c r="U19" s="199"/>
      <c r="V19" s="199"/>
      <c r="W19" s="199"/>
      <c r="X19" s="199"/>
      <c r="Y19" s="199"/>
      <c r="Z19" s="307"/>
      <c r="AA19" s="199"/>
      <c r="AB19" s="306"/>
      <c r="AC19" s="199"/>
      <c r="AD19" s="199"/>
      <c r="AE19" s="199"/>
      <c r="AF19" s="199"/>
      <c r="AG19" s="199"/>
      <c r="AH19" s="199"/>
      <c r="AI19" s="307"/>
      <c r="AK19" s="306"/>
      <c r="AL19" s="199"/>
      <c r="AM19" s="199"/>
      <c r="AN19" s="199"/>
      <c r="AO19" s="199"/>
      <c r="AP19" s="199"/>
      <c r="AQ19" s="199"/>
      <c r="AR19" s="307"/>
    </row>
    <row r="20" spans="1:44">
      <c r="A20" s="306" t="s">
        <v>1885</v>
      </c>
      <c r="B20" s="199">
        <f>'2112 Trks'!L90</f>
        <v>994871.24</v>
      </c>
      <c r="C20" s="199">
        <f>B20-D20</f>
        <v>0</v>
      </c>
      <c r="D20" s="199">
        <f>'2112 Trks'!M90</f>
        <v>994871.24</v>
      </c>
      <c r="E20" s="199">
        <f>'2112 Trks'!P90</f>
        <v>99487.123999999996</v>
      </c>
      <c r="F20" s="199">
        <f>'2112 Trks'!Q90</f>
        <v>232136.62266668171</v>
      </c>
      <c r="G20" s="199">
        <f>'2112 Trks'!R90</f>
        <v>331623.74666668172</v>
      </c>
      <c r="H20" s="307">
        <f>'2112 Trks'!S90</f>
        <v>663247.49333331827</v>
      </c>
      <c r="J20" s="306" t="s">
        <v>1885</v>
      </c>
      <c r="K20" s="199">
        <f>+SUMIF('FAR Dep Summary'!$A$23:$A$38,Summary!$J20,'FAR Dep Summary'!$B$23:$B$38)</f>
        <v>0</v>
      </c>
      <c r="L20" s="199">
        <f>K20-M20</f>
        <v>0</v>
      </c>
      <c r="M20" s="199">
        <f>+SUMIF('FAR Dep Summary'!$A$23:$A$38,Summary!$J20,'FAR Dep Summary'!B$23:B$38)</f>
        <v>0</v>
      </c>
      <c r="N20" s="199">
        <f>+SUMIF('FAR Dep Summary'!$A$23:$A$38,Summary!$J20,'FAR Dep Summary'!C$23:C$38)</f>
        <v>0</v>
      </c>
      <c r="O20" s="199">
        <f>+SUMIF('FAR Dep Summary'!$A$23:$A$38,Summary!$J20,'FAR Dep Summary'!D$23:D$38)</f>
        <v>0</v>
      </c>
      <c r="P20" s="199">
        <f>+SUMIF('FAR Dep Summary'!$A$23:$A$38,Summary!$J20,'FAR Dep Summary'!E$23:E$38)</f>
        <v>0</v>
      </c>
      <c r="Q20" s="307">
        <f>+SUMIF('FAR Dep Summary'!$A$23:$A$38,Summary!$J20,'FAR Dep Summary'!F$23:F$38)</f>
        <v>0</v>
      </c>
      <c r="S20" s="306" t="s">
        <v>1885</v>
      </c>
      <c r="T20" s="199">
        <f>+SUMIF('Bud Capital Input'!$L$62:$L$64,$S20, 'Bud Capital Input'!$P$62:$P$64)</f>
        <v>0</v>
      </c>
      <c r="U20" s="199">
        <v>0</v>
      </c>
      <c r="V20" s="199">
        <f>+T20-U20</f>
        <v>0</v>
      </c>
      <c r="W20" s="199">
        <f>+SUMIF('Bud Capital Input'!$L$62:$L$64,$S20, 'Bud Capital Input'!$R$62:$R$64)</f>
        <v>0</v>
      </c>
      <c r="X20" s="199">
        <v>0</v>
      </c>
      <c r="Y20" s="199">
        <f>+W20+X20</f>
        <v>0</v>
      </c>
      <c r="Z20" s="307">
        <f>+V20-Y20</f>
        <v>0</v>
      </c>
      <c r="AA20" s="199"/>
      <c r="AB20" s="306" t="s">
        <v>1885</v>
      </c>
      <c r="AC20" s="199"/>
      <c r="AD20" s="199"/>
      <c r="AE20" s="199"/>
      <c r="AF20" s="199"/>
      <c r="AG20" s="199"/>
      <c r="AH20" s="199"/>
      <c r="AI20" s="307"/>
      <c r="AK20" s="306" t="s">
        <v>1885</v>
      </c>
      <c r="AL20" s="199">
        <f>+B20+K20+T20</f>
        <v>994871.24</v>
      </c>
      <c r="AM20" s="199"/>
      <c r="AN20" s="199">
        <f>+D20+M20+V20</f>
        <v>994871.24</v>
      </c>
      <c r="AO20" s="199">
        <f>+E20+N20+W20</f>
        <v>99487.123999999996</v>
      </c>
      <c r="AP20" s="199">
        <f>+F20+O20+X20</f>
        <v>232136.62266668171</v>
      </c>
      <c r="AQ20" s="199">
        <f>+G20+P20+Y20</f>
        <v>331623.74666668172</v>
      </c>
      <c r="AR20" s="307">
        <f>+H20+Q20+Z20</f>
        <v>663247.49333331827</v>
      </c>
    </row>
    <row r="21" spans="1:44">
      <c r="A21" s="306"/>
      <c r="B21" s="199"/>
      <c r="C21" s="199"/>
      <c r="D21" s="199"/>
      <c r="E21" s="199"/>
      <c r="F21" s="199"/>
      <c r="G21" s="199"/>
      <c r="H21" s="307"/>
      <c r="J21" s="306"/>
      <c r="K21" s="199"/>
      <c r="L21" s="199"/>
      <c r="M21" s="199"/>
      <c r="N21" s="199"/>
      <c r="O21" s="199"/>
      <c r="P21" s="199"/>
      <c r="Q21" s="307"/>
      <c r="S21" s="306"/>
      <c r="T21" s="199"/>
      <c r="U21" s="199"/>
      <c r="V21" s="199"/>
      <c r="W21" s="199"/>
      <c r="X21" s="199"/>
      <c r="Y21" s="199"/>
      <c r="Z21" s="307"/>
      <c r="AA21" s="199"/>
      <c r="AB21" s="306"/>
      <c r="AC21" s="199"/>
      <c r="AD21" s="199"/>
      <c r="AE21" s="199"/>
      <c r="AF21" s="199"/>
      <c r="AG21" s="199"/>
      <c r="AH21" s="199"/>
      <c r="AI21" s="307"/>
      <c r="AK21" s="306"/>
      <c r="AL21" s="199"/>
      <c r="AM21" s="199"/>
      <c r="AN21" s="199"/>
      <c r="AO21" s="199"/>
      <c r="AP21" s="199"/>
      <c r="AQ21" s="199"/>
      <c r="AR21" s="307"/>
    </row>
    <row r="22" spans="1:44">
      <c r="A22" s="306" t="s">
        <v>1227</v>
      </c>
      <c r="B22" s="199">
        <v>0</v>
      </c>
      <c r="C22" s="199">
        <f>B22-D22</f>
        <v>0</v>
      </c>
      <c r="D22" s="199">
        <v>0</v>
      </c>
      <c r="E22" s="199">
        <v>0</v>
      </c>
      <c r="F22" s="199">
        <v>0</v>
      </c>
      <c r="G22" s="199">
        <v>0</v>
      </c>
      <c r="H22" s="307">
        <v>0</v>
      </c>
      <c r="J22" s="306" t="s">
        <v>1227</v>
      </c>
      <c r="K22" s="199">
        <f>+SUMIF('FAR Dep Summary'!$A$23:$A$38,Summary!$J22,'FAR Dep Summary'!$B$23:$B$38)</f>
        <v>219986.24</v>
      </c>
      <c r="L22" s="199">
        <f>K22-M22</f>
        <v>0</v>
      </c>
      <c r="M22" s="199">
        <f>+SUMIF('FAR Dep Summary'!$A$23:$A$38,Summary!$J22,'FAR Dep Summary'!B$23:B$38)</f>
        <v>219986.24</v>
      </c>
      <c r="N22" s="199">
        <f>+SUMIF('FAR Dep Summary'!$A$23:$A$38,Summary!$J22,'FAR Dep Summary'!C$23:C$38)</f>
        <v>20237.672000000002</v>
      </c>
      <c r="O22" s="199">
        <f>+SUMIF('FAR Dep Summary'!$A$23:$A$38,Summary!$J22,'FAR Dep Summary'!D$23:D$38)</f>
        <v>18543.510000000002</v>
      </c>
      <c r="P22" s="199">
        <f>+SUMIF('FAR Dep Summary'!$A$23:$A$38,Summary!$J22,'FAR Dep Summary'!E$23:E$38)</f>
        <v>38781.182000000001</v>
      </c>
      <c r="Q22" s="307">
        <f>+SUMIF('FAR Dep Summary'!$A$23:$A$38,Summary!$J22,'FAR Dep Summary'!F$23:F$38)</f>
        <v>181205.05800000002</v>
      </c>
      <c r="S22" s="306" t="s">
        <v>1227</v>
      </c>
      <c r="T22" s="199">
        <f>+SUMIF('Bud Capital Input'!$L$62:$L$64,$S22, 'Bud Capital Input'!$P$62:$P$64)</f>
        <v>0</v>
      </c>
      <c r="U22" s="199">
        <v>0</v>
      </c>
      <c r="V22" s="199">
        <f>+T22-U22</f>
        <v>0</v>
      </c>
      <c r="W22" s="199">
        <f>+SUMIF('Bud Capital Input'!$L$62:$L$64,$S22, 'Bud Capital Input'!$R$62:$R$64)</f>
        <v>0</v>
      </c>
      <c r="X22" s="199">
        <v>0</v>
      </c>
      <c r="Y22" s="199">
        <f>+W22+X22</f>
        <v>0</v>
      </c>
      <c r="Z22" s="307">
        <f>+V22-Y22</f>
        <v>0</v>
      </c>
      <c r="AA22" s="199"/>
      <c r="AB22" s="306" t="s">
        <v>1227</v>
      </c>
      <c r="AC22" s="199"/>
      <c r="AD22" s="199"/>
      <c r="AE22" s="199"/>
      <c r="AF22" s="199"/>
      <c r="AG22" s="199"/>
      <c r="AH22" s="199"/>
      <c r="AI22" s="307"/>
      <c r="AK22" s="306" t="s">
        <v>1227</v>
      </c>
      <c r="AL22" s="199">
        <f>+B22+K22+T22</f>
        <v>219986.24</v>
      </c>
      <c r="AM22" s="199"/>
      <c r="AN22" s="199">
        <f>+D22+M22+V22</f>
        <v>219986.24</v>
      </c>
      <c r="AO22" s="199">
        <f>+E22+N22+W22</f>
        <v>20237.672000000002</v>
      </c>
      <c r="AP22" s="199">
        <f>+F22+O22+X22</f>
        <v>18543.510000000002</v>
      </c>
      <c r="AQ22" s="199">
        <f>+G22+P22+Y22</f>
        <v>38781.182000000001</v>
      </c>
      <c r="AR22" s="307">
        <f>+H22+Q22+Z22</f>
        <v>181205.05800000002</v>
      </c>
    </row>
    <row r="23" spans="1:44">
      <c r="A23" s="308"/>
      <c r="B23" s="214"/>
      <c r="C23" s="214"/>
      <c r="D23" s="214"/>
      <c r="E23" s="214"/>
      <c r="F23" s="214"/>
      <c r="G23" s="214"/>
      <c r="H23" s="309"/>
      <c r="J23" s="308"/>
      <c r="K23" s="214"/>
      <c r="L23" s="214"/>
      <c r="M23" s="214"/>
      <c r="N23" s="214"/>
      <c r="O23" s="214"/>
      <c r="P23" s="214"/>
      <c r="Q23" s="309"/>
      <c r="S23" s="308"/>
      <c r="T23" s="214"/>
      <c r="U23" s="214"/>
      <c r="V23" s="214"/>
      <c r="W23" s="214"/>
      <c r="X23" s="214"/>
      <c r="Y23" s="214"/>
      <c r="Z23" s="309"/>
      <c r="AA23" s="199"/>
      <c r="AB23" s="308"/>
      <c r="AC23" s="214"/>
      <c r="AD23" s="214"/>
      <c r="AE23" s="214"/>
      <c r="AF23" s="214"/>
      <c r="AG23" s="214"/>
      <c r="AH23" s="214"/>
      <c r="AI23" s="309"/>
      <c r="AK23" s="308"/>
      <c r="AL23" s="214"/>
      <c r="AM23" s="214"/>
      <c r="AN23" s="214"/>
      <c r="AO23" s="214"/>
      <c r="AP23" s="214"/>
      <c r="AQ23" s="214"/>
      <c r="AR23" s="309"/>
    </row>
    <row r="24" spans="1:44">
      <c r="A24" s="310" t="s">
        <v>50</v>
      </c>
      <c r="B24" s="242">
        <f t="shared" ref="B24:H24" si="0">SUM(B10:B20)</f>
        <v>8733247.5999999996</v>
      </c>
      <c r="C24" s="242">
        <f t="shared" si="0"/>
        <v>0</v>
      </c>
      <c r="D24" s="242">
        <f t="shared" si="0"/>
        <v>8733247.5999999996</v>
      </c>
      <c r="E24" s="242">
        <f t="shared" si="0"/>
        <v>721962.27799999993</v>
      </c>
      <c r="F24" s="242">
        <f t="shared" si="0"/>
        <v>4191057.3860833938</v>
      </c>
      <c r="G24" s="242">
        <f t="shared" si="0"/>
        <v>4924173.4974167245</v>
      </c>
      <c r="H24" s="311">
        <f t="shared" si="0"/>
        <v>3809074.1025832756</v>
      </c>
      <c r="I24" s="3"/>
      <c r="J24" s="310" t="s">
        <v>50</v>
      </c>
      <c r="K24" s="242">
        <f t="shared" ref="K24:Q24" si="1">SUM(K10:K23)</f>
        <v>3297575.2199999997</v>
      </c>
      <c r="L24" s="242">
        <f t="shared" si="1"/>
        <v>0</v>
      </c>
      <c r="M24" s="242">
        <f t="shared" si="1"/>
        <v>3297575.2199999997</v>
      </c>
      <c r="N24" s="242">
        <f t="shared" si="1"/>
        <v>261778.47223809524</v>
      </c>
      <c r="O24" s="242">
        <f t="shared" si="1"/>
        <v>1346881.320178577</v>
      </c>
      <c r="P24" s="242">
        <f t="shared" si="1"/>
        <v>1608659.792416672</v>
      </c>
      <c r="Q24" s="311">
        <f t="shared" si="1"/>
        <v>1688915.427583328</v>
      </c>
      <c r="S24" s="310" t="s">
        <v>50</v>
      </c>
      <c r="T24" s="242">
        <f>SUM(T10:T23)</f>
        <v>0</v>
      </c>
      <c r="U24" s="242">
        <f t="shared" ref="U24:Z24" si="2">SUM(U10:U23)</f>
        <v>0</v>
      </c>
      <c r="V24" s="242">
        <f t="shared" si="2"/>
        <v>0</v>
      </c>
      <c r="W24" s="242">
        <f t="shared" si="2"/>
        <v>0</v>
      </c>
      <c r="X24" s="242">
        <f t="shared" si="2"/>
        <v>0</v>
      </c>
      <c r="Y24" s="242">
        <f t="shared" si="2"/>
        <v>0</v>
      </c>
      <c r="Z24" s="311">
        <f t="shared" si="2"/>
        <v>0</v>
      </c>
      <c r="AA24" s="537"/>
      <c r="AB24" s="310" t="s">
        <v>50</v>
      </c>
      <c r="AC24" s="242">
        <f>SUM(AC10:AC23)</f>
        <v>0</v>
      </c>
      <c r="AD24" s="242">
        <f t="shared" ref="AD24:AI24" si="3">SUM(AD10:AD23)</f>
        <v>0</v>
      </c>
      <c r="AE24" s="242">
        <f t="shared" si="3"/>
        <v>0</v>
      </c>
      <c r="AF24" s="242">
        <f t="shared" si="3"/>
        <v>0</v>
      </c>
      <c r="AG24" s="242">
        <f t="shared" si="3"/>
        <v>0</v>
      </c>
      <c r="AH24" s="242">
        <f t="shared" si="3"/>
        <v>0</v>
      </c>
      <c r="AI24" s="311">
        <f t="shared" si="3"/>
        <v>0</v>
      </c>
      <c r="AK24" s="310" t="s">
        <v>50</v>
      </c>
      <c r="AL24" s="242">
        <f t="shared" ref="AL24:AR24" si="4">SUM(AL10:AL23)</f>
        <v>12030822.82</v>
      </c>
      <c r="AM24" s="242">
        <f t="shared" si="4"/>
        <v>0</v>
      </c>
      <c r="AN24" s="242">
        <f t="shared" si="4"/>
        <v>12030822.82</v>
      </c>
      <c r="AO24" s="242">
        <f t="shared" si="4"/>
        <v>983740.75023809529</v>
      </c>
      <c r="AP24" s="242">
        <f t="shared" si="4"/>
        <v>5537938.706261971</v>
      </c>
      <c r="AQ24" s="242">
        <f t="shared" si="4"/>
        <v>6532833.2898333957</v>
      </c>
      <c r="AR24" s="311">
        <f t="shared" si="4"/>
        <v>5497989.5301666036</v>
      </c>
    </row>
    <row r="25" spans="1:44">
      <c r="A25" s="306"/>
      <c r="B25" s="199">
        <f>+B24-'2112 Trks'!L92</f>
        <v>0</v>
      </c>
      <c r="C25" s="199"/>
      <c r="D25" s="199"/>
      <c r="E25" s="199">
        <f>E24-'2112 Trks'!P92</f>
        <v>0</v>
      </c>
      <c r="F25" s="199"/>
      <c r="G25" s="199"/>
      <c r="H25" s="307">
        <f>H24-'2112 Trks'!S92</f>
        <v>0</v>
      </c>
      <c r="I25" s="3"/>
      <c r="J25" s="306"/>
      <c r="K25" s="199"/>
      <c r="L25" s="199"/>
      <c r="M25" s="199"/>
      <c r="N25" s="199"/>
      <c r="O25" s="199"/>
      <c r="P25" s="199"/>
      <c r="Q25" s="307"/>
      <c r="S25" s="306"/>
      <c r="T25" s="199">
        <f>+T24-'Bud Capital Input'!M63</f>
        <v>-391448</v>
      </c>
      <c r="U25" s="199"/>
      <c r="V25" s="199">
        <f>+V24-'Bud Capital Input'!P63</f>
        <v>0</v>
      </c>
      <c r="W25" s="199">
        <f>+W24-'Bud Capital Input'!R63</f>
        <v>0</v>
      </c>
      <c r="X25" s="199"/>
      <c r="Y25" s="199"/>
      <c r="Z25" s="307">
        <f>Z24-'Bud Capital Input'!S63</f>
        <v>0</v>
      </c>
      <c r="AA25" s="199"/>
      <c r="AB25" s="306"/>
      <c r="AC25" s="199"/>
      <c r="AD25" s="199"/>
      <c r="AE25" s="199">
        <f>+AE24-'Bud Capital Input'!Y63</f>
        <v>0</v>
      </c>
      <c r="AF25" s="199">
        <f>+AF24-'Bud Capital Input'!AA63</f>
        <v>0</v>
      </c>
      <c r="AG25" s="199"/>
      <c r="AH25" s="199"/>
      <c r="AI25" s="307">
        <f>AI24-'Bud Capital Input'!AB63</f>
        <v>0</v>
      </c>
      <c r="AK25" s="306"/>
      <c r="AL25" s="199"/>
      <c r="AM25" s="199"/>
      <c r="AN25" s="199"/>
      <c r="AO25" s="199"/>
      <c r="AP25" s="199"/>
      <c r="AQ25" s="199"/>
      <c r="AR25" s="307"/>
    </row>
    <row r="26" spans="1:44">
      <c r="A26" s="304" t="s">
        <v>513</v>
      </c>
      <c r="B26" s="199"/>
      <c r="C26" s="199"/>
      <c r="D26" s="199"/>
      <c r="E26" s="199"/>
      <c r="F26" s="199"/>
      <c r="G26" s="199"/>
      <c r="H26" s="307"/>
      <c r="J26" s="304" t="s">
        <v>513</v>
      </c>
      <c r="K26" s="199"/>
      <c r="L26" s="199"/>
      <c r="M26" s="199"/>
      <c r="N26" s="199"/>
      <c r="O26" s="199"/>
      <c r="P26" s="199"/>
      <c r="Q26" s="307"/>
      <c r="S26" s="304" t="s">
        <v>513</v>
      </c>
      <c r="T26" s="199"/>
      <c r="U26" s="199"/>
      <c r="V26" s="199"/>
      <c r="W26" s="199"/>
      <c r="X26" s="199"/>
      <c r="Y26" s="199"/>
      <c r="Z26" s="307"/>
      <c r="AA26" s="199"/>
      <c r="AB26" s="304" t="s">
        <v>513</v>
      </c>
      <c r="AC26" s="199"/>
      <c r="AD26" s="199"/>
      <c r="AE26" s="199"/>
      <c r="AF26" s="199"/>
      <c r="AG26" s="199"/>
      <c r="AH26" s="199"/>
      <c r="AI26" s="307"/>
      <c r="AK26" s="304" t="s">
        <v>513</v>
      </c>
      <c r="AL26" s="199"/>
      <c r="AM26" s="199"/>
      <c r="AN26" s="199"/>
      <c r="AO26" s="199"/>
      <c r="AP26" s="199"/>
      <c r="AQ26" s="199"/>
      <c r="AR26" s="307"/>
    </row>
    <row r="27" spans="1:44">
      <c r="A27" s="306" t="s">
        <v>513</v>
      </c>
      <c r="B27" s="199">
        <f>'2112 Cont'!L131</f>
        <v>1126610.8589473683</v>
      </c>
      <c r="C27" s="199">
        <f>B27-D27</f>
        <v>0</v>
      </c>
      <c r="D27" s="199">
        <f>'2112 Cont'!M131</f>
        <v>1126610.8589473683</v>
      </c>
      <c r="E27" s="199">
        <f>'2112 Cont'!P131</f>
        <v>36483.39428571429</v>
      </c>
      <c r="F27" s="199">
        <f>'2112 Cont'!Q131</f>
        <v>873495.63399697631</v>
      </c>
      <c r="G27" s="199">
        <f>'2112 Cont'!R131</f>
        <v>912127.06542554707</v>
      </c>
      <c r="H27" s="307">
        <f>'2112 Cont'!S131</f>
        <v>214483.7935218213</v>
      </c>
      <c r="I27" s="574" t="s">
        <v>1875</v>
      </c>
      <c r="J27" s="306" t="s">
        <v>513</v>
      </c>
      <c r="K27" s="199">
        <f>+SUMIF('FAR Dep Summary'!$A$23:$A$38,Summary!$J27,'FAR Dep Summary'!$B$23:$B$38)</f>
        <v>254696.61999999997</v>
      </c>
      <c r="L27" s="199">
        <f>K27-M27</f>
        <v>0</v>
      </c>
      <c r="M27" s="199">
        <f>+SUMIF('FAR Dep Summary'!$A$23:$A$38,Summary!$J27,'FAR Dep Summary'!B$23:B$38)</f>
        <v>254696.61999999997</v>
      </c>
      <c r="N27" s="199">
        <f>+SUMIF('FAR Dep Summary'!$A$23:$A$38,Summary!$J27,'FAR Dep Summary'!C$23:C$38)</f>
        <v>17686.325833333332</v>
      </c>
      <c r="O27" s="199">
        <f>+SUMIF('FAR Dep Summary'!$A$23:$A$38,Summary!$J27,'FAR Dep Summary'!D$23:D$38)</f>
        <v>49951.220793651715</v>
      </c>
      <c r="P27" s="199">
        <f>+SUMIF('FAR Dep Summary'!$A$23:$A$38,Summary!$J27,'FAR Dep Summary'!E$23:E$38)</f>
        <v>67637.768055556444</v>
      </c>
      <c r="Q27" s="307">
        <f>+SUMIF('FAR Dep Summary'!$A$23:$A$38,Summary!$J27,'FAR Dep Summary'!F$23:F$38)</f>
        <v>187058.85194444351</v>
      </c>
      <c r="R27" s="574" t="s">
        <v>1875</v>
      </c>
      <c r="S27" s="306" t="s">
        <v>513</v>
      </c>
      <c r="T27" s="199">
        <v>0</v>
      </c>
      <c r="U27" s="199">
        <v>0</v>
      </c>
      <c r="V27" s="199">
        <f>+T27-U27</f>
        <v>0</v>
      </c>
      <c r="W27" s="199">
        <v>0</v>
      </c>
      <c r="X27" s="199">
        <v>0</v>
      </c>
      <c r="Y27" s="199">
        <v>0</v>
      </c>
      <c r="Z27" s="307">
        <f>+V27-Y27</f>
        <v>0</v>
      </c>
      <c r="AA27" s="574" t="s">
        <v>1875</v>
      </c>
      <c r="AB27" s="306" t="s">
        <v>513</v>
      </c>
      <c r="AC27" s="199"/>
      <c r="AD27" s="199"/>
      <c r="AE27" s="199"/>
      <c r="AF27" s="199"/>
      <c r="AG27" s="199"/>
      <c r="AH27" s="199"/>
      <c r="AI27" s="307"/>
      <c r="AJ27" s="574" t="s">
        <v>1877</v>
      </c>
      <c r="AK27" s="306" t="s">
        <v>513</v>
      </c>
      <c r="AL27" s="199">
        <f>+B27+K27+T27</f>
        <v>1381307.4789473682</v>
      </c>
      <c r="AM27" s="199"/>
      <c r="AN27" s="199">
        <f>+D27+M27+V27</f>
        <v>1381307.4789473682</v>
      </c>
      <c r="AO27" s="199">
        <f>+E27+N27+W27</f>
        <v>54169.720119047619</v>
      </c>
      <c r="AP27" s="199">
        <f>+F27+O27+X27</f>
        <v>923446.85479062807</v>
      </c>
      <c r="AQ27" s="199">
        <f>+G27+P27+Y27</f>
        <v>979764.83348110353</v>
      </c>
      <c r="AR27" s="307">
        <f>+H27+Q27+Z27</f>
        <v>401542.6454662648</v>
      </c>
    </row>
    <row r="28" spans="1:44">
      <c r="A28" s="306"/>
      <c r="B28" s="199"/>
      <c r="C28" s="199"/>
      <c r="D28" s="199"/>
      <c r="E28" s="199"/>
      <c r="F28" s="199"/>
      <c r="G28" s="199"/>
      <c r="H28" s="307"/>
      <c r="I28" s="575"/>
      <c r="J28" s="306"/>
      <c r="K28" s="199"/>
      <c r="L28" s="199"/>
      <c r="M28" s="199"/>
      <c r="N28" s="199"/>
      <c r="O28" s="199"/>
      <c r="P28" s="199"/>
      <c r="Q28" s="307"/>
      <c r="R28" s="575"/>
      <c r="S28" s="306"/>
      <c r="T28" s="199"/>
      <c r="U28" s="199"/>
      <c r="V28" s="199"/>
      <c r="W28" s="199"/>
      <c r="X28" s="199"/>
      <c r="Y28" s="199"/>
      <c r="Z28" s="307"/>
      <c r="AA28" s="575"/>
      <c r="AB28" s="306"/>
      <c r="AC28" s="199"/>
      <c r="AD28" s="199"/>
      <c r="AE28" s="199"/>
      <c r="AF28" s="199"/>
      <c r="AG28" s="199"/>
      <c r="AH28" s="199"/>
      <c r="AI28" s="307"/>
      <c r="AJ28" s="575"/>
      <c r="AK28" s="306"/>
      <c r="AL28" s="199"/>
      <c r="AM28" s="199"/>
      <c r="AN28" s="199"/>
      <c r="AO28" s="199"/>
      <c r="AP28" s="199"/>
      <c r="AQ28" s="199"/>
      <c r="AR28" s="307"/>
    </row>
    <row r="29" spans="1:44">
      <c r="A29" s="306" t="str">
        <f>'2112 Cont'!D133</f>
        <v>Roll Off</v>
      </c>
      <c r="B29" s="199">
        <f>'2112 Cont'!L171</f>
        <v>737184.0152631579</v>
      </c>
      <c r="C29" s="199">
        <f>B29-D29</f>
        <v>0</v>
      </c>
      <c r="D29" s="199">
        <f>'2112 Cont'!M171</f>
        <v>737184.0152631579</v>
      </c>
      <c r="E29" s="199">
        <f>'2112 Cont'!P171</f>
        <v>29004.149808063888</v>
      </c>
      <c r="F29" s="199">
        <f>'2112 Cont'!Q171</f>
        <v>555509.79892021627</v>
      </c>
      <c r="G29" s="199">
        <f>'2112 Cont'!R171</f>
        <v>584513.94872828014</v>
      </c>
      <c r="H29" s="307">
        <f>'2112 Cont'!S171</f>
        <v>152670.06653487761</v>
      </c>
      <c r="J29" s="306" t="s">
        <v>257</v>
      </c>
      <c r="K29" s="199">
        <f>+SUMIF('FAR Dep Summary'!$A$23:$A$38,Summary!$J29,'FAR Dep Summary'!$B$23:$B$38)</f>
        <v>150046.81</v>
      </c>
      <c r="L29" s="199">
        <f>K29-M29</f>
        <v>0</v>
      </c>
      <c r="M29" s="199">
        <f>+SUMIF('FAR Dep Summary'!$A$23:$A$38,Summary!$J29,'FAR Dep Summary'!B$23:B$38)</f>
        <v>150046.81</v>
      </c>
      <c r="N29" s="199">
        <f>+SUMIF('FAR Dep Summary'!$A$23:$A$38,Summary!$J29,'FAR Dep Summary'!C$23:C$38)</f>
        <v>5732.1666666666661</v>
      </c>
      <c r="O29" s="199">
        <f>+SUMIF('FAR Dep Summary'!$A$23:$A$38,Summary!$J29,'FAR Dep Summary'!D$23:D$38)</f>
        <v>84500.726666666684</v>
      </c>
      <c r="P29" s="199">
        <f>+SUMIF('FAR Dep Summary'!$A$23:$A$38,Summary!$J29,'FAR Dep Summary'!E$23:E$38)</f>
        <v>90232.893333333341</v>
      </c>
      <c r="Q29" s="307">
        <f>+SUMIF('FAR Dep Summary'!$A$23:$A$38,Summary!$J29,'FAR Dep Summary'!F$23:F$38)</f>
        <v>59813.916666666657</v>
      </c>
      <c r="S29" s="306" t="s">
        <v>257</v>
      </c>
      <c r="T29" s="199">
        <f>+SUMIF('Bud Capital Input'!$L$62:$L$64,$S29, 'Bud Capital Input'!$P$62:$P$64)</f>
        <v>0</v>
      </c>
      <c r="U29" s="199">
        <v>0</v>
      </c>
      <c r="V29" s="199">
        <f>+T29-U29</f>
        <v>0</v>
      </c>
      <c r="W29" s="199">
        <f>+SUMIF('Bud Capital Input'!$L$62:$L$64,$S29, 'Bud Capital Input'!$R$62:$R$64)</f>
        <v>0</v>
      </c>
      <c r="X29" s="199">
        <v>0</v>
      </c>
      <c r="Y29" s="199">
        <f>+W29+X29</f>
        <v>0</v>
      </c>
      <c r="Z29" s="307">
        <f>+V29-Y29</f>
        <v>0</v>
      </c>
      <c r="AA29" s="199"/>
      <c r="AB29" s="306" t="s">
        <v>257</v>
      </c>
      <c r="AC29" s="199"/>
      <c r="AD29" s="199"/>
      <c r="AE29" s="199"/>
      <c r="AF29" s="199"/>
      <c r="AG29" s="199"/>
      <c r="AH29" s="199"/>
      <c r="AI29" s="307"/>
      <c r="AK29" s="306" t="s">
        <v>257</v>
      </c>
      <c r="AL29" s="199">
        <f>+B29+K29+T29</f>
        <v>887230.82526315795</v>
      </c>
      <c r="AM29" s="199"/>
      <c r="AN29" s="199">
        <f>+D29+M29+V29</f>
        <v>887230.82526315795</v>
      </c>
      <c r="AO29" s="199">
        <f>+E29+N29+W29</f>
        <v>34736.316474730556</v>
      </c>
      <c r="AP29" s="199">
        <f>+F29+O29+X29</f>
        <v>640010.52558688296</v>
      </c>
      <c r="AQ29" s="199">
        <f>+G29+P29+Y29</f>
        <v>674746.84206161345</v>
      </c>
      <c r="AR29" s="307">
        <f>+H29+Q29+Z29</f>
        <v>212483.98320154427</v>
      </c>
    </row>
    <row r="30" spans="1:44">
      <c r="A30" s="306"/>
      <c r="B30" s="199"/>
      <c r="C30" s="199"/>
      <c r="D30" s="199"/>
      <c r="E30" s="199"/>
      <c r="F30" s="199"/>
      <c r="G30" s="199"/>
      <c r="H30" s="307"/>
      <c r="J30" s="306"/>
      <c r="K30" s="199"/>
      <c r="L30" s="199"/>
      <c r="M30" s="199"/>
      <c r="N30" s="199"/>
      <c r="O30" s="199"/>
      <c r="P30" s="199"/>
      <c r="Q30" s="307"/>
      <c r="S30" s="306"/>
      <c r="T30" s="199"/>
      <c r="U30" s="199"/>
      <c r="V30" s="199"/>
      <c r="W30" s="199"/>
      <c r="X30" s="199"/>
      <c r="Y30" s="199"/>
      <c r="Z30" s="307"/>
      <c r="AA30" s="199"/>
      <c r="AB30" s="306"/>
      <c r="AC30" s="199"/>
      <c r="AD30" s="199"/>
      <c r="AE30" s="199"/>
      <c r="AF30" s="199"/>
      <c r="AG30" s="199"/>
      <c r="AH30" s="199"/>
      <c r="AI30" s="307"/>
      <c r="AK30" s="306"/>
      <c r="AL30" s="199"/>
      <c r="AM30" s="199"/>
      <c r="AN30" s="199"/>
      <c r="AO30" s="199"/>
      <c r="AP30" s="199"/>
      <c r="AQ30" s="199"/>
      <c r="AR30" s="307"/>
    </row>
    <row r="31" spans="1:44">
      <c r="A31" s="306" t="str">
        <f>'2112 Cont'!D173</f>
        <v>Garbage Carts</v>
      </c>
      <c r="B31" s="199">
        <f>'2112 Cont'!L229</f>
        <v>1192008.8699999999</v>
      </c>
      <c r="C31" s="199">
        <f>B31-D31</f>
        <v>0</v>
      </c>
      <c r="D31" s="199">
        <f>'2112 Cont'!M229</f>
        <v>1192008.8699999999</v>
      </c>
      <c r="E31" s="199">
        <f>'2112 Cont'!P229</f>
        <v>99746.088571428569</v>
      </c>
      <c r="F31" s="199">
        <f>'2112 Cont'!Q229</f>
        <v>879071.28050001035</v>
      </c>
      <c r="G31" s="199">
        <f>'2112 Cont'!R229</f>
        <v>979183.24857143871</v>
      </c>
      <c r="H31" s="307">
        <f>'2112 Cont'!S229</f>
        <v>212825.62142856122</v>
      </c>
      <c r="J31" s="306" t="s">
        <v>255</v>
      </c>
      <c r="K31" s="199">
        <f>+SUMIF('FAR Dep Summary'!$A$23:$A$38,Summary!$J31,'FAR Dep Summary'!$B$23:$B$38)</f>
        <v>187121.11</v>
      </c>
      <c r="L31" s="199">
        <f>K31-M31</f>
        <v>0</v>
      </c>
      <c r="M31" s="199">
        <f>+SUMIF('FAR Dep Summary'!$A$23:$A$38,Summary!$J31,'FAR Dep Summary'!B$23:B$38)</f>
        <v>187121.11</v>
      </c>
      <c r="N31" s="199">
        <f>+SUMIF('FAR Dep Summary'!$A$23:$A$38,Summary!$J31,'FAR Dep Summary'!C$23:C$38)</f>
        <v>26731.587142857137</v>
      </c>
      <c r="O31" s="199">
        <f>+SUMIF('FAR Dep Summary'!$A$23:$A$38,Summary!$J31,'FAR Dep Summary'!D$23:D$38)</f>
        <v>16184.171428573894</v>
      </c>
      <c r="P31" s="199">
        <f>+SUMIF('FAR Dep Summary'!$A$23:$A$38,Summary!$J31,'FAR Dep Summary'!E$23:E$38)</f>
        <v>42915.758571431041</v>
      </c>
      <c r="Q31" s="307">
        <f>+SUMIF('FAR Dep Summary'!$A$23:$A$38,Summary!$J31,'FAR Dep Summary'!F$23:F$38)</f>
        <v>144205.35142856895</v>
      </c>
      <c r="S31" s="306" t="s">
        <v>255</v>
      </c>
      <c r="T31" s="199">
        <f>+SUMIF('Bud Capital Input'!$L$62:$L$64,$S31, 'Bud Capital Input'!$P$62:$P$64)</f>
        <v>0</v>
      </c>
      <c r="U31" s="199">
        <v>0</v>
      </c>
      <c r="V31" s="199">
        <f>+T31-U31</f>
        <v>0</v>
      </c>
      <c r="W31" s="199">
        <f>+SUMIF('Bud Capital Input'!$L$62:$L$64,$S31, 'Bud Capital Input'!$R$62:$R$64)</f>
        <v>0</v>
      </c>
      <c r="X31" s="199">
        <v>0</v>
      </c>
      <c r="Y31" s="199">
        <f>+W31+X31</f>
        <v>0</v>
      </c>
      <c r="Z31" s="307">
        <f>+V31-Y31</f>
        <v>0</v>
      </c>
      <c r="AA31" s="199"/>
      <c r="AB31" s="306" t="s">
        <v>255</v>
      </c>
      <c r="AC31" s="199"/>
      <c r="AD31" s="199"/>
      <c r="AE31" s="199"/>
      <c r="AF31" s="199"/>
      <c r="AG31" s="199"/>
      <c r="AH31" s="199"/>
      <c r="AI31" s="307"/>
      <c r="AK31" s="306" t="s">
        <v>255</v>
      </c>
      <c r="AL31" s="199">
        <f>+B31+K31+T31</f>
        <v>1379129.98</v>
      </c>
      <c r="AM31" s="199"/>
      <c r="AN31" s="199">
        <f>+D31+M31+V31</f>
        <v>1379129.98</v>
      </c>
      <c r="AO31" s="199">
        <f>+E31+N31+W31</f>
        <v>126477.67571428571</v>
      </c>
      <c r="AP31" s="199">
        <f>+F31+O31+X31</f>
        <v>895255.45192858425</v>
      </c>
      <c r="AQ31" s="199">
        <f>+G31+P31+Y31</f>
        <v>1022099.0071428698</v>
      </c>
      <c r="AR31" s="307">
        <f>+H31+Q31+Z31</f>
        <v>357030.97285713017</v>
      </c>
    </row>
    <row r="32" spans="1:44">
      <c r="A32" s="306"/>
      <c r="B32" s="199"/>
      <c r="C32" s="199"/>
      <c r="D32" s="199"/>
      <c r="E32" s="199"/>
      <c r="F32" s="199"/>
      <c r="G32" s="199"/>
      <c r="H32" s="307"/>
      <c r="J32" s="306"/>
      <c r="K32" s="199"/>
      <c r="L32" s="199"/>
      <c r="M32" s="199"/>
      <c r="N32" s="199"/>
      <c r="O32" s="199"/>
      <c r="P32" s="199"/>
      <c r="Q32" s="307"/>
      <c r="S32" s="306"/>
      <c r="T32" s="199"/>
      <c r="U32" s="199"/>
      <c r="V32" s="199"/>
      <c r="W32" s="199"/>
      <c r="X32" s="199"/>
      <c r="Y32" s="199"/>
      <c r="Z32" s="307"/>
      <c r="AA32" s="199"/>
      <c r="AB32" s="306"/>
      <c r="AC32" s="199"/>
      <c r="AD32" s="199"/>
      <c r="AE32" s="199"/>
      <c r="AF32" s="199"/>
      <c r="AG32" s="199"/>
      <c r="AH32" s="199"/>
      <c r="AI32" s="307"/>
      <c r="AK32" s="306"/>
      <c r="AL32" s="199"/>
      <c r="AM32" s="199"/>
      <c r="AN32" s="199"/>
      <c r="AO32" s="199"/>
      <c r="AP32" s="199"/>
      <c r="AQ32" s="199"/>
      <c r="AR32" s="307"/>
    </row>
    <row r="33" spans="1:44">
      <c r="A33" s="306" t="str">
        <f>'2112 Cont'!D231</f>
        <v>Recycling Bins - Jefferson UTC &amp; Port Townsend</v>
      </c>
      <c r="B33" s="199">
        <f>'2112 Cont'!L240</f>
        <v>51511.18</v>
      </c>
      <c r="C33" s="199">
        <f>B33-D33</f>
        <v>0</v>
      </c>
      <c r="D33" s="199">
        <f>'2112 Cont'!M240</f>
        <v>51511.18</v>
      </c>
      <c r="E33" s="199">
        <f>'2112 Cont'!P240</f>
        <v>4069.4000000000005</v>
      </c>
      <c r="F33" s="199">
        <f>'2112 Cont'!Q240</f>
        <v>43475.380000000114</v>
      </c>
      <c r="G33" s="199">
        <f>'2112 Cont'!R240</f>
        <v>47544.780000000115</v>
      </c>
      <c r="H33" s="307">
        <f>'2112 Cont'!S240</f>
        <v>3966.3999999998814</v>
      </c>
      <c r="J33" s="306" t="s">
        <v>1894</v>
      </c>
      <c r="K33" s="199">
        <f>+SUMIF('FAR Dep Summary'!$A$23:$A$38,Summary!$J33,'FAR Dep Summary'!$B$23:$B$38)</f>
        <v>40406.06</v>
      </c>
      <c r="L33" s="199">
        <f>K33-M33</f>
        <v>0</v>
      </c>
      <c r="M33" s="199">
        <f>+SUMIF('FAR Dep Summary'!$A$23:$A$38,Summary!$J33,'FAR Dep Summary'!B$23:B$38)</f>
        <v>40406.06</v>
      </c>
      <c r="N33" s="199">
        <f>+SUMIF('FAR Dep Summary'!$A$23:$A$38,Summary!$J33,'FAR Dep Summary'!C$23:C$38)</f>
        <v>8081.2120000000004</v>
      </c>
      <c r="O33" s="199">
        <f>+SUMIF('FAR Dep Summary'!$A$23:$A$38,Summary!$J33,'FAR Dep Summary'!D$23:D$38)</f>
        <v>4160.1748333338555</v>
      </c>
      <c r="P33" s="199">
        <f>+SUMIF('FAR Dep Summary'!$A$23:$A$38,Summary!$J33,'FAR Dep Summary'!E$23:E$38)</f>
        <v>12241.386833333856</v>
      </c>
      <c r="Q33" s="307">
        <f>+SUMIF('FAR Dep Summary'!$A$23:$A$38,Summary!$J33,'FAR Dep Summary'!F$23:F$38)</f>
        <v>28164.673166666147</v>
      </c>
      <c r="S33" s="306" t="s">
        <v>510</v>
      </c>
      <c r="T33" s="199">
        <f>+'Bud Capital Input'!$P$64</f>
        <v>0.45000000001164153</v>
      </c>
      <c r="U33" s="199">
        <v>0</v>
      </c>
      <c r="V33" s="199">
        <f>+T33-U33</f>
        <v>0.45000000001164153</v>
      </c>
      <c r="W33" s="199">
        <f>+'Bud Capital Input'!$R$64</f>
        <v>6.4285714287377366E-2</v>
      </c>
      <c r="X33" s="199">
        <v>0</v>
      </c>
      <c r="Y33" s="199">
        <f>+W33+X33</f>
        <v>6.4285714287377366E-2</v>
      </c>
      <c r="Z33" s="307">
        <f>+V33-Y33</f>
        <v>0.38571428572426414</v>
      </c>
      <c r="AA33" s="199"/>
      <c r="AB33" s="306" t="s">
        <v>510</v>
      </c>
      <c r="AC33" s="199"/>
      <c r="AD33" s="199"/>
      <c r="AE33" s="199"/>
      <c r="AF33" s="199"/>
      <c r="AG33" s="199"/>
      <c r="AH33" s="199"/>
      <c r="AI33" s="307"/>
      <c r="AK33" s="306" t="s">
        <v>510</v>
      </c>
      <c r="AL33" s="199">
        <f>+B33+K33+T33</f>
        <v>91917.69</v>
      </c>
      <c r="AM33" s="199"/>
      <c r="AN33" s="199">
        <f>+D33+M33+V33</f>
        <v>91917.69</v>
      </c>
      <c r="AO33" s="199">
        <f>+E33+N33+W33</f>
        <v>12150.676285714288</v>
      </c>
      <c r="AP33" s="199">
        <f>+F33+O33+X33</f>
        <v>47635.554833333968</v>
      </c>
      <c r="AQ33" s="199">
        <f>+G33+P33+Y33</f>
        <v>59786.231119048258</v>
      </c>
      <c r="AR33" s="307">
        <f>+H33+Q33+Z33</f>
        <v>32131.458880951752</v>
      </c>
    </row>
    <row r="34" spans="1:44">
      <c r="A34" s="306"/>
      <c r="B34" s="199"/>
      <c r="C34" s="199"/>
      <c r="D34" s="199"/>
      <c r="E34" s="199"/>
      <c r="F34" s="199"/>
      <c r="G34" s="199"/>
      <c r="H34" s="307"/>
      <c r="J34" s="306"/>
      <c r="K34" s="199"/>
      <c r="L34" s="199"/>
      <c r="M34" s="199"/>
      <c r="N34" s="199"/>
      <c r="O34" s="199"/>
      <c r="P34" s="199"/>
      <c r="Q34" s="307"/>
      <c r="S34" s="306"/>
      <c r="T34" s="199"/>
      <c r="U34" s="199"/>
      <c r="V34" s="199"/>
      <c r="W34" s="199"/>
      <c r="X34" s="199"/>
      <c r="Y34" s="199"/>
      <c r="Z34" s="307"/>
      <c r="AA34" s="199"/>
      <c r="AB34" s="306"/>
      <c r="AC34" s="199"/>
      <c r="AD34" s="199"/>
      <c r="AE34" s="199"/>
      <c r="AF34" s="199"/>
      <c r="AG34" s="199"/>
      <c r="AH34" s="199"/>
      <c r="AI34" s="307"/>
      <c r="AK34" s="306"/>
      <c r="AL34" s="199"/>
      <c r="AM34" s="199"/>
      <c r="AN34" s="199"/>
      <c r="AO34" s="199"/>
      <c r="AP34" s="199"/>
      <c r="AQ34" s="199"/>
      <c r="AR34" s="307"/>
    </row>
    <row r="35" spans="1:44">
      <c r="A35" s="306" t="str">
        <f>'2112 Cont'!D242</f>
        <v>Recycling Carts - Clallam UTC, Sequim, PA</v>
      </c>
      <c r="B35" s="199">
        <f>'2112 Cont'!L257</f>
        <v>432686.88</v>
      </c>
      <c r="C35" s="199">
        <f>B35-D35</f>
        <v>0</v>
      </c>
      <c r="D35" s="199">
        <f>'2112 Cont'!M257</f>
        <v>432686.88</v>
      </c>
      <c r="E35" s="199">
        <f>'2112 Cont'!P257</f>
        <v>61812.411428571439</v>
      </c>
      <c r="F35" s="199">
        <f>'2112 Cont'!Q257</f>
        <v>238011.52452381587</v>
      </c>
      <c r="G35" s="199">
        <f>'2112 Cont'!R257</f>
        <v>299823.93595238723</v>
      </c>
      <c r="H35" s="307">
        <f>'2112 Cont'!S257</f>
        <v>132862.94404761275</v>
      </c>
      <c r="J35" s="306" t="s">
        <v>1895</v>
      </c>
      <c r="K35" s="199">
        <f>+SUMIF('FAR Dep Summary'!$A$23:$A$38,Summary!$J35,'FAR Dep Summary'!$B$23:$B$38)</f>
        <v>16974.919999999998</v>
      </c>
      <c r="L35" s="199">
        <f>K35-M35</f>
        <v>0</v>
      </c>
      <c r="M35" s="199">
        <f>+SUMIF('FAR Dep Summary'!$A$23:$A$38,Summary!$J35,'FAR Dep Summary'!B$23:B$38)</f>
        <v>16974.919999999998</v>
      </c>
      <c r="N35" s="199">
        <f>+SUMIF('FAR Dep Summary'!$A$23:$A$38,Summary!$J35,'FAR Dep Summary'!C$23:C$38)</f>
        <v>2424.988571428571</v>
      </c>
      <c r="O35" s="199">
        <f>+SUMIF('FAR Dep Summary'!$A$23:$A$38,Summary!$J35,'FAR Dep Summary'!D$23:D$38)</f>
        <v>3435.4004761906599</v>
      </c>
      <c r="P35" s="199">
        <f>+SUMIF('FAR Dep Summary'!$A$23:$A$38,Summary!$J35,'FAR Dep Summary'!E$23:E$38)</f>
        <v>5860.389047619231</v>
      </c>
      <c r="Q35" s="307">
        <f>+SUMIF('FAR Dep Summary'!$A$23:$A$38,Summary!$J35,'FAR Dep Summary'!F$23:F$38)</f>
        <v>11114.530952380766</v>
      </c>
      <c r="S35" s="306" t="s">
        <v>509</v>
      </c>
      <c r="T35" s="199">
        <f>+SUMIF('Bud Capital Input'!$L$62:$L$64,$S35, 'Bud Capital Input'!$P$62:$P$64)</f>
        <v>0</v>
      </c>
      <c r="U35" s="199">
        <v>0</v>
      </c>
      <c r="V35" s="199">
        <f>+T35-U35</f>
        <v>0</v>
      </c>
      <c r="W35" s="199">
        <f>+SUMIF('Bud Capital Input'!$L$62:$L$64,$S35, 'Bud Capital Input'!$R$62:$R$64)</f>
        <v>0</v>
      </c>
      <c r="X35" s="199">
        <v>0</v>
      </c>
      <c r="Y35" s="199">
        <f>+W35+X35</f>
        <v>0</v>
      </c>
      <c r="Z35" s="307">
        <f>+V35-Y35</f>
        <v>0</v>
      </c>
      <c r="AA35" s="199"/>
      <c r="AB35" s="306" t="s">
        <v>509</v>
      </c>
      <c r="AC35" s="199"/>
      <c r="AD35" s="199"/>
      <c r="AE35" s="199"/>
      <c r="AF35" s="199"/>
      <c r="AG35" s="199"/>
      <c r="AH35" s="199"/>
      <c r="AI35" s="307"/>
      <c r="AK35" s="306" t="s">
        <v>509</v>
      </c>
      <c r="AL35" s="199">
        <f>+B35+K35+T35</f>
        <v>449661.8</v>
      </c>
      <c r="AM35" s="199"/>
      <c r="AN35" s="199">
        <f>+D35+M35+V35</f>
        <v>449661.8</v>
      </c>
      <c r="AO35" s="199">
        <f>+E35+N35+W35</f>
        <v>64237.400000000009</v>
      </c>
      <c r="AP35" s="199">
        <f>+F35+O35+X35</f>
        <v>241446.92500000654</v>
      </c>
      <c r="AQ35" s="199">
        <f>+G35+P35+Y35</f>
        <v>305684.32500000647</v>
      </c>
      <c r="AR35" s="307">
        <f>+H35+Q35+Z35</f>
        <v>143977.47499999352</v>
      </c>
    </row>
    <row r="36" spans="1:44">
      <c r="A36" s="306"/>
      <c r="B36" s="199"/>
      <c r="C36" s="199"/>
      <c r="D36" s="199"/>
      <c r="E36" s="199"/>
      <c r="F36" s="199"/>
      <c r="G36" s="199"/>
      <c r="H36" s="307"/>
      <c r="J36" s="306"/>
      <c r="K36" s="199"/>
      <c r="L36" s="199"/>
      <c r="M36" s="199"/>
      <c r="N36" s="199"/>
      <c r="O36" s="199"/>
      <c r="P36" s="199"/>
      <c r="Q36" s="307"/>
      <c r="S36" s="306"/>
      <c r="T36" s="199"/>
      <c r="U36" s="199"/>
      <c r="V36" s="199"/>
      <c r="W36" s="199"/>
      <c r="X36" s="199"/>
      <c r="Y36" s="199"/>
      <c r="Z36" s="307"/>
      <c r="AA36" s="199"/>
      <c r="AB36" s="306"/>
      <c r="AC36" s="199"/>
      <c r="AD36" s="199"/>
      <c r="AE36" s="199"/>
      <c r="AF36" s="199"/>
      <c r="AG36" s="199"/>
      <c r="AH36" s="199"/>
      <c r="AI36" s="307"/>
      <c r="AK36" s="306"/>
      <c r="AL36" s="199"/>
      <c r="AM36" s="199"/>
      <c r="AN36" s="199"/>
      <c r="AO36" s="199"/>
      <c r="AP36" s="199"/>
      <c r="AQ36" s="199"/>
      <c r="AR36" s="307"/>
    </row>
    <row r="37" spans="1:44">
      <c r="A37" s="306" t="s">
        <v>502</v>
      </c>
      <c r="B37" s="199">
        <f>'2112 Cont'!L263</f>
        <v>29011.82</v>
      </c>
      <c r="C37" s="199">
        <f>B37-D37</f>
        <v>0</v>
      </c>
      <c r="D37" s="199">
        <f>'2112 Cont'!M263</f>
        <v>29011.82</v>
      </c>
      <c r="E37" s="199">
        <f>'2112 Cont'!P263</f>
        <v>2939.8082142857143</v>
      </c>
      <c r="F37" s="199">
        <f>'2112 Cont'!Q263</f>
        <v>8711.0604464285716</v>
      </c>
      <c r="G37" s="199">
        <f>'2112 Cont'!R263</f>
        <v>11650.868660714284</v>
      </c>
      <c r="H37" s="307">
        <f>'2112 Cont'!S263</f>
        <v>17360.951339285715</v>
      </c>
      <c r="J37" s="306" t="s">
        <v>502</v>
      </c>
      <c r="K37" s="199">
        <f>+SUMIF('FAR Dep Summary'!$A$23:$A$38,Summary!$J37,'FAR Dep Summary'!$B$23:$B$38)</f>
        <v>0</v>
      </c>
      <c r="L37" s="199">
        <f>K37-M37</f>
        <v>0</v>
      </c>
      <c r="M37" s="199">
        <f>+SUMIF('FAR Dep Summary'!$A$23:$A$38,Summary!$J37,'FAR Dep Summary'!B$23:B$38)</f>
        <v>0</v>
      </c>
      <c r="N37" s="199">
        <f>+SUMIF('FAR Dep Summary'!$A$23:$A$38,Summary!$J37,'FAR Dep Summary'!C$23:C$38)</f>
        <v>0</v>
      </c>
      <c r="O37" s="199">
        <f>+SUMIF('FAR Dep Summary'!$A$23:$A$38,Summary!$J37,'FAR Dep Summary'!D$23:D$38)</f>
        <v>0</v>
      </c>
      <c r="P37" s="199">
        <f>+SUMIF('FAR Dep Summary'!$A$23:$A$38,Summary!$J37,'FAR Dep Summary'!E$23:E$38)</f>
        <v>0</v>
      </c>
      <c r="Q37" s="307">
        <f>+SUMIF('FAR Dep Summary'!$A$23:$A$38,Summary!$J37,'FAR Dep Summary'!F$23:F$38)</f>
        <v>0</v>
      </c>
      <c r="S37" s="306" t="s">
        <v>502</v>
      </c>
      <c r="T37" s="199">
        <f>+SUMIF('Bud Capital Input'!$L$62:$L$64,$S37, 'Bud Capital Input'!$P$62:$P$64)</f>
        <v>0</v>
      </c>
      <c r="U37" s="199">
        <v>0</v>
      </c>
      <c r="V37" s="199">
        <f>+T37-U37</f>
        <v>0</v>
      </c>
      <c r="W37" s="199">
        <f>+SUMIF('Bud Capital Input'!$L$62:$L$64,$S37, 'Bud Capital Input'!$R$62:$R$64)</f>
        <v>0</v>
      </c>
      <c r="X37" s="199">
        <v>0</v>
      </c>
      <c r="Y37" s="199">
        <f>+W37+X37</f>
        <v>0</v>
      </c>
      <c r="Z37" s="307">
        <f>+V37-Y37</f>
        <v>0</v>
      </c>
      <c r="AA37" s="199"/>
      <c r="AB37" s="306" t="s">
        <v>502</v>
      </c>
      <c r="AC37" s="199"/>
      <c r="AD37" s="199"/>
      <c r="AE37" s="199"/>
      <c r="AF37" s="199"/>
      <c r="AG37" s="199"/>
      <c r="AH37" s="199"/>
      <c r="AI37" s="307"/>
      <c r="AK37" s="306" t="s">
        <v>502</v>
      </c>
      <c r="AL37" s="199">
        <f>+B37+K37+T37</f>
        <v>29011.82</v>
      </c>
      <c r="AM37" s="199"/>
      <c r="AN37" s="199">
        <f>+D37+M37+V37</f>
        <v>29011.82</v>
      </c>
      <c r="AO37" s="199">
        <f>+E37+N37+W37</f>
        <v>2939.8082142857143</v>
      </c>
      <c r="AP37" s="199">
        <f>+F37+O37+X37</f>
        <v>8711.0604464285716</v>
      </c>
      <c r="AQ37" s="199">
        <f>+G37+P37+Y37</f>
        <v>11650.868660714284</v>
      </c>
      <c r="AR37" s="307">
        <f>+H37+Q37+Z37</f>
        <v>17360.951339285715</v>
      </c>
    </row>
    <row r="38" spans="1:44">
      <c r="A38" s="308"/>
      <c r="B38" s="214"/>
      <c r="C38" s="214"/>
      <c r="D38" s="214"/>
      <c r="E38" s="214"/>
      <c r="F38" s="214"/>
      <c r="G38" s="214"/>
      <c r="H38" s="309"/>
      <c r="J38" s="308"/>
      <c r="K38" s="214"/>
      <c r="L38" s="214"/>
      <c r="M38" s="214"/>
      <c r="N38" s="214"/>
      <c r="O38" s="214"/>
      <c r="P38" s="214"/>
      <c r="Q38" s="309"/>
      <c r="S38" s="308"/>
      <c r="T38" s="214"/>
      <c r="U38" s="214"/>
      <c r="V38" s="214"/>
      <c r="W38" s="214"/>
      <c r="X38" s="214"/>
      <c r="Y38" s="214"/>
      <c r="Z38" s="309"/>
      <c r="AA38" s="199"/>
      <c r="AB38" s="308"/>
      <c r="AC38" s="214"/>
      <c r="AD38" s="214"/>
      <c r="AE38" s="214"/>
      <c r="AF38" s="214"/>
      <c r="AG38" s="214"/>
      <c r="AH38" s="214"/>
      <c r="AI38" s="309"/>
      <c r="AK38" s="308"/>
      <c r="AL38" s="214"/>
      <c r="AM38" s="214"/>
      <c r="AN38" s="214"/>
      <c r="AO38" s="214"/>
      <c r="AP38" s="214"/>
      <c r="AQ38" s="214"/>
      <c r="AR38" s="309"/>
    </row>
    <row r="39" spans="1:44">
      <c r="A39" s="310" t="s">
        <v>70</v>
      </c>
      <c r="B39" s="242">
        <f t="shared" ref="B39:H39" si="5">SUM(B27:B38)</f>
        <v>3569013.6242105262</v>
      </c>
      <c r="C39" s="242">
        <f t="shared" si="5"/>
        <v>0</v>
      </c>
      <c r="D39" s="242">
        <f t="shared" si="5"/>
        <v>3569013.6242105262</v>
      </c>
      <c r="E39" s="242">
        <f t="shared" si="5"/>
        <v>234055.25230806388</v>
      </c>
      <c r="F39" s="242">
        <f t="shared" si="5"/>
        <v>2598274.6783874477</v>
      </c>
      <c r="G39" s="242">
        <f t="shared" si="5"/>
        <v>2834843.8473383677</v>
      </c>
      <c r="H39" s="311">
        <f t="shared" si="5"/>
        <v>734169.77687215852</v>
      </c>
      <c r="I39" s="3"/>
      <c r="J39" s="310" t="s">
        <v>70</v>
      </c>
      <c r="K39" s="242">
        <f t="shared" ref="K39:Q39" si="6">SUM(K27:K38)</f>
        <v>649245.5199999999</v>
      </c>
      <c r="L39" s="242">
        <f t="shared" si="6"/>
        <v>0</v>
      </c>
      <c r="M39" s="242">
        <f t="shared" si="6"/>
        <v>649245.5199999999</v>
      </c>
      <c r="N39" s="242">
        <f t="shared" si="6"/>
        <v>60656.280214285704</v>
      </c>
      <c r="O39" s="242">
        <f t="shared" si="6"/>
        <v>158231.69419841681</v>
      </c>
      <c r="P39" s="242">
        <f t="shared" si="6"/>
        <v>218888.19584127387</v>
      </c>
      <c r="Q39" s="311">
        <f t="shared" si="6"/>
        <v>430357.32415872603</v>
      </c>
      <c r="S39" s="310" t="s">
        <v>70</v>
      </c>
      <c r="T39" s="242">
        <f t="shared" ref="T39:Z39" si="7">SUM(T27:T38)</f>
        <v>0.45000000001164153</v>
      </c>
      <c r="U39" s="242">
        <f t="shared" si="7"/>
        <v>0</v>
      </c>
      <c r="V39" s="242">
        <f t="shared" si="7"/>
        <v>0.45000000001164153</v>
      </c>
      <c r="W39" s="242">
        <f t="shared" si="7"/>
        <v>6.4285714287377366E-2</v>
      </c>
      <c r="X39" s="242">
        <f t="shared" si="7"/>
        <v>0</v>
      </c>
      <c r="Y39" s="242">
        <f t="shared" si="7"/>
        <v>6.4285714287377366E-2</v>
      </c>
      <c r="Z39" s="311">
        <f t="shared" si="7"/>
        <v>0.38571428572426414</v>
      </c>
      <c r="AA39" s="537"/>
      <c r="AB39" s="310" t="s">
        <v>70</v>
      </c>
      <c r="AC39" s="242">
        <f t="shared" ref="AC39:AI39" si="8">SUM(AC27:AC38)</f>
        <v>0</v>
      </c>
      <c r="AD39" s="242">
        <f t="shared" si="8"/>
        <v>0</v>
      </c>
      <c r="AE39" s="242">
        <f t="shared" si="8"/>
        <v>0</v>
      </c>
      <c r="AF39" s="242">
        <f t="shared" si="8"/>
        <v>0</v>
      </c>
      <c r="AG39" s="242">
        <f t="shared" si="8"/>
        <v>0</v>
      </c>
      <c r="AH39" s="242">
        <f t="shared" si="8"/>
        <v>0</v>
      </c>
      <c r="AI39" s="311">
        <f t="shared" si="8"/>
        <v>0</v>
      </c>
      <c r="AK39" s="310" t="s">
        <v>70</v>
      </c>
      <c r="AL39" s="242">
        <f t="shared" ref="AL39:AR39" si="9">SUM(AL27:AL38)</f>
        <v>4218259.594210526</v>
      </c>
      <c r="AM39" s="242">
        <f t="shared" si="9"/>
        <v>0</v>
      </c>
      <c r="AN39" s="242">
        <f t="shared" si="9"/>
        <v>4218259.594210526</v>
      </c>
      <c r="AO39" s="242">
        <f t="shared" si="9"/>
        <v>294711.59680806386</v>
      </c>
      <c r="AP39" s="242">
        <f t="shared" si="9"/>
        <v>2756506.3725858643</v>
      </c>
      <c r="AQ39" s="242">
        <f t="shared" si="9"/>
        <v>3053732.1074653557</v>
      </c>
      <c r="AR39" s="311">
        <f t="shared" si="9"/>
        <v>1164527.4867451703</v>
      </c>
    </row>
    <row r="40" spans="1:44">
      <c r="A40" s="306"/>
      <c r="B40" s="199">
        <f>+B39-'2112 Cont'!L266</f>
        <v>0</v>
      </c>
      <c r="C40" s="199"/>
      <c r="D40" s="199"/>
      <c r="E40" s="199">
        <f>E39-'2112 Cont'!P266</f>
        <v>0</v>
      </c>
      <c r="F40" s="199"/>
      <c r="G40" s="199"/>
      <c r="H40" s="307">
        <f>H39-'2112 Cont'!S266</f>
        <v>0</v>
      </c>
      <c r="J40" s="306"/>
      <c r="K40" s="199"/>
      <c r="L40" s="199"/>
      <c r="M40" s="199"/>
      <c r="N40" s="199"/>
      <c r="O40" s="199"/>
      <c r="P40" s="199"/>
      <c r="Q40" s="307"/>
      <c r="S40" s="306"/>
      <c r="T40" s="199">
        <f>+T39-'Bud Capital Input'!P64</f>
        <v>0</v>
      </c>
      <c r="U40" s="199"/>
      <c r="V40" s="199"/>
      <c r="W40" s="199">
        <f>W39-'Bud Capital Input'!R64</f>
        <v>0</v>
      </c>
      <c r="X40" s="199"/>
      <c r="Y40" s="199"/>
      <c r="Z40" s="307">
        <f>Z39-'Bud Capital Input'!S64</f>
        <v>0</v>
      </c>
      <c r="AA40" s="199"/>
      <c r="AB40" s="306"/>
      <c r="AC40" s="199"/>
      <c r="AD40" s="199"/>
      <c r="AE40" s="199"/>
      <c r="AF40" s="199"/>
      <c r="AG40" s="199"/>
      <c r="AH40" s="199"/>
      <c r="AI40" s="307"/>
      <c r="AK40" s="306"/>
      <c r="AL40" s="199"/>
      <c r="AM40" s="199"/>
      <c r="AN40" s="199"/>
      <c r="AO40" s="199"/>
      <c r="AP40" s="199"/>
      <c r="AQ40" s="199"/>
      <c r="AR40" s="307"/>
    </row>
    <row r="41" spans="1:44">
      <c r="A41" s="306" t="s">
        <v>79</v>
      </c>
      <c r="B41" s="199">
        <f>'2112 Other'!L21</f>
        <v>151582.6</v>
      </c>
      <c r="C41" s="199">
        <f>B41-D41</f>
        <v>0</v>
      </c>
      <c r="D41" s="199">
        <f>'2112 Other'!M21</f>
        <v>151582.6</v>
      </c>
      <c r="E41" s="199">
        <f>'2112 Other'!P21</f>
        <v>17620.221999999998</v>
      </c>
      <c r="F41" s="199">
        <f>'2112 Other'!Q21</f>
        <v>98899.008833335407</v>
      </c>
      <c r="G41" s="199">
        <f>'2112 Other'!R21</f>
        <v>116519.2308333354</v>
      </c>
      <c r="H41" s="307">
        <f>'2112 Other'!S21</f>
        <v>35063.369166664583</v>
      </c>
      <c r="J41" s="306" t="s">
        <v>79</v>
      </c>
      <c r="K41" s="199">
        <f>+SUMIF('FAR Dep Summary'!$A$23:$A$38,Summary!$J41,'FAR Dep Summary'!$B$23:$B$38)</f>
        <v>0</v>
      </c>
      <c r="L41" s="199">
        <f>K41-M41</f>
        <v>0</v>
      </c>
      <c r="M41" s="199">
        <f>+SUMIF('FAR Dep Summary'!$A$23:$A$38,Summary!$J41,'FAR Dep Summary'!B$23:B$38)</f>
        <v>0</v>
      </c>
      <c r="N41" s="199">
        <f>+SUMIF('FAR Dep Summary'!$A$23:$A$38,Summary!$J41,'FAR Dep Summary'!C$23:C$38)</f>
        <v>0</v>
      </c>
      <c r="O41" s="199">
        <f>+SUMIF('FAR Dep Summary'!$A$23:$A$38,Summary!$J41,'FAR Dep Summary'!D$23:D$38)</f>
        <v>0</v>
      </c>
      <c r="P41" s="199">
        <f>+SUMIF('FAR Dep Summary'!$A$23:$A$38,Summary!$J41,'FAR Dep Summary'!E$23:E$38)</f>
        <v>0</v>
      </c>
      <c r="Q41" s="307">
        <f>+SUMIF('FAR Dep Summary'!$A$23:$A$38,Summary!$J41,'FAR Dep Summary'!F$23:F$38)</f>
        <v>0</v>
      </c>
      <c r="S41" s="306" t="s">
        <v>79</v>
      </c>
      <c r="T41" s="199">
        <f>+SUMIF('Bud Capital Input'!$L$62:$L$64,$S41, 'Bud Capital Input'!$P$62:$P$64)</f>
        <v>0</v>
      </c>
      <c r="U41" s="199">
        <v>0</v>
      </c>
      <c r="V41" s="199">
        <f>+T41-U41</f>
        <v>0</v>
      </c>
      <c r="W41" s="199">
        <f>+SUMIF('Bud Capital Input'!$L$62:$L$64,$S41, 'Bud Capital Input'!$R$62:$R$64)</f>
        <v>0</v>
      </c>
      <c r="X41" s="199">
        <v>0</v>
      </c>
      <c r="Y41" s="199">
        <f>+W41+X41</f>
        <v>0</v>
      </c>
      <c r="Z41" s="307">
        <f>+V41-Y41</f>
        <v>0</v>
      </c>
      <c r="AA41" s="199"/>
      <c r="AB41" s="306" t="s">
        <v>79</v>
      </c>
      <c r="AC41" s="199"/>
      <c r="AD41" s="199"/>
      <c r="AE41" s="199"/>
      <c r="AF41" s="199"/>
      <c r="AG41" s="199"/>
      <c r="AH41" s="199"/>
      <c r="AI41" s="307"/>
      <c r="AK41" s="306" t="s">
        <v>79</v>
      </c>
      <c r="AL41" s="199">
        <f>+B41+K41+T41</f>
        <v>151582.6</v>
      </c>
      <c r="AM41" s="199"/>
      <c r="AN41" s="199">
        <f>+D41+M41+V41</f>
        <v>151582.6</v>
      </c>
      <c r="AO41" s="199">
        <f>+E41+N41+W41</f>
        <v>17620.221999999998</v>
      </c>
      <c r="AP41" s="199">
        <f>+F41+O41+X41</f>
        <v>98899.008833335407</v>
      </c>
      <c r="AQ41" s="199">
        <f>+G41+P41+Y41</f>
        <v>116519.2308333354</v>
      </c>
      <c r="AR41" s="307">
        <f>+H41+Q41+Z41</f>
        <v>35063.369166664583</v>
      </c>
    </row>
    <row r="42" spans="1:44">
      <c r="A42" s="306"/>
      <c r="B42" s="199"/>
      <c r="C42" s="199"/>
      <c r="D42" s="199"/>
      <c r="E42" s="199"/>
      <c r="F42" s="199"/>
      <c r="G42" s="199"/>
      <c r="H42" s="307"/>
      <c r="J42" s="306"/>
      <c r="K42" s="199"/>
      <c r="L42" s="199"/>
      <c r="M42" s="199"/>
      <c r="N42" s="199"/>
      <c r="O42" s="199"/>
      <c r="P42" s="199"/>
      <c r="Q42" s="307"/>
      <c r="S42" s="306"/>
      <c r="T42" s="199"/>
      <c r="U42" s="199"/>
      <c r="V42" s="199"/>
      <c r="W42" s="199"/>
      <c r="X42" s="199"/>
      <c r="Y42" s="199"/>
      <c r="Z42" s="307"/>
      <c r="AA42" s="199"/>
      <c r="AB42" s="306"/>
      <c r="AC42" s="199"/>
      <c r="AD42" s="199"/>
      <c r="AE42" s="199"/>
      <c r="AF42" s="199"/>
      <c r="AG42" s="199"/>
      <c r="AH42" s="199"/>
      <c r="AI42" s="307"/>
      <c r="AK42" s="306"/>
      <c r="AL42" s="199"/>
      <c r="AM42" s="199"/>
      <c r="AN42" s="199"/>
      <c r="AO42" s="199"/>
      <c r="AP42" s="199"/>
      <c r="AQ42" s="199"/>
      <c r="AR42" s="307"/>
    </row>
    <row r="43" spans="1:44">
      <c r="A43" s="306" t="s">
        <v>80</v>
      </c>
      <c r="B43" s="199">
        <f>'2112 Other'!L48</f>
        <v>2842164.3400000008</v>
      </c>
      <c r="C43" s="199">
        <f>B43-D43</f>
        <v>0</v>
      </c>
      <c r="D43" s="199">
        <f>'2112 Other'!M48</f>
        <v>2842164.3400000008</v>
      </c>
      <c r="E43" s="199">
        <f>'2112 Other'!P48</f>
        <v>266052.85700000008</v>
      </c>
      <c r="F43" s="199">
        <f>'2112 Other'!Q48</f>
        <v>1072481.2860000031</v>
      </c>
      <c r="G43" s="199">
        <f>'2112 Other'!R48</f>
        <v>1338685.8668333364</v>
      </c>
      <c r="H43" s="307">
        <f>'2112 Other'!S48</f>
        <v>1503478.4731666641</v>
      </c>
      <c r="I43" s="3"/>
      <c r="J43" s="306" t="s">
        <v>80</v>
      </c>
      <c r="K43" s="199">
        <f>+SUMIF('FAR Dep Summary'!$A$23:$A$38,Summary!$J43,'FAR Dep Summary'!$B$23:$B$38)</f>
        <v>55055.16</v>
      </c>
      <c r="L43" s="199">
        <f>K43-M43</f>
        <v>0</v>
      </c>
      <c r="M43" s="199">
        <f>+SUMIF('FAR Dep Summary'!$A$23:$A$38,Summary!$J43,'FAR Dep Summary'!B$23:B$38)</f>
        <v>55055.16</v>
      </c>
      <c r="N43" s="199">
        <f>+SUMIF('FAR Dep Summary'!$A$23:$A$38,Summary!$J43,'FAR Dep Summary'!C$23:C$38)</f>
        <v>9029.2193333333325</v>
      </c>
      <c r="O43" s="199">
        <f>+SUMIF('FAR Dep Summary'!$A$23:$A$38,Summary!$J43,'FAR Dep Summary'!D$23:D$38)</f>
        <v>24571.697555556879</v>
      </c>
      <c r="P43" s="199">
        <f>+SUMIF('FAR Dep Summary'!$A$23:$A$38,Summary!$J43,'FAR Dep Summary'!E$23:E$38)</f>
        <v>33600.916888890213</v>
      </c>
      <c r="Q43" s="307">
        <f>+SUMIF('FAR Dep Summary'!$A$23:$A$38,Summary!$J43,'FAR Dep Summary'!F$23:F$38)</f>
        <v>21454.243111109787</v>
      </c>
      <c r="S43" s="306" t="s">
        <v>80</v>
      </c>
      <c r="T43" s="199">
        <f>+SUMIF('Bud Capital Input'!$L$62:$L$64,$S43, 'Bud Capital Input'!$P$62:$P$64)</f>
        <v>0</v>
      </c>
      <c r="U43" s="199">
        <v>0</v>
      </c>
      <c r="V43" s="199">
        <f>+T43-U43</f>
        <v>0</v>
      </c>
      <c r="W43" s="199">
        <f>+SUMIF('Bud Capital Input'!$L$62:$L$64,$S43, 'Bud Capital Input'!$R$62:$R$64)</f>
        <v>0</v>
      </c>
      <c r="X43" s="199">
        <v>0</v>
      </c>
      <c r="Y43" s="199">
        <f>+W43+X43</f>
        <v>0</v>
      </c>
      <c r="Z43" s="307">
        <f>+V43-Y43</f>
        <v>0</v>
      </c>
      <c r="AA43" s="199"/>
      <c r="AB43" s="306" t="s">
        <v>80</v>
      </c>
      <c r="AC43" s="199"/>
      <c r="AD43" s="199"/>
      <c r="AE43" s="199"/>
      <c r="AF43" s="199"/>
      <c r="AG43" s="199"/>
      <c r="AH43" s="199"/>
      <c r="AI43" s="307"/>
      <c r="AK43" s="306" t="s">
        <v>80</v>
      </c>
      <c r="AL43" s="199">
        <f>+B43+K43+T43</f>
        <v>2897219.5000000009</v>
      </c>
      <c r="AM43" s="199"/>
      <c r="AN43" s="199">
        <f>+D43+M43+V43</f>
        <v>2897219.5000000009</v>
      </c>
      <c r="AO43" s="199">
        <f>+E43+N43+W43</f>
        <v>275082.07633333339</v>
      </c>
      <c r="AP43" s="199">
        <f>+F43+O43+X43</f>
        <v>1097052.98355556</v>
      </c>
      <c r="AQ43" s="199">
        <f>+G43+P43+Y43</f>
        <v>1372286.7837222267</v>
      </c>
      <c r="AR43" s="307">
        <f>+H43+Q43+Z43</f>
        <v>1524932.716277774</v>
      </c>
    </row>
    <row r="44" spans="1:44">
      <c r="A44" s="306"/>
      <c r="B44" s="199"/>
      <c r="C44" s="199"/>
      <c r="D44" s="199"/>
      <c r="E44" s="199"/>
      <c r="F44" s="199"/>
      <c r="G44" s="199"/>
      <c r="H44" s="307"/>
      <c r="I44" s="3"/>
      <c r="J44" s="306"/>
      <c r="K44" s="199"/>
      <c r="L44" s="199"/>
      <c r="M44" s="199"/>
      <c r="N44" s="199"/>
      <c r="O44" s="199"/>
      <c r="P44" s="199"/>
      <c r="Q44" s="307"/>
      <c r="S44" s="306"/>
      <c r="T44" s="199"/>
      <c r="U44" s="199"/>
      <c r="V44" s="199"/>
      <c r="W44" s="199"/>
      <c r="X44" s="199"/>
      <c r="Y44" s="199"/>
      <c r="Z44" s="307"/>
      <c r="AA44" s="199"/>
      <c r="AB44" s="306"/>
      <c r="AC44" s="199"/>
      <c r="AD44" s="199"/>
      <c r="AE44" s="199"/>
      <c r="AF44" s="199"/>
      <c r="AG44" s="199"/>
      <c r="AH44" s="199"/>
      <c r="AI44" s="307"/>
      <c r="AK44" s="306"/>
      <c r="AL44" s="199"/>
      <c r="AM44" s="199"/>
      <c r="AN44" s="199"/>
      <c r="AO44" s="199"/>
      <c r="AP44" s="199"/>
      <c r="AQ44" s="199"/>
      <c r="AR44" s="307"/>
    </row>
    <row r="45" spans="1:44">
      <c r="A45" s="306" t="s">
        <v>1094</v>
      </c>
      <c r="B45" s="199">
        <f>'2112 Other'!L54</f>
        <v>38884</v>
      </c>
      <c r="C45" s="199">
        <f>B45-D45</f>
        <v>0</v>
      </c>
      <c r="D45" s="199">
        <f>'2112 Other'!M54</f>
        <v>38884</v>
      </c>
      <c r="E45" s="199">
        <f>'2112 Other'!P54</f>
        <v>4975.4971428571434</v>
      </c>
      <c r="F45" s="199">
        <f>'2112 Other'!Q54</f>
        <v>26080.68380952446</v>
      </c>
      <c r="G45" s="199">
        <f>'2112 Other'!R54</f>
        <v>31056.180952381605</v>
      </c>
      <c r="H45" s="307">
        <f>'2112 Other'!S54</f>
        <v>7827.8190476183936</v>
      </c>
      <c r="I45" s="3"/>
      <c r="J45" s="306" t="s">
        <v>1094</v>
      </c>
      <c r="K45" s="199">
        <f>+SUMIF('FAR Dep Summary'!$A$23:$A$38,Summary!$J45,'FAR Dep Summary'!$B$23:$B$38)</f>
        <v>0</v>
      </c>
      <c r="L45" s="199">
        <f>K45-M45</f>
        <v>0</v>
      </c>
      <c r="M45" s="199">
        <f>+SUMIF('FAR Dep Summary'!$A$23:$A$38,Summary!$J45,'FAR Dep Summary'!B$23:B$38)</f>
        <v>0</v>
      </c>
      <c r="N45" s="199">
        <f>+SUMIF('FAR Dep Summary'!$A$23:$A$38,Summary!$J45,'FAR Dep Summary'!C$23:C$38)</f>
        <v>0</v>
      </c>
      <c r="O45" s="199">
        <f>+SUMIF('FAR Dep Summary'!$A$23:$A$38,Summary!$J45,'FAR Dep Summary'!D$23:D$38)</f>
        <v>0</v>
      </c>
      <c r="P45" s="199">
        <f>+SUMIF('FAR Dep Summary'!$A$23:$A$38,Summary!$J45,'FAR Dep Summary'!E$23:E$38)</f>
        <v>0</v>
      </c>
      <c r="Q45" s="307">
        <f>+SUMIF('FAR Dep Summary'!$A$23:$A$38,Summary!$J45,'FAR Dep Summary'!F$23:F$38)</f>
        <v>0</v>
      </c>
      <c r="S45" s="306" t="s">
        <v>1094</v>
      </c>
      <c r="T45" s="199">
        <f>+SUMIF('Bud Capital Input'!$L$62:$L$64,$S45, 'Bud Capital Input'!$P$62:$P$64)</f>
        <v>0</v>
      </c>
      <c r="U45" s="199">
        <v>0</v>
      </c>
      <c r="V45" s="199">
        <f>+T45-U45</f>
        <v>0</v>
      </c>
      <c r="W45" s="199">
        <f>+SUMIF('Bud Capital Input'!$L$62:$L$64,$S45, 'Bud Capital Input'!$R$62:$R$64)</f>
        <v>0</v>
      </c>
      <c r="X45" s="199">
        <v>0</v>
      </c>
      <c r="Y45" s="199">
        <f>+W45+X45</f>
        <v>0</v>
      </c>
      <c r="Z45" s="307">
        <f>+V45-Y45</f>
        <v>0</v>
      </c>
      <c r="AA45" s="199"/>
      <c r="AB45" s="306" t="s">
        <v>1094</v>
      </c>
      <c r="AC45" s="199">
        <f>'MRF Capital Repairs'!K34</f>
        <v>319528.55000000005</v>
      </c>
      <c r="AD45" s="199">
        <v>0</v>
      </c>
      <c r="AE45" s="199">
        <f>+AC45-AD45</f>
        <v>319528.55000000005</v>
      </c>
      <c r="AF45" s="199">
        <f>'MRF Capital Repairs'!O34</f>
        <v>31952.854999999996</v>
      </c>
      <c r="AG45" s="199">
        <f>'MRF Capital Repairs'!P34</f>
        <v>30666.394833335849</v>
      </c>
      <c r="AH45" s="199">
        <f>'MRF Capital Repairs'!Q34</f>
        <v>62619.249833335845</v>
      </c>
      <c r="AI45" s="307">
        <f>'MRF Capital Repairs'!R34</f>
        <v>256909.30016666418</v>
      </c>
      <c r="AK45" s="306" t="s">
        <v>1094</v>
      </c>
      <c r="AL45" s="199">
        <f>+B45+K45+T45+AC45</f>
        <v>358412.55000000005</v>
      </c>
      <c r="AM45" s="199"/>
      <c r="AN45" s="199">
        <f>+D45+M45+V45+AE45</f>
        <v>358412.55000000005</v>
      </c>
      <c r="AO45" s="199">
        <f t="shared" ref="AO45:AR45" si="10">+E45+N45+W45+AF45</f>
        <v>36928.35214285714</v>
      </c>
      <c r="AP45" s="199">
        <f t="shared" si="10"/>
        <v>56747.07864286031</v>
      </c>
      <c r="AQ45" s="199">
        <f t="shared" si="10"/>
        <v>93675.430785717443</v>
      </c>
      <c r="AR45" s="307">
        <f t="shared" si="10"/>
        <v>264737.11921428255</v>
      </c>
    </row>
    <row r="46" spans="1:44">
      <c r="A46" s="306"/>
      <c r="B46" s="199"/>
      <c r="C46" s="199"/>
      <c r="D46" s="199"/>
      <c r="E46" s="199"/>
      <c r="F46" s="199"/>
      <c r="G46" s="199"/>
      <c r="H46" s="307"/>
      <c r="J46" s="306"/>
      <c r="K46" s="199"/>
      <c r="L46" s="199"/>
      <c r="M46" s="199"/>
      <c r="N46" s="199"/>
      <c r="O46" s="199"/>
      <c r="P46" s="199"/>
      <c r="Q46" s="307"/>
      <c r="S46" s="306"/>
      <c r="T46" s="199"/>
      <c r="U46" s="199"/>
      <c r="V46" s="199"/>
      <c r="W46" s="199"/>
      <c r="X46" s="199"/>
      <c r="Y46" s="199"/>
      <c r="Z46" s="307"/>
      <c r="AA46" s="199"/>
      <c r="AB46" s="306"/>
      <c r="AC46" s="199"/>
      <c r="AD46" s="199"/>
      <c r="AE46" s="199"/>
      <c r="AF46" s="199"/>
      <c r="AG46" s="199"/>
      <c r="AH46" s="199"/>
      <c r="AI46" s="307"/>
      <c r="AK46" s="306"/>
      <c r="AL46" s="199"/>
      <c r="AM46" s="199"/>
      <c r="AN46" s="199"/>
      <c r="AO46" s="199"/>
      <c r="AP46" s="199"/>
      <c r="AQ46" s="199"/>
      <c r="AR46" s="307"/>
    </row>
    <row r="47" spans="1:44">
      <c r="A47" s="306" t="s">
        <v>81</v>
      </c>
      <c r="B47" s="199">
        <f>'2112 Other'!L61+'2112 Other'!L79</f>
        <v>66982.990000000005</v>
      </c>
      <c r="C47" s="199">
        <f>B47-D47</f>
        <v>0</v>
      </c>
      <c r="D47" s="199">
        <f>'2112 Other'!M61+'2112 Other'!M79</f>
        <v>66982.990000000005</v>
      </c>
      <c r="E47" s="199">
        <f>'2112 Other'!P61+'2112 Other'!P79</f>
        <v>1018.96</v>
      </c>
      <c r="F47" s="199">
        <f>'2112 Other'!Q61+'2112 Other'!Q79</f>
        <v>61434.224444444597</v>
      </c>
      <c r="G47" s="199">
        <f>'2112 Other'!R61+'2112 Other'!R79</f>
        <v>62822.236666666744</v>
      </c>
      <c r="H47" s="307">
        <f>'2112 Other'!S61+'2112 Other'!S79</f>
        <v>4160.7533333332567</v>
      </c>
      <c r="I47" s="3"/>
      <c r="J47" s="306" t="s">
        <v>81</v>
      </c>
      <c r="K47" s="199">
        <f>+SUMIF('FAR Dep Summary'!$A$23:$A$38,Summary!$J47,'FAR Dep Summary'!$B$23:$B$38)</f>
        <v>23219.59</v>
      </c>
      <c r="L47" s="199">
        <f>K47-M47</f>
        <v>0</v>
      </c>
      <c r="M47" s="199">
        <f>+SUMIF('FAR Dep Summary'!$A$23:$A$38,Summary!$J47,'FAR Dep Summary'!B$23:B$38)</f>
        <v>23219.59</v>
      </c>
      <c r="N47" s="199">
        <f>+SUMIF('FAR Dep Summary'!$A$23:$A$38,Summary!$J47,'FAR Dep Summary'!C$23:C$38)</f>
        <v>3980.6100000000006</v>
      </c>
      <c r="O47" s="199">
        <f>+SUMIF('FAR Dep Summary'!$A$23:$A$38,Summary!$J47,'FAR Dep Summary'!D$23:D$38)</f>
        <v>8925.9573611124324</v>
      </c>
      <c r="P47" s="199">
        <f>+SUMIF('FAR Dep Summary'!$A$23:$A$38,Summary!$J47,'FAR Dep Summary'!E$23:E$38)</f>
        <v>16474.189444444593</v>
      </c>
      <c r="Q47" s="307">
        <f>+SUMIF('FAR Dep Summary'!$A$23:$A$38,Summary!$J47,'FAR Dep Summary'!F$23:F$38)</f>
        <v>6745.4005555554068</v>
      </c>
      <c r="S47" s="306" t="s">
        <v>81</v>
      </c>
      <c r="T47" s="199">
        <f>+SUMIF('Bud Capital Input'!$L$62:$L$64,$S47, 'Bud Capital Input'!$P$62:$P$64)</f>
        <v>0</v>
      </c>
      <c r="U47" s="199">
        <v>0</v>
      </c>
      <c r="V47" s="199">
        <f>+T47-U47</f>
        <v>0</v>
      </c>
      <c r="W47" s="199">
        <f>+SUMIF('Bud Capital Input'!$L$62:$L$64,$S47, 'Bud Capital Input'!$R$62:$R$64)</f>
        <v>0</v>
      </c>
      <c r="X47" s="199">
        <v>0</v>
      </c>
      <c r="Y47" s="199">
        <f>+W47+X47</f>
        <v>0</v>
      </c>
      <c r="Z47" s="307">
        <f>+V47-Y47</f>
        <v>0</v>
      </c>
      <c r="AA47" s="199"/>
      <c r="AB47" s="306" t="s">
        <v>81</v>
      </c>
      <c r="AC47" s="199"/>
      <c r="AD47" s="199"/>
      <c r="AE47" s="199"/>
      <c r="AF47" s="199"/>
      <c r="AG47" s="199"/>
      <c r="AH47" s="199"/>
      <c r="AI47" s="307"/>
      <c r="AK47" s="306" t="s">
        <v>81</v>
      </c>
      <c r="AL47" s="199">
        <f>+B47+K47+T47</f>
        <v>90202.58</v>
      </c>
      <c r="AM47" s="199"/>
      <c r="AN47" s="199">
        <f>+D47+M47+V47</f>
        <v>90202.58</v>
      </c>
      <c r="AO47" s="199">
        <f>+E47+N47+W47</f>
        <v>4999.5700000000006</v>
      </c>
      <c r="AP47" s="199">
        <f>+F47+O47+X47</f>
        <v>70360.181805557033</v>
      </c>
      <c r="AQ47" s="199">
        <f>+G47+P47+Y47</f>
        <v>79296.42611111133</v>
      </c>
      <c r="AR47" s="307">
        <f>+H47+Q47+Z47</f>
        <v>10906.153888888664</v>
      </c>
    </row>
    <row r="48" spans="1:44">
      <c r="A48" s="306"/>
      <c r="B48" s="199"/>
      <c r="C48" s="199"/>
      <c r="D48" s="199"/>
      <c r="E48" s="199"/>
      <c r="F48" s="199"/>
      <c r="G48" s="199"/>
      <c r="H48" s="307"/>
      <c r="J48" s="306"/>
      <c r="K48" s="199"/>
      <c r="L48" s="199"/>
      <c r="M48" s="199"/>
      <c r="N48" s="199"/>
      <c r="O48" s="199"/>
      <c r="P48" s="199"/>
      <c r="Q48" s="307"/>
      <c r="S48" s="306"/>
      <c r="T48" s="199"/>
      <c r="U48" s="199"/>
      <c r="V48" s="199"/>
      <c r="W48" s="199"/>
      <c r="X48" s="199"/>
      <c r="Y48" s="199"/>
      <c r="Z48" s="307"/>
      <c r="AA48" s="199"/>
      <c r="AB48" s="306"/>
      <c r="AC48" s="199"/>
      <c r="AD48" s="199"/>
      <c r="AE48" s="199"/>
      <c r="AF48" s="199"/>
      <c r="AG48" s="199"/>
      <c r="AH48" s="199"/>
      <c r="AI48" s="307"/>
      <c r="AK48" s="306"/>
      <c r="AL48" s="199"/>
      <c r="AM48" s="199"/>
      <c r="AN48" s="199"/>
      <c r="AO48" s="199"/>
      <c r="AP48" s="199"/>
      <c r="AQ48" s="199"/>
      <c r="AR48" s="307"/>
    </row>
    <row r="49" spans="1:44">
      <c r="A49" s="306" t="s">
        <v>205</v>
      </c>
      <c r="B49" s="199">
        <f>'2112 Other'!L89</f>
        <v>393255.4</v>
      </c>
      <c r="C49" s="199">
        <f>B49-D49</f>
        <v>0</v>
      </c>
      <c r="D49" s="199">
        <f>'2112 Other'!M89</f>
        <v>393255.4</v>
      </c>
      <c r="E49" s="199">
        <f>'2112 Other'!P89</f>
        <v>36558.396000000008</v>
      </c>
      <c r="F49" s="199">
        <f>'2112 Other'!Q89</f>
        <v>184936.0850833373</v>
      </c>
      <c r="G49" s="199">
        <f>'2112 Other'!R89</f>
        <v>221494.48108333728</v>
      </c>
      <c r="H49" s="307">
        <f>'2112 Other'!S89</f>
        <v>171760.91891666272</v>
      </c>
      <c r="J49" s="306" t="s">
        <v>205</v>
      </c>
      <c r="K49" s="199">
        <f>+SUMIF('FAR Dep Summary'!$A$23:$A$38,Summary!$J49,'FAR Dep Summary'!$B$23:$B$38)</f>
        <v>0</v>
      </c>
      <c r="L49" s="199">
        <f>K49-M49</f>
        <v>0</v>
      </c>
      <c r="M49" s="199">
        <f>+SUMIF('FAR Dep Summary'!$A$23:$A$38,Summary!$J49,'FAR Dep Summary'!B$23:B$38)</f>
        <v>0</v>
      </c>
      <c r="N49" s="199">
        <f>+SUMIF('FAR Dep Summary'!$A$23:$A$38,Summary!$J49,'FAR Dep Summary'!C$23:C$38)</f>
        <v>0</v>
      </c>
      <c r="O49" s="199">
        <f>+SUMIF('FAR Dep Summary'!$A$23:$A$38,Summary!$J49,'FAR Dep Summary'!D$23:D$38)</f>
        <v>0</v>
      </c>
      <c r="P49" s="199">
        <f>+SUMIF('FAR Dep Summary'!$A$23:$A$38,Summary!$J49,'FAR Dep Summary'!E$23:E$38)</f>
        <v>0</v>
      </c>
      <c r="Q49" s="307">
        <f>+SUMIF('FAR Dep Summary'!$A$23:$A$38,Summary!$J49,'FAR Dep Summary'!F$23:F$38)</f>
        <v>0</v>
      </c>
      <c r="S49" s="306" t="s">
        <v>205</v>
      </c>
      <c r="T49" s="199">
        <f>+SUMIF('Bud Capital Input'!$L$62:$L$64,$S49, 'Bud Capital Input'!$P$62:$P$64)</f>
        <v>0</v>
      </c>
      <c r="U49" s="199">
        <v>0</v>
      </c>
      <c r="V49" s="199">
        <f>+T49-U49</f>
        <v>0</v>
      </c>
      <c r="W49" s="199">
        <f>+SUMIF('Bud Capital Input'!$L$62:$L$64,$S49, 'Bud Capital Input'!$R$62:$R$64)</f>
        <v>0</v>
      </c>
      <c r="X49" s="199">
        <v>0</v>
      </c>
      <c r="Y49" s="199">
        <f>+W49+X49</f>
        <v>0</v>
      </c>
      <c r="Z49" s="307">
        <f>+V49-Y49</f>
        <v>0</v>
      </c>
      <c r="AA49" s="199"/>
      <c r="AB49" s="306" t="s">
        <v>205</v>
      </c>
      <c r="AC49" s="199"/>
      <c r="AD49" s="199"/>
      <c r="AE49" s="199"/>
      <c r="AF49" s="199"/>
      <c r="AG49" s="199"/>
      <c r="AH49" s="199"/>
      <c r="AI49" s="307"/>
      <c r="AK49" s="306" t="s">
        <v>205</v>
      </c>
      <c r="AL49" s="199">
        <f>+B49+K49+T49</f>
        <v>393255.4</v>
      </c>
      <c r="AM49" s="199"/>
      <c r="AN49" s="199">
        <f>+D49+M49+V49</f>
        <v>393255.4</v>
      </c>
      <c r="AO49" s="199">
        <f>+E49+N49+W49</f>
        <v>36558.396000000008</v>
      </c>
      <c r="AP49" s="199">
        <f>+F49+O49+X49</f>
        <v>184936.0850833373</v>
      </c>
      <c r="AQ49" s="199">
        <f>+G49+P49+Y49</f>
        <v>221494.48108333728</v>
      </c>
      <c r="AR49" s="307">
        <f>+H49+Q49+Z49</f>
        <v>171760.91891666272</v>
      </c>
    </row>
    <row r="50" spans="1:44">
      <c r="A50" s="306"/>
      <c r="B50" s="199"/>
      <c r="C50" s="199"/>
      <c r="D50" s="199"/>
      <c r="E50" s="199"/>
      <c r="F50" s="199"/>
      <c r="G50" s="199"/>
      <c r="H50" s="307"/>
      <c r="J50" s="306"/>
      <c r="K50" s="199"/>
      <c r="L50" s="199"/>
      <c r="M50" s="199"/>
      <c r="N50" s="199"/>
      <c r="O50" s="199"/>
      <c r="P50" s="199"/>
      <c r="Q50" s="307"/>
      <c r="S50" s="306"/>
      <c r="T50" s="199"/>
      <c r="U50" s="199"/>
      <c r="V50" s="199"/>
      <c r="W50" s="199"/>
      <c r="X50" s="199"/>
      <c r="Y50" s="199"/>
      <c r="Z50" s="307"/>
      <c r="AA50" s="199"/>
      <c r="AB50" s="306"/>
      <c r="AC50" s="199"/>
      <c r="AD50" s="199"/>
      <c r="AE50" s="199"/>
      <c r="AF50" s="199"/>
      <c r="AG50" s="199"/>
      <c r="AH50" s="199"/>
      <c r="AI50" s="307"/>
      <c r="AK50" s="306"/>
      <c r="AL50" s="199"/>
      <c r="AM50" s="199"/>
      <c r="AN50" s="199"/>
      <c r="AO50" s="199"/>
      <c r="AP50" s="199"/>
      <c r="AQ50" s="199"/>
      <c r="AR50" s="307"/>
    </row>
    <row r="51" spans="1:44">
      <c r="A51" s="306" t="s">
        <v>1647</v>
      </c>
      <c r="B51" s="199"/>
      <c r="C51" s="199">
        <f>B51-D51</f>
        <v>0</v>
      </c>
      <c r="D51" s="199"/>
      <c r="E51" s="199"/>
      <c r="F51" s="199"/>
      <c r="G51" s="199"/>
      <c r="H51" s="307"/>
      <c r="J51" s="306" t="s">
        <v>1647</v>
      </c>
      <c r="K51" s="199">
        <f>+SUMIF('FAR Dep Summary'!$A$23:$A$38,Summary!$J51,'FAR Dep Summary'!$B$23:$B$38)</f>
        <v>731910.58</v>
      </c>
      <c r="L51" s="199">
        <f>K51-M51</f>
        <v>0</v>
      </c>
      <c r="M51" s="199">
        <f>+SUMIF('FAR Dep Summary'!$A$23:$A$38,Summary!$J51,'FAR Dep Summary'!B$23:B$38)</f>
        <v>731910.58</v>
      </c>
      <c r="N51" s="199">
        <f>+SUMIF('FAR Dep Summary'!$A$23:$A$38,Summary!$J51,'FAR Dep Summary'!C$23:C$38)</f>
        <v>36595.529000000002</v>
      </c>
      <c r="O51" s="199">
        <f>+SUMIF('FAR Dep Summary'!$A$23:$A$38,Summary!$J51,'FAR Dep Summary'!D$23:D$38)</f>
        <v>57942.920916672192</v>
      </c>
      <c r="P51" s="199">
        <f>+SUMIF('FAR Dep Summary'!$A$23:$A$38,Summary!$J51,'FAR Dep Summary'!E$23:E$38)</f>
        <v>94538.449916672194</v>
      </c>
      <c r="Q51" s="307">
        <f>+SUMIF('FAR Dep Summary'!$A$23:$A$38,Summary!$J51,'FAR Dep Summary'!F$23:F$38)</f>
        <v>637372.13008332776</v>
      </c>
      <c r="S51" s="306" t="s">
        <v>1647</v>
      </c>
      <c r="T51" s="199">
        <f>+SUMIF('Bud Capital Input'!$L$62:$L$64,$S51, 'Bud Capital Input'!$P$62:$P$64)</f>
        <v>0</v>
      </c>
      <c r="U51" s="199">
        <v>0</v>
      </c>
      <c r="V51" s="199">
        <f>+T51-U51</f>
        <v>0</v>
      </c>
      <c r="W51" s="199">
        <f>+SUMIF('Bud Capital Input'!$L$62:$L$64,$S51, 'Bud Capital Input'!$R$62:$R$64)</f>
        <v>0</v>
      </c>
      <c r="X51" s="199">
        <v>0</v>
      </c>
      <c r="Y51" s="199">
        <f>+W51+X51</f>
        <v>0</v>
      </c>
      <c r="Z51" s="307">
        <f>+V51-Y51</f>
        <v>0</v>
      </c>
      <c r="AA51" s="199"/>
      <c r="AB51" s="306" t="s">
        <v>1647</v>
      </c>
      <c r="AC51" s="199"/>
      <c r="AD51" s="199"/>
      <c r="AE51" s="199"/>
      <c r="AF51" s="199"/>
      <c r="AG51" s="199"/>
      <c r="AH51" s="199"/>
      <c r="AI51" s="307"/>
      <c r="AK51" s="306" t="s">
        <v>1647</v>
      </c>
      <c r="AL51" s="199">
        <f>+B51+K51+T51</f>
        <v>731910.58</v>
      </c>
      <c r="AM51" s="199"/>
      <c r="AN51" s="199">
        <f>+D51+M51+V51</f>
        <v>731910.58</v>
      </c>
      <c r="AO51" s="199">
        <f>+E51+N51+W51</f>
        <v>36595.529000000002</v>
      </c>
      <c r="AP51" s="199">
        <f>+F51+O51+X51</f>
        <v>57942.920916672192</v>
      </c>
      <c r="AQ51" s="199">
        <f>+G51+P51+Y51</f>
        <v>94538.449916672194</v>
      </c>
      <c r="AR51" s="307">
        <f>+H51+Q51+Z51</f>
        <v>637372.13008332776</v>
      </c>
    </row>
    <row r="52" spans="1:44">
      <c r="A52" s="306"/>
      <c r="B52" s="199"/>
      <c r="C52" s="199"/>
      <c r="D52" s="199"/>
      <c r="E52" s="199"/>
      <c r="F52" s="199"/>
      <c r="G52" s="199"/>
      <c r="H52" s="307"/>
      <c r="J52" s="306"/>
      <c r="K52" s="199"/>
      <c r="L52" s="199"/>
      <c r="M52" s="199"/>
      <c r="N52" s="199"/>
      <c r="O52" s="199"/>
      <c r="P52" s="199"/>
      <c r="Q52" s="307"/>
      <c r="S52" s="306"/>
      <c r="T52" s="199"/>
      <c r="U52" s="199"/>
      <c r="V52" s="199"/>
      <c r="W52" s="199"/>
      <c r="X52" s="199"/>
      <c r="Y52" s="199"/>
      <c r="Z52" s="307"/>
      <c r="AA52" s="199"/>
      <c r="AB52" s="306"/>
      <c r="AC52" s="199"/>
      <c r="AD52" s="199"/>
      <c r="AE52" s="199"/>
      <c r="AF52" s="199"/>
      <c r="AG52" s="199"/>
      <c r="AH52" s="199"/>
      <c r="AI52" s="307"/>
      <c r="AK52" s="306"/>
      <c r="AL52" s="199"/>
      <c r="AM52" s="199"/>
      <c r="AN52" s="199"/>
      <c r="AO52" s="199"/>
      <c r="AP52" s="199"/>
      <c r="AQ52" s="199"/>
      <c r="AR52" s="307"/>
    </row>
    <row r="53" spans="1:44">
      <c r="A53" s="306" t="s">
        <v>1642</v>
      </c>
      <c r="B53" s="199"/>
      <c r="C53" s="199">
        <f>B53-D53</f>
        <v>0</v>
      </c>
      <c r="D53" s="199"/>
      <c r="E53" s="199"/>
      <c r="F53" s="199"/>
      <c r="G53" s="199"/>
      <c r="H53" s="307"/>
      <c r="J53" s="306" t="s">
        <v>1642</v>
      </c>
      <c r="K53" s="199">
        <f>+SUMIF('FAR Dep Summary'!$A$23:$A$38,Summary!$J53,'FAR Dep Summary'!$B$23:$B$38)</f>
        <v>184230</v>
      </c>
      <c r="L53" s="199">
        <f>K53-M53</f>
        <v>0</v>
      </c>
      <c r="M53" s="199">
        <f>+SUMIF('FAR Dep Summary'!$A$23:$A$38,Summary!$J53,'FAR Dep Summary'!B$23:B$38)</f>
        <v>184230</v>
      </c>
      <c r="N53" s="199">
        <f>+SUMIF('FAR Dep Summary'!$A$23:$A$38,Summary!$J53,'FAR Dep Summary'!C$23:C$38)</f>
        <v>0</v>
      </c>
      <c r="O53" s="199">
        <f>+SUMIF('FAR Dep Summary'!$A$23:$A$38,Summary!$J53,'FAR Dep Summary'!D$23:D$38)</f>
        <v>0</v>
      </c>
      <c r="P53" s="199">
        <f>+SUMIF('FAR Dep Summary'!$A$23:$A$38,Summary!$J53,'FAR Dep Summary'!E$23:E$38)</f>
        <v>0</v>
      </c>
      <c r="Q53" s="307">
        <f>+SUMIF('FAR Dep Summary'!$A$23:$A$38,Summary!$J53,'FAR Dep Summary'!F$23:F$38)</f>
        <v>184230</v>
      </c>
      <c r="S53" s="306" t="s">
        <v>1642</v>
      </c>
      <c r="T53" s="199">
        <f>+SUMIF('Bud Capital Input'!$L$62:$L$64,$S53, 'Bud Capital Input'!$P$62:$P$64)</f>
        <v>0</v>
      </c>
      <c r="U53" s="199">
        <v>0</v>
      </c>
      <c r="V53" s="199">
        <f>+T53-U53</f>
        <v>0</v>
      </c>
      <c r="W53" s="199">
        <f>+SUMIF('Bud Capital Input'!$L$62:$L$64,$S53, 'Bud Capital Input'!$R$62:$R$64)</f>
        <v>0</v>
      </c>
      <c r="X53" s="199">
        <v>0</v>
      </c>
      <c r="Y53" s="199">
        <f>+W53+X53</f>
        <v>0</v>
      </c>
      <c r="Z53" s="307">
        <f>+V53-Y53</f>
        <v>0</v>
      </c>
      <c r="AA53" s="199"/>
      <c r="AB53" s="306" t="s">
        <v>1642</v>
      </c>
      <c r="AC53" s="199"/>
      <c r="AD53" s="199"/>
      <c r="AE53" s="199"/>
      <c r="AF53" s="199"/>
      <c r="AG53" s="199"/>
      <c r="AH53" s="199"/>
      <c r="AI53" s="307"/>
      <c r="AK53" s="306" t="s">
        <v>1642</v>
      </c>
      <c r="AL53" s="199">
        <f>+B53+K53+T53</f>
        <v>184230</v>
      </c>
      <c r="AM53" s="199"/>
      <c r="AN53" s="199">
        <f>+D53+M53+V53</f>
        <v>184230</v>
      </c>
      <c r="AO53" s="199">
        <f>+E53+N53+W53</f>
        <v>0</v>
      </c>
      <c r="AP53" s="199">
        <f>+F53+O53+X53</f>
        <v>0</v>
      </c>
      <c r="AQ53" s="199">
        <f>+G53+P53+Y53</f>
        <v>0</v>
      </c>
      <c r="AR53" s="307">
        <f>+H53+Q53+Z53</f>
        <v>184230</v>
      </c>
    </row>
    <row r="54" spans="1:44">
      <c r="A54" s="308"/>
      <c r="B54" s="215"/>
      <c r="C54" s="215"/>
      <c r="D54" s="215"/>
      <c r="E54" s="215"/>
      <c r="F54" s="215"/>
      <c r="G54" s="215"/>
      <c r="H54" s="312"/>
      <c r="J54" s="308"/>
      <c r="K54" s="215"/>
      <c r="L54" s="215"/>
      <c r="M54" s="215"/>
      <c r="N54" s="215"/>
      <c r="O54" s="215"/>
      <c r="P54" s="215"/>
      <c r="Q54" s="312"/>
      <c r="S54" s="308"/>
      <c r="T54" s="215"/>
      <c r="U54" s="215"/>
      <c r="V54" s="215"/>
      <c r="W54" s="215"/>
      <c r="X54" s="215"/>
      <c r="Y54" s="215"/>
      <c r="Z54" s="312"/>
      <c r="AA54" s="199"/>
      <c r="AB54" s="308"/>
      <c r="AC54" s="215"/>
      <c r="AD54" s="215"/>
      <c r="AE54" s="215"/>
      <c r="AF54" s="215"/>
      <c r="AG54" s="215"/>
      <c r="AH54" s="215"/>
      <c r="AI54" s="312"/>
      <c r="AK54" s="308"/>
      <c r="AL54" s="215"/>
      <c r="AM54" s="215"/>
      <c r="AN54" s="215"/>
      <c r="AO54" s="215"/>
      <c r="AP54" s="215"/>
      <c r="AQ54" s="215"/>
      <c r="AR54" s="312"/>
    </row>
    <row r="55" spans="1:44" ht="12.75" thickBot="1">
      <c r="A55" s="313" t="s">
        <v>409</v>
      </c>
      <c r="B55" s="243">
        <f>B24+B39+B41+B43+B45+B47+B49+B51+B53</f>
        <v>15795130.554210529</v>
      </c>
      <c r="C55" s="243">
        <f t="shared" ref="C55:H55" si="11">C24+C39+C41+C43+C45+C47+C49+C51+C53</f>
        <v>0</v>
      </c>
      <c r="D55" s="243">
        <f t="shared" si="11"/>
        <v>15795130.554210529</v>
      </c>
      <c r="E55" s="243">
        <f t="shared" si="11"/>
        <v>1282243.4624509211</v>
      </c>
      <c r="F55" s="243">
        <f t="shared" si="11"/>
        <v>8233163.3526414866</v>
      </c>
      <c r="G55" s="243">
        <f t="shared" si="11"/>
        <v>9529595.341124149</v>
      </c>
      <c r="H55" s="314">
        <f t="shared" si="11"/>
        <v>6265535.2130863778</v>
      </c>
      <c r="I55" s="3"/>
      <c r="J55" s="313" t="s">
        <v>409</v>
      </c>
      <c r="K55" s="243">
        <f>K24+K39+K41+K43+K45+K47+K49+K51+K53</f>
        <v>4941236.0699999994</v>
      </c>
      <c r="L55" s="243">
        <f t="shared" ref="L55:Q55" si="12">L24+L39+L41+L43+L45+L47+L49+L51+L53</f>
        <v>0</v>
      </c>
      <c r="M55" s="243">
        <f t="shared" si="12"/>
        <v>4941236.0699999994</v>
      </c>
      <c r="N55" s="243">
        <f t="shared" si="12"/>
        <v>372040.11078571423</v>
      </c>
      <c r="O55" s="243">
        <f t="shared" si="12"/>
        <v>1596553.5902103351</v>
      </c>
      <c r="P55" s="243">
        <f t="shared" si="12"/>
        <v>1972161.5445079531</v>
      </c>
      <c r="Q55" s="314">
        <f t="shared" si="12"/>
        <v>2969074.5254920465</v>
      </c>
      <c r="S55" s="313" t="s">
        <v>409</v>
      </c>
      <c r="T55" s="243">
        <f>T24+T39+T41+T43+T45+T47+T49+T51+T53</f>
        <v>0.45000000001164153</v>
      </c>
      <c r="U55" s="243">
        <f t="shared" ref="U55:Z55" si="13">U24+U39+U41+U43+U45+U47+U49+U51+U53</f>
        <v>0</v>
      </c>
      <c r="V55" s="243">
        <f t="shared" si="13"/>
        <v>0.45000000001164153</v>
      </c>
      <c r="W55" s="243">
        <f t="shared" si="13"/>
        <v>6.4285714287377366E-2</v>
      </c>
      <c r="X55" s="243">
        <f t="shared" si="13"/>
        <v>0</v>
      </c>
      <c r="Y55" s="243">
        <f t="shared" si="13"/>
        <v>6.4285714287377366E-2</v>
      </c>
      <c r="Z55" s="314">
        <f t="shared" si="13"/>
        <v>0.38571428572426414</v>
      </c>
      <c r="AA55" s="537"/>
      <c r="AB55" s="313" t="s">
        <v>409</v>
      </c>
      <c r="AC55" s="243">
        <f>AC24+AC39+AC41+AC43+AC45+AC47+AC49+AC51+AC53</f>
        <v>319528.55000000005</v>
      </c>
      <c r="AD55" s="243">
        <f t="shared" ref="AD55:AI55" si="14">AD24+AD39+AD41+AD43+AD45+AD47+AD49+AD51+AD53</f>
        <v>0</v>
      </c>
      <c r="AE55" s="243">
        <f t="shared" si="14"/>
        <v>319528.55000000005</v>
      </c>
      <c r="AF55" s="243">
        <f t="shared" si="14"/>
        <v>31952.854999999996</v>
      </c>
      <c r="AG55" s="243">
        <f t="shared" si="14"/>
        <v>30666.394833335849</v>
      </c>
      <c r="AH55" s="243">
        <f t="shared" si="14"/>
        <v>62619.249833335845</v>
      </c>
      <c r="AI55" s="314">
        <f t="shared" si="14"/>
        <v>256909.30016666418</v>
      </c>
      <c r="AK55" s="313" t="s">
        <v>409</v>
      </c>
      <c r="AL55" s="243">
        <f>AL24+AL39+AL41+AL43+AL45+AL47+AL49+AL51+AL53</f>
        <v>21055895.624210522</v>
      </c>
      <c r="AM55" s="243">
        <f>AM24+AM39+AM41+AM43+AM45+AM47+AM49+AM51+AM53</f>
        <v>0</v>
      </c>
      <c r="AN55" s="243">
        <f>AN24+AN39+AN41+AN43+AN45+AN47+AN49+AN51+AN53</f>
        <v>21055895.624210522</v>
      </c>
      <c r="AO55" s="243">
        <f>AO24+AO39+AO41+AO43+AO45+AO47+AO49+AO51+AO53</f>
        <v>1686236.4925223498</v>
      </c>
      <c r="AP55" s="243">
        <f>AP24+AP39+AP41+AP43+AP45+AP47+AP49+AP51+AP53</f>
        <v>9860383.3376851566</v>
      </c>
      <c r="AQ55" s="243">
        <f t="shared" ref="AQ55:AR55" si="15">AQ24+AQ39+AQ41+AQ43+AQ45+AQ47+AQ49+AQ51+AQ53</f>
        <v>11564376.199751152</v>
      </c>
      <c r="AR55" s="314">
        <f t="shared" si="15"/>
        <v>9491519.4244593754</v>
      </c>
    </row>
    <row r="56" spans="1:44" ht="12.75" thickBot="1">
      <c r="A56" s="315"/>
      <c r="B56" s="316">
        <f>+SUM(B40:B54)-'2112 Other'!L89-'2112 Other'!L79-'2112 Other'!L61-'2112 Other'!L54-'2112 Other'!L48-'2112 Other'!L21</f>
        <v>0</v>
      </c>
      <c r="C56" s="317"/>
      <c r="D56" s="318"/>
      <c r="E56" s="318"/>
      <c r="F56" s="318"/>
      <c r="G56" s="318"/>
      <c r="H56" s="319"/>
      <c r="J56" s="315"/>
      <c r="K56" s="508">
        <f>+'FAR Dep Summary'!B38-Summary!K55</f>
        <v>0</v>
      </c>
      <c r="L56" s="317"/>
      <c r="M56" s="509"/>
      <c r="N56" s="509">
        <f>+'FAR Dep Summary'!C38-Summary!N55</f>
        <v>0</v>
      </c>
      <c r="O56" s="509"/>
      <c r="P56" s="509"/>
      <c r="Q56" s="510">
        <f>+'FAR Dep Summary'!F38-Summary!Q55</f>
        <v>0</v>
      </c>
      <c r="S56" s="315"/>
      <c r="T56" s="508">
        <f>+SUM(T40:T54)-'2112 Other'!AC89-'2112 Other'!AC79-'2112 Other'!AC61-'2112 Other'!AC48-'2112 Other'!AC21</f>
        <v>0</v>
      </c>
      <c r="U56" s="317"/>
      <c r="V56" s="509"/>
      <c r="W56" s="509"/>
      <c r="X56" s="509"/>
      <c r="Y56" s="509"/>
      <c r="Z56" s="510"/>
      <c r="AA56" s="199"/>
      <c r="AB56" s="315"/>
      <c r="AC56" s="508">
        <f>AC55-'MRF Capital Repairs'!K34</f>
        <v>0</v>
      </c>
      <c r="AD56" s="317"/>
      <c r="AE56" s="509"/>
      <c r="AF56" s="509"/>
      <c r="AG56" s="509"/>
      <c r="AH56" s="509"/>
      <c r="AI56" s="510"/>
      <c r="AK56" s="315"/>
      <c r="AL56" s="316">
        <f>+B55+K55+T55+AC55-AL55</f>
        <v>0</v>
      </c>
      <c r="AM56" s="317"/>
      <c r="AN56" s="316">
        <f>+D55+M55+V55+AE55-AN55</f>
        <v>0</v>
      </c>
      <c r="AO56" s="316">
        <f t="shared" ref="AO56:AR56" si="16">+E55+N55+W55+AF55-AO55</f>
        <v>0</v>
      </c>
      <c r="AP56" s="316">
        <f t="shared" si="16"/>
        <v>0</v>
      </c>
      <c r="AQ56" s="316">
        <f t="shared" si="16"/>
        <v>0</v>
      </c>
      <c r="AR56" s="541">
        <f t="shared" si="16"/>
        <v>0</v>
      </c>
    </row>
    <row r="57" spans="1:44">
      <c r="E57" s="191"/>
      <c r="H57" s="191"/>
      <c r="Z57" s="191"/>
      <c r="AA57" s="191"/>
      <c r="AI57" s="191"/>
    </row>
    <row r="59" spans="1:44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44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44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44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44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AE63" s="556"/>
    </row>
    <row r="64" spans="1:44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31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AE65" s="556"/>
    </row>
    <row r="66" spans="1:31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31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31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AE68" s="557"/>
    </row>
    <row r="69" spans="1:31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31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31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31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31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31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31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31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31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31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31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31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5.7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5.7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5.7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.7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5.7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5.7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</sheetData>
  <mergeCells count="9">
    <mergeCell ref="AK4:AR5"/>
    <mergeCell ref="AJ27:AJ28"/>
    <mergeCell ref="A4:H5"/>
    <mergeCell ref="J4:Q5"/>
    <mergeCell ref="I27:I28"/>
    <mergeCell ref="S4:Z5"/>
    <mergeCell ref="R27:R28"/>
    <mergeCell ref="AB4:AI5"/>
    <mergeCell ref="AA27:AA28"/>
  </mergeCells>
  <phoneticPr fontId="0" type="noConversion"/>
  <pageMargins left="0.75" right="0.75" top="1" bottom="1" header="0.5" footer="0.5"/>
  <pageSetup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CA539"/>
  <sheetViews>
    <sheetView tabSelected="1" zoomScale="70" zoomScaleNormal="70" workbookViewId="0">
      <selection activeCell="F37" sqref="F37"/>
    </sheetView>
  </sheetViews>
  <sheetFormatPr defaultColWidth="10.33203125" defaultRowHeight="11.25"/>
  <cols>
    <col min="1" max="1" width="5.88671875" style="6" customWidth="1"/>
    <col min="2" max="2" width="6.5546875" style="6" customWidth="1"/>
    <col min="3" max="3" width="23.21875" style="6" customWidth="1"/>
    <col min="4" max="4" width="6.77734375" style="6" customWidth="1"/>
    <col min="5" max="5" width="4.77734375" style="6" customWidth="1"/>
    <col min="6" max="6" width="5.109375" style="6" customWidth="1"/>
    <col min="7" max="7" width="1.88671875" style="6" customWidth="1"/>
    <col min="8" max="8" width="4.21875" style="6" customWidth="1"/>
    <col min="9" max="9" width="4.109375" style="26" customWidth="1"/>
    <col min="10" max="10" width="5.21875" style="26" customWidth="1"/>
    <col min="11" max="11" width="4.44140625" style="6" bestFit="1" customWidth="1"/>
    <col min="12" max="12" width="3.109375" style="6" bestFit="1" customWidth="1"/>
    <col min="13" max="13" width="7.77734375" style="6" bestFit="1" customWidth="1"/>
    <col min="14" max="14" width="5.21875" style="6" bestFit="1" customWidth="1"/>
    <col min="15" max="15" width="7.77734375" style="6" bestFit="1" customWidth="1"/>
    <col min="16" max="16" width="7.6640625" style="6" customWidth="1"/>
    <col min="17" max="17" width="5.6640625" style="6" bestFit="1" customWidth="1"/>
    <col min="18" max="18" width="5.21875" style="6" bestFit="1" customWidth="1"/>
    <col min="19" max="19" width="5.6640625" style="6" bestFit="1" customWidth="1"/>
    <col min="20" max="20" width="3.44140625" style="6" bestFit="1" customWidth="1"/>
    <col min="21" max="21" width="6.5546875" style="6" bestFit="1" customWidth="1"/>
    <col min="22" max="22" width="2" style="6" bestFit="1" customWidth="1"/>
    <col min="23" max="24" width="8.44140625" style="6" bestFit="1" customWidth="1"/>
    <col min="25" max="25" width="4.5546875" style="6" bestFit="1" customWidth="1"/>
    <col min="26" max="28" width="7.77734375" style="6" bestFit="1" customWidth="1"/>
    <col min="29" max="29" width="5.44140625" style="6" bestFit="1" customWidth="1"/>
    <col min="30" max="30" width="5.88671875" style="6" bestFit="1" customWidth="1"/>
    <col min="31" max="31" width="7.109375" style="6" customWidth="1"/>
    <col min="32" max="32" width="5.44140625" style="6" bestFit="1" customWidth="1"/>
    <col min="33" max="33" width="3.5546875" style="6" bestFit="1" customWidth="1"/>
    <col min="34" max="16384" width="10.33203125" style="6"/>
  </cols>
  <sheetData>
    <row r="1" spans="1:79">
      <c r="C1" s="43" t="s">
        <v>178</v>
      </c>
      <c r="O1" s="16"/>
      <c r="P1" s="16"/>
      <c r="AD1" s="44"/>
    </row>
    <row r="2" spans="1:79">
      <c r="C2" s="43" t="s">
        <v>0</v>
      </c>
      <c r="O2" s="45">
        <f>+'2112 Trks'!M2</f>
        <v>0</v>
      </c>
      <c r="P2" s="46" t="s">
        <v>1</v>
      </c>
      <c r="BW2" s="6" t="s">
        <v>2</v>
      </c>
    </row>
    <row r="3" spans="1:79">
      <c r="C3" s="47">
        <f>Summary!H8</f>
        <v>45138</v>
      </c>
      <c r="O3" s="45">
        <f>+'2112 Trks'!M3</f>
        <v>0</v>
      </c>
      <c r="P3" s="46" t="s">
        <v>3</v>
      </c>
      <c r="AD3" s="6" t="s">
        <v>4</v>
      </c>
      <c r="AE3" s="6" t="s">
        <v>5</v>
      </c>
    </row>
    <row r="4" spans="1:79">
      <c r="O4" s="48">
        <f>+'2112 Trks'!M4</f>
        <v>0</v>
      </c>
      <c r="P4" s="46" t="s">
        <v>6</v>
      </c>
      <c r="AD4" s="6" t="s">
        <v>7</v>
      </c>
      <c r="AE4" s="6" t="s">
        <v>8</v>
      </c>
      <c r="BV4" s="6">
        <v>1</v>
      </c>
      <c r="BW4" s="6" t="s">
        <v>9</v>
      </c>
      <c r="BZ4" s="6">
        <v>12</v>
      </c>
      <c r="CA4" s="6" t="s">
        <v>10</v>
      </c>
    </row>
    <row r="5" spans="1:79">
      <c r="O5" s="48">
        <f>+'2112 Trks'!M5</f>
        <v>0</v>
      </c>
      <c r="P5" s="46" t="s">
        <v>11</v>
      </c>
      <c r="AD5" s="6" t="s">
        <v>12</v>
      </c>
      <c r="AE5" s="6" t="s">
        <v>13</v>
      </c>
      <c r="BW5" s="6">
        <v>1993</v>
      </c>
      <c r="BZ5" s="6">
        <v>0</v>
      </c>
      <c r="CA5" s="6" t="s">
        <v>14</v>
      </c>
    </row>
    <row r="6" spans="1:79">
      <c r="AD6" s="6" t="s">
        <v>15</v>
      </c>
      <c r="AE6" s="6" t="s">
        <v>16</v>
      </c>
      <c r="BZ6" s="6">
        <v>93</v>
      </c>
      <c r="CA6" s="6" t="s">
        <v>6</v>
      </c>
    </row>
    <row r="7" spans="1:79">
      <c r="AB7" s="32"/>
      <c r="AD7" s="6" t="s">
        <v>20</v>
      </c>
      <c r="AE7" s="6" t="s">
        <v>21</v>
      </c>
      <c r="BZ7" s="6">
        <v>94</v>
      </c>
      <c r="CA7" s="6" t="s">
        <v>22</v>
      </c>
    </row>
    <row r="8" spans="1:79">
      <c r="B8" s="16"/>
      <c r="C8" s="16"/>
      <c r="D8" s="16"/>
      <c r="E8" s="16"/>
      <c r="F8" s="16"/>
      <c r="G8" s="16"/>
      <c r="H8" s="16"/>
      <c r="I8" s="49"/>
      <c r="J8" s="49"/>
      <c r="R8" s="26" t="s">
        <v>25</v>
      </c>
      <c r="U8" s="32" t="s">
        <v>17</v>
      </c>
      <c r="W8" s="26" t="s">
        <v>18</v>
      </c>
      <c r="X8" s="26" t="s">
        <v>19</v>
      </c>
      <c r="Z8" s="32" t="s">
        <v>19</v>
      </c>
      <c r="AA8" s="32" t="s">
        <v>19</v>
      </c>
      <c r="AB8" s="32"/>
    </row>
    <row r="9" spans="1:79">
      <c r="A9" s="32"/>
      <c r="B9" s="32" t="s">
        <v>54</v>
      </c>
      <c r="C9" s="50"/>
      <c r="D9" s="32" t="s">
        <v>56</v>
      </c>
      <c r="E9" s="32"/>
      <c r="F9" s="51" t="s">
        <v>23</v>
      </c>
      <c r="G9" s="16"/>
      <c r="H9" s="32" t="s">
        <v>54</v>
      </c>
      <c r="I9" s="32"/>
      <c r="J9" s="32" t="s">
        <v>24</v>
      </c>
      <c r="K9" s="32" t="s">
        <v>54</v>
      </c>
      <c r="M9" s="32" t="s">
        <v>54</v>
      </c>
      <c r="N9" s="26" t="s">
        <v>31</v>
      </c>
      <c r="O9" s="50" t="s">
        <v>54</v>
      </c>
      <c r="P9" s="50"/>
      <c r="Q9" s="32" t="s">
        <v>65</v>
      </c>
      <c r="R9" s="26" t="s">
        <v>24</v>
      </c>
      <c r="S9" s="32" t="s">
        <v>17</v>
      </c>
      <c r="T9" s="32" t="s">
        <v>34</v>
      </c>
      <c r="U9" s="32" t="s">
        <v>19</v>
      </c>
      <c r="W9" s="26" t="s">
        <v>26</v>
      </c>
      <c r="X9" s="26" t="s">
        <v>26</v>
      </c>
      <c r="Y9" s="26" t="s">
        <v>27</v>
      </c>
      <c r="Z9" s="32" t="s">
        <v>28</v>
      </c>
      <c r="AA9" s="32" t="s">
        <v>28</v>
      </c>
      <c r="AB9" s="32" t="s">
        <v>38</v>
      </c>
    </row>
    <row r="10" spans="1:79">
      <c r="A10" s="32"/>
      <c r="B10" s="32"/>
      <c r="C10" s="50"/>
      <c r="D10" s="32" t="s">
        <v>58</v>
      </c>
      <c r="E10" s="32"/>
      <c r="F10" s="51" t="s">
        <v>29</v>
      </c>
      <c r="G10" s="16"/>
      <c r="H10" s="32" t="s">
        <v>30</v>
      </c>
      <c r="I10" s="32" t="s">
        <v>61</v>
      </c>
      <c r="J10" s="32" t="s">
        <v>62</v>
      </c>
      <c r="K10" s="32" t="s">
        <v>31</v>
      </c>
      <c r="L10" s="6" t="s">
        <v>41</v>
      </c>
      <c r="M10" s="32" t="s">
        <v>31</v>
      </c>
      <c r="N10" s="26" t="s">
        <v>25</v>
      </c>
      <c r="O10" s="32" t="s">
        <v>64</v>
      </c>
      <c r="P10" s="32" t="s">
        <v>66</v>
      </c>
      <c r="Q10" s="32" t="s">
        <v>24</v>
      </c>
      <c r="R10" s="26" t="s">
        <v>43</v>
      </c>
      <c r="S10" s="32" t="s">
        <v>33</v>
      </c>
      <c r="T10" s="32" t="s">
        <v>36</v>
      </c>
      <c r="U10" s="32" t="s">
        <v>32</v>
      </c>
      <c r="V10" s="32"/>
      <c r="W10" s="32" t="s">
        <v>35</v>
      </c>
      <c r="X10" s="32" t="s">
        <v>35</v>
      </c>
      <c r="Y10" s="32" t="s">
        <v>36</v>
      </c>
      <c r="Z10" s="32" t="s">
        <v>37</v>
      </c>
      <c r="AA10" s="32" t="s">
        <v>37</v>
      </c>
      <c r="AB10" s="32" t="s">
        <v>45</v>
      </c>
      <c r="AC10" s="26" t="s">
        <v>4</v>
      </c>
      <c r="AD10" s="26" t="s">
        <v>46</v>
      </c>
      <c r="AE10" s="26" t="s">
        <v>47</v>
      </c>
      <c r="AF10" s="26" t="s">
        <v>15</v>
      </c>
      <c r="AG10" s="26" t="s">
        <v>20</v>
      </c>
      <c r="BV10" s="6">
        <v>2</v>
      </c>
      <c r="BW10" s="6" t="s">
        <v>48</v>
      </c>
    </row>
    <row r="11" spans="1:79">
      <c r="A11" s="52" t="s">
        <v>52</v>
      </c>
      <c r="B11" s="52" t="s">
        <v>59</v>
      </c>
      <c r="C11" s="53" t="s">
        <v>60</v>
      </c>
      <c r="D11" s="52" t="s">
        <v>24</v>
      </c>
      <c r="E11" s="52" t="s">
        <v>39</v>
      </c>
      <c r="F11" s="54" t="s">
        <v>34</v>
      </c>
      <c r="G11" s="16" t="s">
        <v>49</v>
      </c>
      <c r="H11" s="52" t="s">
        <v>40</v>
      </c>
      <c r="I11" s="52" t="s">
        <v>63</v>
      </c>
      <c r="J11" s="52" t="s">
        <v>64</v>
      </c>
      <c r="K11" s="52" t="s">
        <v>42</v>
      </c>
      <c r="L11" s="55" t="s">
        <v>49</v>
      </c>
      <c r="M11" s="52" t="s">
        <v>42</v>
      </c>
      <c r="N11" s="55" t="s">
        <v>49</v>
      </c>
      <c r="O11" s="52" t="s">
        <v>42</v>
      </c>
      <c r="P11" s="52" t="s">
        <v>64</v>
      </c>
      <c r="Q11" s="52" t="s">
        <v>64</v>
      </c>
      <c r="R11" s="55" t="s">
        <v>49</v>
      </c>
      <c r="S11" s="32" t="s">
        <v>44</v>
      </c>
      <c r="T11" s="52" t="s">
        <v>49</v>
      </c>
      <c r="U11" s="32" t="s">
        <v>37</v>
      </c>
      <c r="V11" s="32"/>
      <c r="W11" s="56">
        <f>Summary!F8</f>
        <v>44774</v>
      </c>
      <c r="X11" s="56">
        <f>+C3</f>
        <v>45138</v>
      </c>
      <c r="Y11" s="32" t="s">
        <v>34</v>
      </c>
      <c r="Z11" s="112">
        <f>+W11</f>
        <v>44774</v>
      </c>
      <c r="AA11" s="112">
        <f>+C3</f>
        <v>45138</v>
      </c>
      <c r="AB11" s="57">
        <f>C3</f>
        <v>45138</v>
      </c>
    </row>
    <row r="12" spans="1:79">
      <c r="D12" s="26"/>
      <c r="E12" s="26"/>
      <c r="F12" s="58"/>
      <c r="H12" s="26"/>
      <c r="M12" s="30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79">
      <c r="B13" s="26"/>
      <c r="C13" s="31" t="s">
        <v>267</v>
      </c>
      <c r="D13" s="26"/>
      <c r="E13" s="26"/>
      <c r="F13" s="58"/>
      <c r="H13" s="26"/>
      <c r="M13" s="30"/>
      <c r="O13" s="16"/>
      <c r="P13" s="16"/>
      <c r="Q13" s="16"/>
      <c r="R13" s="16">
        <f t="shared" ref="R13:R76" si="0">IF(N13=0,0,IF(AND(AG13&gt;=AF13,AG13&lt;=AE13),((AG13-AF13)*12)*P13,0))</f>
        <v>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79">
      <c r="B14" s="26">
        <v>43</v>
      </c>
      <c r="C14" s="27" t="s">
        <v>118</v>
      </c>
      <c r="D14" s="26">
        <v>1997</v>
      </c>
      <c r="E14" s="26">
        <v>12</v>
      </c>
      <c r="F14" s="58"/>
      <c r="H14" s="26" t="s">
        <v>51</v>
      </c>
      <c r="I14" s="26">
        <v>5</v>
      </c>
      <c r="J14" s="26">
        <f t="shared" ref="J14:J77" si="1">D14+I14</f>
        <v>2002</v>
      </c>
      <c r="M14" s="16">
        <v>8225</v>
      </c>
      <c r="O14" s="16">
        <f t="shared" ref="O14:O77" si="2">M14-M14*F14</f>
        <v>8225</v>
      </c>
      <c r="P14" s="16">
        <f t="shared" ref="P14:P77" si="3">O14/I14/12</f>
        <v>137.08333333333334</v>
      </c>
      <c r="Q14" s="16">
        <f t="shared" ref="Q14:Q77" si="4">IF(N14&gt;0,0,IF(OR(AC14&gt;AD14,AE14&lt;AF14),0,IF(AND(AE14&gt;=AF14,AE14&lt;=AD14),P14*((AE14-AF14)*12),IF(AND(AF14&lt;=AC14,AD14&gt;=AC14),((AD14-AC14)*12)*P14,IF(AE14&gt;AD14,12*P14,0)))))</f>
        <v>0</v>
      </c>
      <c r="R14" s="16">
        <f t="shared" si="0"/>
        <v>0</v>
      </c>
      <c r="S14" s="16">
        <f t="shared" ref="S14:S77" si="5">IF(R14&gt;0,R14,Q14)</f>
        <v>0</v>
      </c>
      <c r="T14" s="16">
        <v>1</v>
      </c>
      <c r="U14" s="16">
        <f t="shared" ref="U14:U77" si="6">T14*SUM(Q14:R14)</f>
        <v>0</v>
      </c>
      <c r="V14" s="16"/>
      <c r="W14" s="16">
        <f t="shared" ref="W14:W77" si="7">IF(AC14&gt;AD14,0,IF(AE14&lt;AF14,O14,IF(AND(AE14&gt;=AF14,AE14&lt;=AD14),(O14-S14),IF(AND(AF14&lt;=AC14,AD14&gt;=AC14),0,IF(AE14&gt;AD14,((AF14-AC14)*12)*P14,0)))))</f>
        <v>0</v>
      </c>
      <c r="X14" s="16">
        <f t="shared" ref="X14:X77" si="8">W14*T14</f>
        <v>0</v>
      </c>
      <c r="Y14" s="16">
        <v>1</v>
      </c>
      <c r="Z14" s="16">
        <f t="shared" ref="Z14:Z77" si="9">X14*Y14</f>
        <v>0</v>
      </c>
      <c r="AA14" s="16">
        <f t="shared" ref="AA14:AA77" si="10">IF(N14&gt;0,0,Z14+U14*Y14)*Y14</f>
        <v>0</v>
      </c>
      <c r="AB14" s="16">
        <f t="shared" ref="AB14:AB77" si="11">IF(N14&gt;0,(M14-Z14)/2,IF(AC14&gt;=AF14,(((M14*T14)*Y14)-AA14)/2,((((M14*T14)*Y14)-Z14)+(((M14*T14)*Y14)-AA14))/2))</f>
        <v>4112.5</v>
      </c>
      <c r="AC14" s="16">
        <f t="shared" ref="AC14:AC77" si="12">$D14+(($E14-1)/12)</f>
        <v>1997.9166666666667</v>
      </c>
      <c r="AD14" s="16">
        <f t="shared" ref="AD14:AD77" si="13">($O$5+1)-($O$2/12)</f>
        <v>1</v>
      </c>
      <c r="AE14" s="16">
        <f t="shared" ref="AE14:AE77" si="14">$J14+(($E14-1)/12)</f>
        <v>2002.9166666666667</v>
      </c>
      <c r="AF14" s="16">
        <f t="shared" ref="AF14:AF77" si="15">$O$4+($O$3/12)</f>
        <v>0</v>
      </c>
      <c r="AG14" s="16">
        <f t="shared" ref="AG14:AG77" si="16">$K14+(($L14-1)/12)</f>
        <v>-8.3333333333333329E-2</v>
      </c>
    </row>
    <row r="15" spans="1:79">
      <c r="B15" s="26">
        <v>85</v>
      </c>
      <c r="C15" s="27" t="s">
        <v>117</v>
      </c>
      <c r="D15" s="26">
        <v>1997</v>
      </c>
      <c r="E15" s="26">
        <v>12</v>
      </c>
      <c r="F15" s="58"/>
      <c r="H15" s="26" t="s">
        <v>51</v>
      </c>
      <c r="I15" s="26">
        <v>5</v>
      </c>
      <c r="J15" s="26">
        <f t="shared" si="1"/>
        <v>2002</v>
      </c>
      <c r="M15" s="16">
        <v>12388</v>
      </c>
      <c r="O15" s="16">
        <f t="shared" si="2"/>
        <v>12388</v>
      </c>
      <c r="P15" s="16">
        <f t="shared" si="3"/>
        <v>206.46666666666667</v>
      </c>
      <c r="Q15" s="16">
        <f t="shared" si="4"/>
        <v>0</v>
      </c>
      <c r="R15" s="16">
        <f t="shared" si="0"/>
        <v>0</v>
      </c>
      <c r="S15" s="16">
        <f t="shared" si="5"/>
        <v>0</v>
      </c>
      <c r="T15" s="16">
        <v>1</v>
      </c>
      <c r="U15" s="16">
        <f t="shared" si="6"/>
        <v>0</v>
      </c>
      <c r="V15" s="16"/>
      <c r="W15" s="16">
        <f t="shared" si="7"/>
        <v>0</v>
      </c>
      <c r="X15" s="16">
        <f t="shared" si="8"/>
        <v>0</v>
      </c>
      <c r="Y15" s="16">
        <v>1</v>
      </c>
      <c r="Z15" s="16">
        <f t="shared" si="9"/>
        <v>0</v>
      </c>
      <c r="AA15" s="16">
        <f t="shared" si="10"/>
        <v>0</v>
      </c>
      <c r="AB15" s="16">
        <f t="shared" si="11"/>
        <v>6194</v>
      </c>
      <c r="AC15" s="16">
        <f t="shared" si="12"/>
        <v>1997.9166666666667</v>
      </c>
      <c r="AD15" s="16">
        <f t="shared" si="13"/>
        <v>1</v>
      </c>
      <c r="AE15" s="16">
        <f t="shared" si="14"/>
        <v>2002.9166666666667</v>
      </c>
      <c r="AF15" s="16">
        <f t="shared" si="15"/>
        <v>0</v>
      </c>
      <c r="AG15" s="16">
        <f t="shared" si="16"/>
        <v>-8.3333333333333329E-2</v>
      </c>
    </row>
    <row r="16" spans="1:79">
      <c r="A16" s="6">
        <v>6882</v>
      </c>
      <c r="B16" s="26">
        <v>46</v>
      </c>
      <c r="C16" s="27" t="s">
        <v>122</v>
      </c>
      <c r="D16" s="26">
        <v>1997</v>
      </c>
      <c r="E16" s="26">
        <v>12</v>
      </c>
      <c r="F16" s="58"/>
      <c r="H16" s="26" t="s">
        <v>51</v>
      </c>
      <c r="I16" s="26">
        <v>7</v>
      </c>
      <c r="J16" s="26">
        <f t="shared" si="1"/>
        <v>2004</v>
      </c>
      <c r="M16" s="16">
        <v>13274</v>
      </c>
      <c r="O16" s="16">
        <f t="shared" si="2"/>
        <v>13274</v>
      </c>
      <c r="P16" s="16">
        <f t="shared" si="3"/>
        <v>158.02380952380952</v>
      </c>
      <c r="Q16" s="16">
        <f t="shared" si="4"/>
        <v>0</v>
      </c>
      <c r="R16" s="16">
        <f t="shared" si="0"/>
        <v>0</v>
      </c>
      <c r="S16" s="16">
        <f t="shared" si="5"/>
        <v>0</v>
      </c>
      <c r="T16" s="16">
        <v>1</v>
      </c>
      <c r="U16" s="16">
        <f t="shared" si="6"/>
        <v>0</v>
      </c>
      <c r="V16" s="16"/>
      <c r="W16" s="16">
        <f t="shared" si="7"/>
        <v>0</v>
      </c>
      <c r="X16" s="16">
        <f t="shared" si="8"/>
        <v>0</v>
      </c>
      <c r="Y16" s="16">
        <v>1</v>
      </c>
      <c r="Z16" s="16">
        <f t="shared" si="9"/>
        <v>0</v>
      </c>
      <c r="AA16" s="16">
        <f t="shared" si="10"/>
        <v>0</v>
      </c>
      <c r="AB16" s="16">
        <f t="shared" si="11"/>
        <v>6637</v>
      </c>
      <c r="AC16" s="16">
        <f t="shared" si="12"/>
        <v>1997.9166666666667</v>
      </c>
      <c r="AD16" s="16">
        <f t="shared" si="13"/>
        <v>1</v>
      </c>
      <c r="AE16" s="16">
        <f t="shared" si="14"/>
        <v>2004.9166666666667</v>
      </c>
      <c r="AF16" s="16">
        <f t="shared" si="15"/>
        <v>0</v>
      </c>
      <c r="AG16" s="16">
        <f t="shared" si="16"/>
        <v>-8.3333333333333329E-2</v>
      </c>
    </row>
    <row r="17" spans="2:33">
      <c r="B17" s="26">
        <v>40</v>
      </c>
      <c r="C17" s="27" t="s">
        <v>69</v>
      </c>
      <c r="D17" s="26">
        <v>1997</v>
      </c>
      <c r="E17" s="26">
        <v>12</v>
      </c>
      <c r="F17" s="58"/>
      <c r="H17" s="26" t="s">
        <v>51</v>
      </c>
      <c r="I17" s="26">
        <v>10</v>
      </c>
      <c r="J17" s="26">
        <f t="shared" si="1"/>
        <v>2007</v>
      </c>
      <c r="M17" s="16">
        <v>11776</v>
      </c>
      <c r="O17" s="16">
        <f t="shared" si="2"/>
        <v>11776</v>
      </c>
      <c r="P17" s="16">
        <f t="shared" si="3"/>
        <v>98.133333333333326</v>
      </c>
      <c r="Q17" s="16">
        <f t="shared" si="4"/>
        <v>0</v>
      </c>
      <c r="R17" s="16">
        <f t="shared" si="0"/>
        <v>0</v>
      </c>
      <c r="S17" s="16">
        <f t="shared" si="5"/>
        <v>0</v>
      </c>
      <c r="T17" s="16">
        <v>1</v>
      </c>
      <c r="U17" s="16">
        <f t="shared" si="6"/>
        <v>0</v>
      </c>
      <c r="V17" s="16"/>
      <c r="W17" s="16">
        <f t="shared" si="7"/>
        <v>0</v>
      </c>
      <c r="X17" s="16">
        <f t="shared" si="8"/>
        <v>0</v>
      </c>
      <c r="Y17" s="16">
        <v>1</v>
      </c>
      <c r="Z17" s="16">
        <f t="shared" si="9"/>
        <v>0</v>
      </c>
      <c r="AA17" s="16">
        <f t="shared" si="10"/>
        <v>0</v>
      </c>
      <c r="AB17" s="16">
        <f t="shared" si="11"/>
        <v>5888</v>
      </c>
      <c r="AC17" s="16">
        <f t="shared" si="12"/>
        <v>1997.9166666666667</v>
      </c>
      <c r="AD17" s="16">
        <f t="shared" si="13"/>
        <v>1</v>
      </c>
      <c r="AE17" s="16">
        <f t="shared" si="14"/>
        <v>2007.9166666666667</v>
      </c>
      <c r="AF17" s="16">
        <f t="shared" si="15"/>
        <v>0</v>
      </c>
      <c r="AG17" s="16">
        <f t="shared" si="16"/>
        <v>-8.3333333333333329E-2</v>
      </c>
    </row>
    <row r="18" spans="2:33">
      <c r="B18" s="26">
        <v>20</v>
      </c>
      <c r="C18" s="27" t="s">
        <v>123</v>
      </c>
      <c r="D18" s="26">
        <v>1997</v>
      </c>
      <c r="E18" s="26">
        <v>12</v>
      </c>
      <c r="F18" s="58"/>
      <c r="H18" s="26" t="s">
        <v>51</v>
      </c>
      <c r="I18" s="26">
        <v>7</v>
      </c>
      <c r="J18" s="26">
        <f t="shared" si="1"/>
        <v>2004</v>
      </c>
      <c r="M18" s="16">
        <v>5822</v>
      </c>
      <c r="O18" s="16">
        <f t="shared" si="2"/>
        <v>5822</v>
      </c>
      <c r="P18" s="16">
        <f t="shared" si="3"/>
        <v>69.30952380952381</v>
      </c>
      <c r="Q18" s="16">
        <f t="shared" si="4"/>
        <v>0</v>
      </c>
      <c r="R18" s="16">
        <f t="shared" si="0"/>
        <v>0</v>
      </c>
      <c r="S18" s="16">
        <f t="shared" si="5"/>
        <v>0</v>
      </c>
      <c r="T18" s="16">
        <v>1</v>
      </c>
      <c r="U18" s="16">
        <f t="shared" si="6"/>
        <v>0</v>
      </c>
      <c r="V18" s="16"/>
      <c r="W18" s="16">
        <f t="shared" si="7"/>
        <v>0</v>
      </c>
      <c r="X18" s="16">
        <f t="shared" si="8"/>
        <v>0</v>
      </c>
      <c r="Y18" s="16">
        <v>1</v>
      </c>
      <c r="Z18" s="16">
        <f t="shared" si="9"/>
        <v>0</v>
      </c>
      <c r="AA18" s="16">
        <f t="shared" si="10"/>
        <v>0</v>
      </c>
      <c r="AB18" s="16">
        <f t="shared" si="11"/>
        <v>2911</v>
      </c>
      <c r="AC18" s="16">
        <f t="shared" si="12"/>
        <v>1997.9166666666667</v>
      </c>
      <c r="AD18" s="16">
        <f t="shared" si="13"/>
        <v>1</v>
      </c>
      <c r="AE18" s="16">
        <f t="shared" si="14"/>
        <v>2004.9166666666667</v>
      </c>
      <c r="AF18" s="16">
        <f t="shared" si="15"/>
        <v>0</v>
      </c>
      <c r="AG18" s="16">
        <f t="shared" si="16"/>
        <v>-8.3333333333333329E-2</v>
      </c>
    </row>
    <row r="19" spans="2:33">
      <c r="B19" s="26">
        <v>65</v>
      </c>
      <c r="C19" s="27" t="s">
        <v>119</v>
      </c>
      <c r="D19" s="26">
        <v>1997</v>
      </c>
      <c r="E19" s="26">
        <v>12</v>
      </c>
      <c r="F19" s="58"/>
      <c r="H19" s="26" t="s">
        <v>51</v>
      </c>
      <c r="I19" s="26">
        <v>5</v>
      </c>
      <c r="J19" s="26">
        <f t="shared" si="1"/>
        <v>2002</v>
      </c>
      <c r="M19" s="16">
        <v>17169</v>
      </c>
      <c r="O19" s="16">
        <f t="shared" si="2"/>
        <v>17169</v>
      </c>
      <c r="P19" s="16">
        <f t="shared" si="3"/>
        <v>286.15000000000003</v>
      </c>
      <c r="Q19" s="16">
        <f t="shared" si="4"/>
        <v>0</v>
      </c>
      <c r="R19" s="16">
        <f t="shared" si="0"/>
        <v>0</v>
      </c>
      <c r="S19" s="16">
        <f t="shared" si="5"/>
        <v>0</v>
      </c>
      <c r="T19" s="16">
        <v>1</v>
      </c>
      <c r="U19" s="16">
        <f t="shared" si="6"/>
        <v>0</v>
      </c>
      <c r="V19" s="16"/>
      <c r="W19" s="16">
        <f t="shared" si="7"/>
        <v>0</v>
      </c>
      <c r="X19" s="16">
        <f t="shared" si="8"/>
        <v>0</v>
      </c>
      <c r="Y19" s="16">
        <v>1</v>
      </c>
      <c r="Z19" s="16">
        <f t="shared" si="9"/>
        <v>0</v>
      </c>
      <c r="AA19" s="16">
        <f t="shared" si="10"/>
        <v>0</v>
      </c>
      <c r="AB19" s="16">
        <f t="shared" si="11"/>
        <v>8584.5</v>
      </c>
      <c r="AC19" s="16">
        <f t="shared" si="12"/>
        <v>1997.9166666666667</v>
      </c>
      <c r="AD19" s="16">
        <f t="shared" si="13"/>
        <v>1</v>
      </c>
      <c r="AE19" s="16">
        <f t="shared" si="14"/>
        <v>2002.9166666666667</v>
      </c>
      <c r="AF19" s="16">
        <f t="shared" si="15"/>
        <v>0</v>
      </c>
      <c r="AG19" s="16">
        <f t="shared" si="16"/>
        <v>-8.3333333333333329E-2</v>
      </c>
    </row>
    <row r="20" spans="2:33">
      <c r="B20" s="26">
        <v>50</v>
      </c>
      <c r="C20" s="27" t="s">
        <v>127</v>
      </c>
      <c r="D20" s="26">
        <v>1997</v>
      </c>
      <c r="E20" s="26">
        <v>12</v>
      </c>
      <c r="F20" s="58"/>
      <c r="H20" s="26" t="s">
        <v>51</v>
      </c>
      <c r="I20" s="26">
        <v>10</v>
      </c>
      <c r="J20" s="26">
        <f t="shared" si="1"/>
        <v>2007</v>
      </c>
      <c r="M20" s="16">
        <v>18752</v>
      </c>
      <c r="O20" s="16">
        <f t="shared" si="2"/>
        <v>18752</v>
      </c>
      <c r="P20" s="16">
        <f t="shared" si="3"/>
        <v>156.26666666666668</v>
      </c>
      <c r="Q20" s="16">
        <f t="shared" si="4"/>
        <v>0</v>
      </c>
      <c r="R20" s="16">
        <f t="shared" si="0"/>
        <v>0</v>
      </c>
      <c r="S20" s="16">
        <f t="shared" si="5"/>
        <v>0</v>
      </c>
      <c r="T20" s="16">
        <v>1</v>
      </c>
      <c r="U20" s="16">
        <f t="shared" si="6"/>
        <v>0</v>
      </c>
      <c r="V20" s="16"/>
      <c r="W20" s="16">
        <f t="shared" si="7"/>
        <v>0</v>
      </c>
      <c r="X20" s="16">
        <f t="shared" si="8"/>
        <v>0</v>
      </c>
      <c r="Y20" s="16">
        <v>1</v>
      </c>
      <c r="Z20" s="16">
        <f t="shared" si="9"/>
        <v>0</v>
      </c>
      <c r="AA20" s="16">
        <f t="shared" si="10"/>
        <v>0</v>
      </c>
      <c r="AB20" s="16">
        <f t="shared" si="11"/>
        <v>9376</v>
      </c>
      <c r="AC20" s="16">
        <f t="shared" si="12"/>
        <v>1997.9166666666667</v>
      </c>
      <c r="AD20" s="16">
        <f t="shared" si="13"/>
        <v>1</v>
      </c>
      <c r="AE20" s="16">
        <f t="shared" si="14"/>
        <v>2007.9166666666667</v>
      </c>
      <c r="AF20" s="16">
        <f t="shared" si="15"/>
        <v>0</v>
      </c>
      <c r="AG20" s="16">
        <f t="shared" si="16"/>
        <v>-8.3333333333333329E-2</v>
      </c>
    </row>
    <row r="21" spans="2:33">
      <c r="B21" s="26">
        <v>1</v>
      </c>
      <c r="C21" s="27" t="s">
        <v>120</v>
      </c>
      <c r="D21" s="26">
        <v>1997</v>
      </c>
      <c r="E21" s="26">
        <v>12</v>
      </c>
      <c r="F21" s="58"/>
      <c r="H21" s="26" t="s">
        <v>51</v>
      </c>
      <c r="I21" s="26">
        <v>5</v>
      </c>
      <c r="J21" s="26">
        <f t="shared" si="1"/>
        <v>2002</v>
      </c>
      <c r="M21" s="16">
        <v>964</v>
      </c>
      <c r="O21" s="16">
        <f t="shared" si="2"/>
        <v>964</v>
      </c>
      <c r="P21" s="16">
        <f t="shared" si="3"/>
        <v>16.066666666666666</v>
      </c>
      <c r="Q21" s="16">
        <f t="shared" si="4"/>
        <v>0</v>
      </c>
      <c r="R21" s="16">
        <f t="shared" si="0"/>
        <v>0</v>
      </c>
      <c r="S21" s="16">
        <f t="shared" si="5"/>
        <v>0</v>
      </c>
      <c r="T21" s="16">
        <v>1</v>
      </c>
      <c r="U21" s="16">
        <f t="shared" si="6"/>
        <v>0</v>
      </c>
      <c r="V21" s="16"/>
      <c r="W21" s="16">
        <f t="shared" si="7"/>
        <v>0</v>
      </c>
      <c r="X21" s="16">
        <f t="shared" si="8"/>
        <v>0</v>
      </c>
      <c r="Y21" s="16">
        <v>1</v>
      </c>
      <c r="Z21" s="16">
        <f t="shared" si="9"/>
        <v>0</v>
      </c>
      <c r="AA21" s="16">
        <f t="shared" si="10"/>
        <v>0</v>
      </c>
      <c r="AB21" s="16">
        <f t="shared" si="11"/>
        <v>482</v>
      </c>
      <c r="AC21" s="16">
        <f t="shared" si="12"/>
        <v>1997.9166666666667</v>
      </c>
      <c r="AD21" s="16">
        <f t="shared" si="13"/>
        <v>1</v>
      </c>
      <c r="AE21" s="16">
        <f t="shared" si="14"/>
        <v>2002.9166666666667</v>
      </c>
      <c r="AF21" s="16">
        <f t="shared" si="15"/>
        <v>0</v>
      </c>
      <c r="AG21" s="16">
        <f t="shared" si="16"/>
        <v>-8.3333333333333329E-2</v>
      </c>
    </row>
    <row r="22" spans="2:33">
      <c r="B22" s="26"/>
      <c r="C22" s="27" t="s">
        <v>115</v>
      </c>
      <c r="D22" s="26">
        <v>1997</v>
      </c>
      <c r="E22" s="26">
        <v>12</v>
      </c>
      <c r="F22" s="58"/>
      <c r="H22" s="26" t="s">
        <v>51</v>
      </c>
      <c r="I22" s="26">
        <v>5</v>
      </c>
      <c r="J22" s="26">
        <f t="shared" si="1"/>
        <v>2002</v>
      </c>
      <c r="M22" s="16">
        <v>142652</v>
      </c>
      <c r="O22" s="16">
        <f t="shared" si="2"/>
        <v>142652</v>
      </c>
      <c r="P22" s="16">
        <f t="shared" si="3"/>
        <v>2377.5333333333333</v>
      </c>
      <c r="Q22" s="16">
        <f t="shared" si="4"/>
        <v>0</v>
      </c>
      <c r="R22" s="16">
        <f t="shared" si="0"/>
        <v>0</v>
      </c>
      <c r="S22" s="16">
        <f t="shared" si="5"/>
        <v>0</v>
      </c>
      <c r="T22" s="16">
        <v>1</v>
      </c>
      <c r="U22" s="16">
        <f t="shared" si="6"/>
        <v>0</v>
      </c>
      <c r="V22" s="16"/>
      <c r="W22" s="16">
        <f t="shared" si="7"/>
        <v>0</v>
      </c>
      <c r="X22" s="16">
        <f t="shared" si="8"/>
        <v>0</v>
      </c>
      <c r="Y22" s="16">
        <v>1</v>
      </c>
      <c r="Z22" s="16">
        <f t="shared" si="9"/>
        <v>0</v>
      </c>
      <c r="AA22" s="16">
        <f t="shared" si="10"/>
        <v>0</v>
      </c>
      <c r="AB22" s="16">
        <f t="shared" si="11"/>
        <v>71326</v>
      </c>
      <c r="AC22" s="16">
        <f t="shared" si="12"/>
        <v>1997.9166666666667</v>
      </c>
      <c r="AD22" s="16">
        <f t="shared" si="13"/>
        <v>1</v>
      </c>
      <c r="AE22" s="16">
        <f t="shared" si="14"/>
        <v>2002.9166666666667</v>
      </c>
      <c r="AF22" s="16">
        <f t="shared" si="15"/>
        <v>0</v>
      </c>
      <c r="AG22" s="16">
        <f t="shared" si="16"/>
        <v>-8.3333333333333329E-2</v>
      </c>
    </row>
    <row r="23" spans="2:33">
      <c r="B23" s="26">
        <v>40</v>
      </c>
      <c r="C23" s="27" t="s">
        <v>68</v>
      </c>
      <c r="D23" s="26">
        <v>1998</v>
      </c>
      <c r="E23" s="26">
        <v>2</v>
      </c>
      <c r="F23" s="58"/>
      <c r="H23" s="26" t="s">
        <v>51</v>
      </c>
      <c r="I23" s="26">
        <v>10</v>
      </c>
      <c r="J23" s="26">
        <f t="shared" si="1"/>
        <v>2008</v>
      </c>
      <c r="M23" s="16">
        <v>13945.65</v>
      </c>
      <c r="O23" s="16">
        <f t="shared" si="2"/>
        <v>13945.65</v>
      </c>
      <c r="P23" s="16">
        <f t="shared" si="3"/>
        <v>116.21375</v>
      </c>
      <c r="Q23" s="16">
        <f t="shared" si="4"/>
        <v>0</v>
      </c>
      <c r="R23" s="16">
        <f t="shared" si="0"/>
        <v>0</v>
      </c>
      <c r="S23" s="16">
        <f t="shared" si="5"/>
        <v>0</v>
      </c>
      <c r="T23" s="16">
        <v>1</v>
      </c>
      <c r="U23" s="16">
        <f t="shared" si="6"/>
        <v>0</v>
      </c>
      <c r="V23" s="16"/>
      <c r="W23" s="16">
        <f t="shared" si="7"/>
        <v>0</v>
      </c>
      <c r="X23" s="16">
        <f t="shared" si="8"/>
        <v>0</v>
      </c>
      <c r="Y23" s="16">
        <v>1</v>
      </c>
      <c r="Z23" s="16">
        <f t="shared" si="9"/>
        <v>0</v>
      </c>
      <c r="AA23" s="16">
        <f t="shared" si="10"/>
        <v>0</v>
      </c>
      <c r="AB23" s="16">
        <f t="shared" si="11"/>
        <v>6972.8249999999998</v>
      </c>
      <c r="AC23" s="16">
        <f t="shared" si="12"/>
        <v>1998.0833333333333</v>
      </c>
      <c r="AD23" s="16">
        <f t="shared" si="13"/>
        <v>1</v>
      </c>
      <c r="AE23" s="16">
        <f t="shared" si="14"/>
        <v>2008.0833333333333</v>
      </c>
      <c r="AF23" s="16">
        <f t="shared" si="15"/>
        <v>0</v>
      </c>
      <c r="AG23" s="16">
        <f t="shared" si="16"/>
        <v>-8.3333333333333329E-2</v>
      </c>
    </row>
    <row r="24" spans="2:33">
      <c r="B24" s="26">
        <v>20</v>
      </c>
      <c r="C24" s="27" t="s">
        <v>69</v>
      </c>
      <c r="D24" s="26">
        <v>1998</v>
      </c>
      <c r="E24" s="26">
        <v>4</v>
      </c>
      <c r="F24" s="58"/>
      <c r="H24" s="26" t="s">
        <v>51</v>
      </c>
      <c r="I24" s="26">
        <v>10</v>
      </c>
      <c r="J24" s="26">
        <f t="shared" si="1"/>
        <v>2008</v>
      </c>
      <c r="M24" s="16">
        <v>6132.19</v>
      </c>
      <c r="O24" s="16">
        <f t="shared" si="2"/>
        <v>6132.19</v>
      </c>
      <c r="P24" s="16">
        <f t="shared" si="3"/>
        <v>51.10158333333333</v>
      </c>
      <c r="Q24" s="16">
        <f t="shared" si="4"/>
        <v>0</v>
      </c>
      <c r="R24" s="16">
        <f t="shared" si="0"/>
        <v>0</v>
      </c>
      <c r="S24" s="16">
        <f t="shared" si="5"/>
        <v>0</v>
      </c>
      <c r="T24" s="16">
        <v>1</v>
      </c>
      <c r="U24" s="16">
        <f t="shared" si="6"/>
        <v>0</v>
      </c>
      <c r="V24" s="16"/>
      <c r="W24" s="16">
        <f t="shared" si="7"/>
        <v>0</v>
      </c>
      <c r="X24" s="16">
        <f t="shared" si="8"/>
        <v>0</v>
      </c>
      <c r="Y24" s="16">
        <v>1</v>
      </c>
      <c r="Z24" s="16">
        <f t="shared" si="9"/>
        <v>0</v>
      </c>
      <c r="AA24" s="16">
        <f t="shared" si="10"/>
        <v>0</v>
      </c>
      <c r="AB24" s="16">
        <f t="shared" si="11"/>
        <v>3066.0949999999998</v>
      </c>
      <c r="AC24" s="16">
        <f t="shared" si="12"/>
        <v>1998.25</v>
      </c>
      <c r="AD24" s="16">
        <f t="shared" si="13"/>
        <v>1</v>
      </c>
      <c r="AE24" s="16">
        <f t="shared" si="14"/>
        <v>2008.25</v>
      </c>
      <c r="AF24" s="16">
        <f t="shared" si="15"/>
        <v>0</v>
      </c>
      <c r="AG24" s="16">
        <f t="shared" si="16"/>
        <v>-8.3333333333333329E-2</v>
      </c>
    </row>
    <row r="25" spans="2:33">
      <c r="B25" s="26">
        <v>20</v>
      </c>
      <c r="C25" s="27" t="s">
        <v>127</v>
      </c>
      <c r="D25" s="26">
        <v>1998</v>
      </c>
      <c r="E25" s="26">
        <v>4</v>
      </c>
      <c r="F25" s="58"/>
      <c r="H25" s="26" t="s">
        <v>51</v>
      </c>
      <c r="I25" s="26">
        <v>10</v>
      </c>
      <c r="J25" s="26">
        <f t="shared" si="1"/>
        <v>2008</v>
      </c>
      <c r="M25" s="16">
        <v>7064.43</v>
      </c>
      <c r="O25" s="16">
        <f t="shared" si="2"/>
        <v>7064.43</v>
      </c>
      <c r="P25" s="16">
        <f t="shared" si="3"/>
        <v>58.870249999999999</v>
      </c>
      <c r="Q25" s="16">
        <f t="shared" si="4"/>
        <v>0</v>
      </c>
      <c r="R25" s="16">
        <f t="shared" si="0"/>
        <v>0</v>
      </c>
      <c r="S25" s="16">
        <f t="shared" si="5"/>
        <v>0</v>
      </c>
      <c r="T25" s="16">
        <v>1</v>
      </c>
      <c r="U25" s="16">
        <f t="shared" si="6"/>
        <v>0</v>
      </c>
      <c r="V25" s="16"/>
      <c r="W25" s="16">
        <f t="shared" si="7"/>
        <v>0</v>
      </c>
      <c r="X25" s="16">
        <f t="shared" si="8"/>
        <v>0</v>
      </c>
      <c r="Y25" s="16">
        <v>1</v>
      </c>
      <c r="Z25" s="16">
        <f t="shared" si="9"/>
        <v>0</v>
      </c>
      <c r="AA25" s="16">
        <f t="shared" si="10"/>
        <v>0</v>
      </c>
      <c r="AB25" s="16">
        <f t="shared" si="11"/>
        <v>3532.2150000000001</v>
      </c>
      <c r="AC25" s="16">
        <f t="shared" si="12"/>
        <v>1998.25</v>
      </c>
      <c r="AD25" s="16">
        <f t="shared" si="13"/>
        <v>1</v>
      </c>
      <c r="AE25" s="16">
        <f t="shared" si="14"/>
        <v>2008.25</v>
      </c>
      <c r="AF25" s="16">
        <f t="shared" si="15"/>
        <v>0</v>
      </c>
      <c r="AG25" s="16">
        <f t="shared" si="16"/>
        <v>-8.3333333333333329E-2</v>
      </c>
    </row>
    <row r="26" spans="2:33">
      <c r="B26" s="26">
        <v>24</v>
      </c>
      <c r="C26" s="27" t="s">
        <v>127</v>
      </c>
      <c r="D26" s="26">
        <v>1998</v>
      </c>
      <c r="E26" s="26">
        <v>6</v>
      </c>
      <c r="F26" s="58"/>
      <c r="H26" s="26" t="s">
        <v>51</v>
      </c>
      <c r="I26" s="26">
        <v>10</v>
      </c>
      <c r="J26" s="26">
        <f t="shared" si="1"/>
        <v>2008</v>
      </c>
      <c r="M26" s="16">
        <v>9373.09</v>
      </c>
      <c r="O26" s="16">
        <f t="shared" si="2"/>
        <v>9373.09</v>
      </c>
      <c r="P26" s="16">
        <f t="shared" si="3"/>
        <v>78.109083333333331</v>
      </c>
      <c r="Q26" s="16">
        <f t="shared" si="4"/>
        <v>0</v>
      </c>
      <c r="R26" s="16">
        <f t="shared" si="0"/>
        <v>0</v>
      </c>
      <c r="S26" s="16">
        <f t="shared" si="5"/>
        <v>0</v>
      </c>
      <c r="T26" s="16">
        <v>1</v>
      </c>
      <c r="U26" s="16">
        <f t="shared" si="6"/>
        <v>0</v>
      </c>
      <c r="V26" s="16"/>
      <c r="W26" s="16">
        <f t="shared" si="7"/>
        <v>0</v>
      </c>
      <c r="X26" s="16">
        <f t="shared" si="8"/>
        <v>0</v>
      </c>
      <c r="Y26" s="16">
        <v>1</v>
      </c>
      <c r="Z26" s="16">
        <f t="shared" si="9"/>
        <v>0</v>
      </c>
      <c r="AA26" s="16">
        <f t="shared" si="10"/>
        <v>0</v>
      </c>
      <c r="AB26" s="16">
        <f t="shared" si="11"/>
        <v>4686.5450000000001</v>
      </c>
      <c r="AC26" s="16">
        <f t="shared" si="12"/>
        <v>1998.4166666666667</v>
      </c>
      <c r="AD26" s="16">
        <f t="shared" si="13"/>
        <v>1</v>
      </c>
      <c r="AE26" s="16">
        <f t="shared" si="14"/>
        <v>2008.4166666666667</v>
      </c>
      <c r="AF26" s="16">
        <f t="shared" si="15"/>
        <v>0</v>
      </c>
      <c r="AG26" s="16">
        <f t="shared" si="16"/>
        <v>-8.3333333333333329E-2</v>
      </c>
    </row>
    <row r="27" spans="2:33">
      <c r="B27" s="26">
        <v>10</v>
      </c>
      <c r="C27" s="27" t="s">
        <v>133</v>
      </c>
      <c r="D27" s="26">
        <v>1999</v>
      </c>
      <c r="E27" s="26">
        <v>2</v>
      </c>
      <c r="F27" s="58"/>
      <c r="H27" s="26" t="s">
        <v>51</v>
      </c>
      <c r="I27" s="26">
        <v>10</v>
      </c>
      <c r="J27" s="26">
        <f t="shared" si="1"/>
        <v>2009</v>
      </c>
      <c r="M27" s="16">
        <v>5351.71</v>
      </c>
      <c r="O27" s="16">
        <f t="shared" si="2"/>
        <v>5351.71</v>
      </c>
      <c r="P27" s="16">
        <f t="shared" si="3"/>
        <v>44.59758333333334</v>
      </c>
      <c r="Q27" s="16">
        <f t="shared" si="4"/>
        <v>0</v>
      </c>
      <c r="R27" s="16">
        <f t="shared" si="0"/>
        <v>0</v>
      </c>
      <c r="S27" s="16">
        <f t="shared" si="5"/>
        <v>0</v>
      </c>
      <c r="T27" s="16">
        <v>1</v>
      </c>
      <c r="U27" s="16">
        <f t="shared" si="6"/>
        <v>0</v>
      </c>
      <c r="V27" s="16"/>
      <c r="W27" s="16">
        <f t="shared" si="7"/>
        <v>0</v>
      </c>
      <c r="X27" s="16">
        <f t="shared" si="8"/>
        <v>0</v>
      </c>
      <c r="Y27" s="16">
        <v>1</v>
      </c>
      <c r="Z27" s="16">
        <f t="shared" si="9"/>
        <v>0</v>
      </c>
      <c r="AA27" s="16">
        <f t="shared" si="10"/>
        <v>0</v>
      </c>
      <c r="AB27" s="16">
        <f t="shared" si="11"/>
        <v>2675.855</v>
      </c>
      <c r="AC27" s="16">
        <f t="shared" si="12"/>
        <v>1999.0833333333333</v>
      </c>
      <c r="AD27" s="16">
        <f t="shared" si="13"/>
        <v>1</v>
      </c>
      <c r="AE27" s="16">
        <f t="shared" si="14"/>
        <v>2009.0833333333333</v>
      </c>
      <c r="AF27" s="16">
        <f t="shared" si="15"/>
        <v>0</v>
      </c>
      <c r="AG27" s="16">
        <f t="shared" si="16"/>
        <v>-8.3333333333333329E-2</v>
      </c>
    </row>
    <row r="28" spans="2:33">
      <c r="B28" s="26">
        <v>40</v>
      </c>
      <c r="C28" s="27" t="s">
        <v>69</v>
      </c>
      <c r="D28" s="26">
        <v>1999</v>
      </c>
      <c r="E28" s="26">
        <v>6</v>
      </c>
      <c r="F28" s="58"/>
      <c r="H28" s="26" t="s">
        <v>51</v>
      </c>
      <c r="I28" s="26">
        <v>10</v>
      </c>
      <c r="J28" s="26">
        <f t="shared" si="1"/>
        <v>2009</v>
      </c>
      <c r="M28" s="16">
        <v>12068.39</v>
      </c>
      <c r="O28" s="16">
        <f t="shared" si="2"/>
        <v>12068.39</v>
      </c>
      <c r="P28" s="16">
        <f t="shared" si="3"/>
        <v>100.56991666666666</v>
      </c>
      <c r="Q28" s="16">
        <f t="shared" si="4"/>
        <v>0</v>
      </c>
      <c r="R28" s="16">
        <f t="shared" si="0"/>
        <v>0</v>
      </c>
      <c r="S28" s="16">
        <f t="shared" si="5"/>
        <v>0</v>
      </c>
      <c r="T28" s="16">
        <v>1</v>
      </c>
      <c r="U28" s="16">
        <f t="shared" si="6"/>
        <v>0</v>
      </c>
      <c r="V28" s="16"/>
      <c r="W28" s="16">
        <f t="shared" si="7"/>
        <v>0</v>
      </c>
      <c r="X28" s="16">
        <f t="shared" si="8"/>
        <v>0</v>
      </c>
      <c r="Y28" s="16">
        <v>1</v>
      </c>
      <c r="Z28" s="16">
        <f t="shared" si="9"/>
        <v>0</v>
      </c>
      <c r="AA28" s="16">
        <f t="shared" si="10"/>
        <v>0</v>
      </c>
      <c r="AB28" s="16">
        <f t="shared" si="11"/>
        <v>6034.1949999999997</v>
      </c>
      <c r="AC28" s="16">
        <f t="shared" si="12"/>
        <v>1999.4166666666667</v>
      </c>
      <c r="AD28" s="16">
        <f t="shared" si="13"/>
        <v>1</v>
      </c>
      <c r="AE28" s="16">
        <f t="shared" si="14"/>
        <v>2009.4166666666667</v>
      </c>
      <c r="AF28" s="16">
        <f t="shared" si="15"/>
        <v>0</v>
      </c>
      <c r="AG28" s="16">
        <f t="shared" si="16"/>
        <v>-8.3333333333333329E-2</v>
      </c>
    </row>
    <row r="29" spans="2:33">
      <c r="B29" s="26">
        <v>20</v>
      </c>
      <c r="C29" s="27" t="s">
        <v>134</v>
      </c>
      <c r="D29" s="26">
        <v>1999</v>
      </c>
      <c r="E29" s="26">
        <v>9</v>
      </c>
      <c r="F29" s="58"/>
      <c r="H29" s="26" t="s">
        <v>51</v>
      </c>
      <c r="I29" s="26">
        <v>10</v>
      </c>
      <c r="J29" s="26">
        <f t="shared" si="1"/>
        <v>2009</v>
      </c>
      <c r="M29" s="16">
        <v>12838.03</v>
      </c>
      <c r="O29" s="16">
        <f t="shared" si="2"/>
        <v>12838.03</v>
      </c>
      <c r="P29" s="16">
        <f t="shared" si="3"/>
        <v>106.98358333333334</v>
      </c>
      <c r="Q29" s="16">
        <f t="shared" si="4"/>
        <v>0</v>
      </c>
      <c r="R29" s="16">
        <f t="shared" si="0"/>
        <v>0</v>
      </c>
      <c r="S29" s="16">
        <f t="shared" si="5"/>
        <v>0</v>
      </c>
      <c r="T29" s="16">
        <v>1</v>
      </c>
      <c r="U29" s="16">
        <f t="shared" si="6"/>
        <v>0</v>
      </c>
      <c r="V29" s="16"/>
      <c r="W29" s="16">
        <f t="shared" si="7"/>
        <v>0</v>
      </c>
      <c r="X29" s="16">
        <f t="shared" si="8"/>
        <v>0</v>
      </c>
      <c r="Y29" s="16">
        <v>1</v>
      </c>
      <c r="Z29" s="16">
        <f t="shared" si="9"/>
        <v>0</v>
      </c>
      <c r="AA29" s="16">
        <f t="shared" si="10"/>
        <v>0</v>
      </c>
      <c r="AB29" s="16">
        <f t="shared" si="11"/>
        <v>6419.0150000000003</v>
      </c>
      <c r="AC29" s="16">
        <f t="shared" si="12"/>
        <v>1999.6666666666667</v>
      </c>
      <c r="AD29" s="16">
        <f t="shared" si="13"/>
        <v>1</v>
      </c>
      <c r="AE29" s="16">
        <f t="shared" si="14"/>
        <v>2009.6666666666667</v>
      </c>
      <c r="AF29" s="16">
        <f t="shared" si="15"/>
        <v>0</v>
      </c>
      <c r="AG29" s="16">
        <f t="shared" si="16"/>
        <v>-8.3333333333333329E-2</v>
      </c>
    </row>
    <row r="30" spans="2:33">
      <c r="B30" s="26">
        <v>15</v>
      </c>
      <c r="C30" s="27" t="s">
        <v>135</v>
      </c>
      <c r="D30" s="26">
        <v>2000</v>
      </c>
      <c r="E30" s="26">
        <v>5</v>
      </c>
      <c r="F30" s="58"/>
      <c r="H30" s="26" t="s">
        <v>51</v>
      </c>
      <c r="I30" s="26">
        <v>10</v>
      </c>
      <c r="J30" s="26">
        <f t="shared" si="1"/>
        <v>2010</v>
      </c>
      <c r="M30" s="16">
        <v>4786.29</v>
      </c>
      <c r="O30" s="16">
        <f t="shared" si="2"/>
        <v>4786.29</v>
      </c>
      <c r="P30" s="16">
        <f t="shared" si="3"/>
        <v>39.885750000000002</v>
      </c>
      <c r="Q30" s="16">
        <f t="shared" si="4"/>
        <v>0</v>
      </c>
      <c r="R30" s="16">
        <f t="shared" si="0"/>
        <v>0</v>
      </c>
      <c r="S30" s="16">
        <f t="shared" si="5"/>
        <v>0</v>
      </c>
      <c r="T30" s="16">
        <v>1</v>
      </c>
      <c r="U30" s="16">
        <f t="shared" si="6"/>
        <v>0</v>
      </c>
      <c r="V30" s="16"/>
      <c r="W30" s="16">
        <f t="shared" si="7"/>
        <v>0</v>
      </c>
      <c r="X30" s="16">
        <f t="shared" si="8"/>
        <v>0</v>
      </c>
      <c r="Y30" s="16">
        <v>1</v>
      </c>
      <c r="Z30" s="16">
        <f t="shared" si="9"/>
        <v>0</v>
      </c>
      <c r="AA30" s="16">
        <f t="shared" si="10"/>
        <v>0</v>
      </c>
      <c r="AB30" s="16">
        <f t="shared" si="11"/>
        <v>2393.145</v>
      </c>
      <c r="AC30" s="16">
        <f t="shared" si="12"/>
        <v>2000.3333333333333</v>
      </c>
      <c r="AD30" s="16">
        <f t="shared" si="13"/>
        <v>1</v>
      </c>
      <c r="AE30" s="16">
        <f t="shared" si="14"/>
        <v>2010.3333333333333</v>
      </c>
      <c r="AF30" s="16">
        <f t="shared" si="15"/>
        <v>0</v>
      </c>
      <c r="AG30" s="16">
        <f t="shared" si="16"/>
        <v>-8.3333333333333329E-2</v>
      </c>
    </row>
    <row r="31" spans="2:33">
      <c r="B31" s="26">
        <v>17</v>
      </c>
      <c r="C31" s="27" t="s">
        <v>138</v>
      </c>
      <c r="D31" s="26">
        <v>2001</v>
      </c>
      <c r="E31" s="26">
        <v>7</v>
      </c>
      <c r="F31" s="58"/>
      <c r="H31" s="26" t="s">
        <v>51</v>
      </c>
      <c r="I31" s="26">
        <v>10</v>
      </c>
      <c r="J31" s="26">
        <f t="shared" si="1"/>
        <v>2011</v>
      </c>
      <c r="M31" s="16">
        <v>5260.68</v>
      </c>
      <c r="O31" s="16">
        <f t="shared" si="2"/>
        <v>5260.68</v>
      </c>
      <c r="P31" s="16">
        <f t="shared" si="3"/>
        <v>43.838999999999999</v>
      </c>
      <c r="Q31" s="16">
        <f t="shared" si="4"/>
        <v>0</v>
      </c>
      <c r="R31" s="16">
        <f t="shared" si="0"/>
        <v>0</v>
      </c>
      <c r="S31" s="16">
        <f t="shared" si="5"/>
        <v>0</v>
      </c>
      <c r="T31" s="16">
        <v>1</v>
      </c>
      <c r="U31" s="16">
        <f t="shared" si="6"/>
        <v>0</v>
      </c>
      <c r="V31" s="16"/>
      <c r="W31" s="16">
        <f t="shared" si="7"/>
        <v>0</v>
      </c>
      <c r="X31" s="16">
        <f t="shared" si="8"/>
        <v>0</v>
      </c>
      <c r="Y31" s="16">
        <v>1</v>
      </c>
      <c r="Z31" s="16">
        <f t="shared" si="9"/>
        <v>0</v>
      </c>
      <c r="AA31" s="16">
        <f t="shared" si="10"/>
        <v>0</v>
      </c>
      <c r="AB31" s="16">
        <f t="shared" si="11"/>
        <v>2630.34</v>
      </c>
      <c r="AC31" s="16">
        <f t="shared" si="12"/>
        <v>2001.5</v>
      </c>
      <c r="AD31" s="16">
        <f t="shared" si="13"/>
        <v>1</v>
      </c>
      <c r="AE31" s="16">
        <f t="shared" si="14"/>
        <v>2011.5</v>
      </c>
      <c r="AF31" s="16">
        <f t="shared" si="15"/>
        <v>0</v>
      </c>
      <c r="AG31" s="16">
        <f t="shared" si="16"/>
        <v>-8.3333333333333329E-2</v>
      </c>
    </row>
    <row r="32" spans="2:33">
      <c r="B32" s="26">
        <f>19-8</f>
        <v>11</v>
      </c>
      <c r="C32" s="27" t="s">
        <v>137</v>
      </c>
      <c r="D32" s="26">
        <v>2001</v>
      </c>
      <c r="E32" s="26">
        <v>7</v>
      </c>
      <c r="F32" s="58"/>
      <c r="H32" s="26" t="s">
        <v>51</v>
      </c>
      <c r="I32" s="26">
        <v>10</v>
      </c>
      <c r="J32" s="26">
        <f t="shared" si="1"/>
        <v>2011</v>
      </c>
      <c r="M32" s="16">
        <f>7473.51/19*11</f>
        <v>4326.7689473684213</v>
      </c>
      <c r="O32" s="16">
        <f t="shared" si="2"/>
        <v>4326.7689473684213</v>
      </c>
      <c r="P32" s="16">
        <f t="shared" si="3"/>
        <v>36.056407894736843</v>
      </c>
      <c r="Q32" s="16">
        <f t="shared" si="4"/>
        <v>0</v>
      </c>
      <c r="R32" s="16">
        <f t="shared" si="0"/>
        <v>0</v>
      </c>
      <c r="S32" s="16">
        <f t="shared" si="5"/>
        <v>0</v>
      </c>
      <c r="T32" s="16">
        <v>1</v>
      </c>
      <c r="U32" s="16">
        <f t="shared" si="6"/>
        <v>0</v>
      </c>
      <c r="V32" s="16"/>
      <c r="W32" s="16">
        <f t="shared" si="7"/>
        <v>0</v>
      </c>
      <c r="X32" s="16">
        <f t="shared" si="8"/>
        <v>0</v>
      </c>
      <c r="Y32" s="16">
        <v>1</v>
      </c>
      <c r="Z32" s="16">
        <f t="shared" si="9"/>
        <v>0</v>
      </c>
      <c r="AA32" s="16">
        <f t="shared" si="10"/>
        <v>0</v>
      </c>
      <c r="AB32" s="16">
        <f t="shared" si="11"/>
        <v>2163.3844736842107</v>
      </c>
      <c r="AC32" s="16">
        <f t="shared" si="12"/>
        <v>2001.5</v>
      </c>
      <c r="AD32" s="16">
        <f t="shared" si="13"/>
        <v>1</v>
      </c>
      <c r="AE32" s="16">
        <f t="shared" si="14"/>
        <v>2011.5</v>
      </c>
      <c r="AF32" s="16">
        <f t="shared" si="15"/>
        <v>0</v>
      </c>
      <c r="AG32" s="16">
        <f t="shared" si="16"/>
        <v>-8.3333333333333329E-2</v>
      </c>
    </row>
    <row r="33" spans="2:33">
      <c r="B33" s="26"/>
      <c r="C33" s="27" t="s">
        <v>140</v>
      </c>
      <c r="D33" s="26">
        <v>2002</v>
      </c>
      <c r="E33" s="26">
        <v>8</v>
      </c>
      <c r="F33" s="58"/>
      <c r="H33" s="26" t="s">
        <v>51</v>
      </c>
      <c r="I33" s="26">
        <v>10</v>
      </c>
      <c r="J33" s="26">
        <f t="shared" si="1"/>
        <v>2012</v>
      </c>
      <c r="M33" s="16">
        <v>10045.290000000001</v>
      </c>
      <c r="O33" s="16">
        <f t="shared" si="2"/>
        <v>10045.290000000001</v>
      </c>
      <c r="P33" s="16">
        <f t="shared" si="3"/>
        <v>83.710750000000004</v>
      </c>
      <c r="Q33" s="16">
        <f t="shared" si="4"/>
        <v>0</v>
      </c>
      <c r="R33" s="16">
        <f t="shared" si="0"/>
        <v>0</v>
      </c>
      <c r="S33" s="16">
        <f t="shared" si="5"/>
        <v>0</v>
      </c>
      <c r="T33" s="16">
        <v>1</v>
      </c>
      <c r="U33" s="16">
        <f t="shared" si="6"/>
        <v>0</v>
      </c>
      <c r="V33" s="16"/>
      <c r="W33" s="16">
        <f t="shared" si="7"/>
        <v>0</v>
      </c>
      <c r="X33" s="16">
        <f t="shared" si="8"/>
        <v>0</v>
      </c>
      <c r="Y33" s="16">
        <v>1</v>
      </c>
      <c r="Z33" s="16">
        <f t="shared" si="9"/>
        <v>0</v>
      </c>
      <c r="AA33" s="16">
        <f t="shared" si="10"/>
        <v>0</v>
      </c>
      <c r="AB33" s="16">
        <f t="shared" si="11"/>
        <v>5022.6450000000004</v>
      </c>
      <c r="AC33" s="16">
        <f t="shared" si="12"/>
        <v>2002.5833333333333</v>
      </c>
      <c r="AD33" s="16">
        <f t="shared" si="13"/>
        <v>1</v>
      </c>
      <c r="AE33" s="16">
        <f t="shared" si="14"/>
        <v>2012.5833333333333</v>
      </c>
      <c r="AF33" s="16">
        <f t="shared" si="15"/>
        <v>0</v>
      </c>
      <c r="AG33" s="16">
        <f t="shared" si="16"/>
        <v>-8.3333333333333329E-2</v>
      </c>
    </row>
    <row r="34" spans="2:33">
      <c r="B34" s="26">
        <v>48</v>
      </c>
      <c r="C34" s="27" t="s">
        <v>150</v>
      </c>
      <c r="D34" s="26">
        <v>2003</v>
      </c>
      <c r="E34" s="26">
        <v>9</v>
      </c>
      <c r="F34" s="58"/>
      <c r="H34" s="26" t="s">
        <v>51</v>
      </c>
      <c r="I34" s="26">
        <v>10</v>
      </c>
      <c r="J34" s="26">
        <f t="shared" si="1"/>
        <v>2013</v>
      </c>
      <c r="M34" s="16">
        <v>14105.71</v>
      </c>
      <c r="O34" s="16">
        <f t="shared" si="2"/>
        <v>14105.71</v>
      </c>
      <c r="P34" s="16">
        <f t="shared" si="3"/>
        <v>117.54758333333332</v>
      </c>
      <c r="Q34" s="16">
        <f t="shared" si="4"/>
        <v>0</v>
      </c>
      <c r="R34" s="16">
        <f t="shared" si="0"/>
        <v>0</v>
      </c>
      <c r="S34" s="16">
        <f t="shared" si="5"/>
        <v>0</v>
      </c>
      <c r="T34" s="16">
        <v>1</v>
      </c>
      <c r="U34" s="16">
        <f t="shared" si="6"/>
        <v>0</v>
      </c>
      <c r="V34" s="16"/>
      <c r="W34" s="16">
        <f t="shared" si="7"/>
        <v>0</v>
      </c>
      <c r="X34" s="16">
        <f t="shared" si="8"/>
        <v>0</v>
      </c>
      <c r="Y34" s="16">
        <v>1</v>
      </c>
      <c r="Z34" s="16">
        <f t="shared" si="9"/>
        <v>0</v>
      </c>
      <c r="AA34" s="16">
        <f t="shared" si="10"/>
        <v>0</v>
      </c>
      <c r="AB34" s="16">
        <f t="shared" si="11"/>
        <v>7052.8549999999996</v>
      </c>
      <c r="AC34" s="16">
        <f t="shared" si="12"/>
        <v>2003.6666666666667</v>
      </c>
      <c r="AD34" s="16">
        <f t="shared" si="13"/>
        <v>1</v>
      </c>
      <c r="AE34" s="16">
        <f t="shared" si="14"/>
        <v>2013.6666666666667</v>
      </c>
      <c r="AF34" s="16">
        <f t="shared" si="15"/>
        <v>0</v>
      </c>
      <c r="AG34" s="16">
        <f t="shared" si="16"/>
        <v>-8.3333333333333329E-2</v>
      </c>
    </row>
    <row r="35" spans="2:33">
      <c r="B35" s="26">
        <v>52</v>
      </c>
      <c r="C35" s="27" t="s">
        <v>152</v>
      </c>
      <c r="D35" s="26">
        <v>2003</v>
      </c>
      <c r="E35" s="26">
        <v>9</v>
      </c>
      <c r="F35" s="58"/>
      <c r="H35" s="26" t="s">
        <v>51</v>
      </c>
      <c r="I35" s="26">
        <v>10</v>
      </c>
      <c r="J35" s="26">
        <f t="shared" si="1"/>
        <v>2013</v>
      </c>
      <c r="M35" s="16">
        <v>18129.38</v>
      </c>
      <c r="O35" s="16">
        <f t="shared" si="2"/>
        <v>18129.38</v>
      </c>
      <c r="P35" s="16">
        <f t="shared" si="3"/>
        <v>151.07816666666668</v>
      </c>
      <c r="Q35" s="16">
        <f t="shared" si="4"/>
        <v>0</v>
      </c>
      <c r="R35" s="16">
        <f t="shared" si="0"/>
        <v>0</v>
      </c>
      <c r="S35" s="16">
        <f t="shared" si="5"/>
        <v>0</v>
      </c>
      <c r="T35" s="16">
        <v>1</v>
      </c>
      <c r="U35" s="16">
        <f t="shared" si="6"/>
        <v>0</v>
      </c>
      <c r="V35" s="16"/>
      <c r="W35" s="16">
        <f t="shared" si="7"/>
        <v>0</v>
      </c>
      <c r="X35" s="16">
        <f t="shared" si="8"/>
        <v>0</v>
      </c>
      <c r="Y35" s="16">
        <v>1</v>
      </c>
      <c r="Z35" s="16">
        <f t="shared" si="9"/>
        <v>0</v>
      </c>
      <c r="AA35" s="16">
        <f t="shared" si="10"/>
        <v>0</v>
      </c>
      <c r="AB35" s="16">
        <f t="shared" si="11"/>
        <v>9064.69</v>
      </c>
      <c r="AC35" s="16">
        <f t="shared" si="12"/>
        <v>2003.6666666666667</v>
      </c>
      <c r="AD35" s="16">
        <f t="shared" si="13"/>
        <v>1</v>
      </c>
      <c r="AE35" s="16">
        <f t="shared" si="14"/>
        <v>2013.6666666666667</v>
      </c>
      <c r="AF35" s="16">
        <f t="shared" si="15"/>
        <v>0</v>
      </c>
      <c r="AG35" s="16">
        <f t="shared" si="16"/>
        <v>-8.3333333333333329E-2</v>
      </c>
    </row>
    <row r="36" spans="2:33">
      <c r="B36" s="26">
        <v>10</v>
      </c>
      <c r="C36" s="27" t="s">
        <v>148</v>
      </c>
      <c r="D36" s="26">
        <v>2003</v>
      </c>
      <c r="E36" s="26">
        <v>9</v>
      </c>
      <c r="F36" s="58"/>
      <c r="H36" s="26" t="s">
        <v>51</v>
      </c>
      <c r="I36" s="26">
        <v>10</v>
      </c>
      <c r="J36" s="26">
        <f t="shared" si="1"/>
        <v>2013</v>
      </c>
      <c r="M36" s="16">
        <v>4330.24</v>
      </c>
      <c r="O36" s="16">
        <f t="shared" si="2"/>
        <v>4330.24</v>
      </c>
      <c r="P36" s="16">
        <f t="shared" si="3"/>
        <v>36.085333333333331</v>
      </c>
      <c r="Q36" s="16">
        <f t="shared" si="4"/>
        <v>0</v>
      </c>
      <c r="R36" s="16">
        <f t="shared" si="0"/>
        <v>0</v>
      </c>
      <c r="S36" s="16">
        <f t="shared" si="5"/>
        <v>0</v>
      </c>
      <c r="T36" s="16">
        <v>1</v>
      </c>
      <c r="U36" s="16">
        <f t="shared" si="6"/>
        <v>0</v>
      </c>
      <c r="V36" s="16"/>
      <c r="W36" s="16">
        <f t="shared" si="7"/>
        <v>0</v>
      </c>
      <c r="X36" s="16">
        <f t="shared" si="8"/>
        <v>0</v>
      </c>
      <c r="Y36" s="16">
        <v>1</v>
      </c>
      <c r="Z36" s="16">
        <f t="shared" si="9"/>
        <v>0</v>
      </c>
      <c r="AA36" s="16">
        <f t="shared" si="10"/>
        <v>0</v>
      </c>
      <c r="AB36" s="16">
        <f t="shared" si="11"/>
        <v>2165.12</v>
      </c>
      <c r="AC36" s="16">
        <f t="shared" si="12"/>
        <v>2003.6666666666667</v>
      </c>
      <c r="AD36" s="16">
        <f t="shared" si="13"/>
        <v>1</v>
      </c>
      <c r="AE36" s="16">
        <f t="shared" si="14"/>
        <v>2013.6666666666667</v>
      </c>
      <c r="AF36" s="16">
        <f t="shared" si="15"/>
        <v>0</v>
      </c>
      <c r="AG36" s="16">
        <f t="shared" si="16"/>
        <v>-8.3333333333333329E-2</v>
      </c>
    </row>
    <row r="37" spans="2:33">
      <c r="B37" s="26"/>
      <c r="C37" s="27" t="s">
        <v>147</v>
      </c>
      <c r="D37" s="26">
        <v>2003</v>
      </c>
      <c r="E37" s="26">
        <v>9</v>
      </c>
      <c r="F37" s="58"/>
      <c r="H37" s="26" t="s">
        <v>51</v>
      </c>
      <c r="I37" s="26">
        <v>10</v>
      </c>
      <c r="J37" s="26">
        <f t="shared" si="1"/>
        <v>2013</v>
      </c>
      <c r="M37" s="16">
        <v>1178.3</v>
      </c>
      <c r="O37" s="16">
        <f t="shared" si="2"/>
        <v>1178.3</v>
      </c>
      <c r="P37" s="16">
        <f t="shared" si="3"/>
        <v>9.8191666666666659</v>
      </c>
      <c r="Q37" s="16">
        <f t="shared" si="4"/>
        <v>0</v>
      </c>
      <c r="R37" s="16">
        <f t="shared" si="0"/>
        <v>0</v>
      </c>
      <c r="S37" s="16">
        <f t="shared" si="5"/>
        <v>0</v>
      </c>
      <c r="T37" s="16">
        <v>1</v>
      </c>
      <c r="U37" s="16">
        <f t="shared" si="6"/>
        <v>0</v>
      </c>
      <c r="V37" s="16"/>
      <c r="W37" s="16">
        <f t="shared" si="7"/>
        <v>0</v>
      </c>
      <c r="X37" s="16">
        <f t="shared" si="8"/>
        <v>0</v>
      </c>
      <c r="Y37" s="16">
        <v>1</v>
      </c>
      <c r="Z37" s="16">
        <f t="shared" si="9"/>
        <v>0</v>
      </c>
      <c r="AA37" s="16">
        <f t="shared" si="10"/>
        <v>0</v>
      </c>
      <c r="AB37" s="16">
        <f t="shared" si="11"/>
        <v>589.15</v>
      </c>
      <c r="AC37" s="16">
        <f t="shared" si="12"/>
        <v>2003.6666666666667</v>
      </c>
      <c r="AD37" s="16">
        <f t="shared" si="13"/>
        <v>1</v>
      </c>
      <c r="AE37" s="16">
        <f t="shared" si="14"/>
        <v>2013.6666666666667</v>
      </c>
      <c r="AF37" s="16">
        <f t="shared" si="15"/>
        <v>0</v>
      </c>
      <c r="AG37" s="16">
        <f t="shared" si="16"/>
        <v>-8.3333333333333329E-2</v>
      </c>
    </row>
    <row r="38" spans="2:33">
      <c r="B38" s="26"/>
      <c r="C38" s="27" t="s">
        <v>154</v>
      </c>
      <c r="D38" s="26">
        <v>2003</v>
      </c>
      <c r="E38" s="26">
        <v>12</v>
      </c>
      <c r="F38" s="58"/>
      <c r="H38" s="26" t="s">
        <v>51</v>
      </c>
      <c r="I38" s="26">
        <v>10</v>
      </c>
      <c r="J38" s="26">
        <f t="shared" si="1"/>
        <v>2013</v>
      </c>
      <c r="M38" s="16">
        <v>1262.08</v>
      </c>
      <c r="O38" s="16">
        <f t="shared" si="2"/>
        <v>1262.08</v>
      </c>
      <c r="P38" s="16">
        <f t="shared" si="3"/>
        <v>10.517333333333333</v>
      </c>
      <c r="Q38" s="16">
        <f t="shared" si="4"/>
        <v>0</v>
      </c>
      <c r="R38" s="16">
        <f t="shared" si="0"/>
        <v>0</v>
      </c>
      <c r="S38" s="16">
        <f t="shared" si="5"/>
        <v>0</v>
      </c>
      <c r="T38" s="16">
        <v>1</v>
      </c>
      <c r="U38" s="16">
        <f t="shared" si="6"/>
        <v>0</v>
      </c>
      <c r="V38" s="16"/>
      <c r="W38" s="16">
        <f t="shared" si="7"/>
        <v>0</v>
      </c>
      <c r="X38" s="16">
        <f t="shared" si="8"/>
        <v>0</v>
      </c>
      <c r="Y38" s="16">
        <v>1</v>
      </c>
      <c r="Z38" s="16">
        <f t="shared" si="9"/>
        <v>0</v>
      </c>
      <c r="AA38" s="16">
        <f t="shared" si="10"/>
        <v>0</v>
      </c>
      <c r="AB38" s="16">
        <f t="shared" si="11"/>
        <v>631.04</v>
      </c>
      <c r="AC38" s="16">
        <f t="shared" si="12"/>
        <v>2003.9166666666667</v>
      </c>
      <c r="AD38" s="16">
        <f t="shared" si="13"/>
        <v>1</v>
      </c>
      <c r="AE38" s="16">
        <f t="shared" si="14"/>
        <v>2013.9166666666667</v>
      </c>
      <c r="AF38" s="16">
        <f t="shared" si="15"/>
        <v>0</v>
      </c>
      <c r="AG38" s="16">
        <f t="shared" si="16"/>
        <v>-8.3333333333333329E-2</v>
      </c>
    </row>
    <row r="39" spans="2:33">
      <c r="B39" s="26">
        <v>40</v>
      </c>
      <c r="C39" s="27" t="s">
        <v>160</v>
      </c>
      <c r="D39" s="26">
        <v>2004</v>
      </c>
      <c r="E39" s="26">
        <v>5</v>
      </c>
      <c r="F39" s="58"/>
      <c r="H39" s="26" t="s">
        <v>51</v>
      </c>
      <c r="I39" s="26">
        <v>10</v>
      </c>
      <c r="J39" s="26">
        <f t="shared" si="1"/>
        <v>2014</v>
      </c>
      <c r="M39" s="16">
        <v>17190.400000000001</v>
      </c>
      <c r="O39" s="16">
        <f t="shared" si="2"/>
        <v>17190.400000000001</v>
      </c>
      <c r="P39" s="16">
        <f t="shared" si="3"/>
        <v>143.25333333333336</v>
      </c>
      <c r="Q39" s="16">
        <f t="shared" si="4"/>
        <v>0</v>
      </c>
      <c r="R39" s="16">
        <f t="shared" si="0"/>
        <v>0</v>
      </c>
      <c r="S39" s="16">
        <f t="shared" si="5"/>
        <v>0</v>
      </c>
      <c r="T39" s="16">
        <v>1</v>
      </c>
      <c r="U39" s="16">
        <f t="shared" si="6"/>
        <v>0</v>
      </c>
      <c r="V39" s="16"/>
      <c r="W39" s="16">
        <f t="shared" si="7"/>
        <v>0</v>
      </c>
      <c r="X39" s="16">
        <f t="shared" si="8"/>
        <v>0</v>
      </c>
      <c r="Y39" s="16">
        <v>1</v>
      </c>
      <c r="Z39" s="16">
        <f t="shared" si="9"/>
        <v>0</v>
      </c>
      <c r="AA39" s="16">
        <f t="shared" si="10"/>
        <v>0</v>
      </c>
      <c r="AB39" s="16">
        <f t="shared" si="11"/>
        <v>8595.2000000000007</v>
      </c>
      <c r="AC39" s="16">
        <f t="shared" si="12"/>
        <v>2004.3333333333333</v>
      </c>
      <c r="AD39" s="16">
        <f t="shared" si="13"/>
        <v>1</v>
      </c>
      <c r="AE39" s="16">
        <f t="shared" si="14"/>
        <v>2014.3333333333333</v>
      </c>
      <c r="AF39" s="16">
        <f t="shared" si="15"/>
        <v>0</v>
      </c>
      <c r="AG39" s="16">
        <f t="shared" si="16"/>
        <v>-8.3333333333333329E-2</v>
      </c>
    </row>
    <row r="40" spans="2:33">
      <c r="B40" s="26">
        <v>4</v>
      </c>
      <c r="C40" s="27" t="s">
        <v>162</v>
      </c>
      <c r="D40" s="26">
        <v>2004</v>
      </c>
      <c r="E40" s="26">
        <v>5</v>
      </c>
      <c r="F40" s="58"/>
      <c r="H40" s="26" t="s">
        <v>51</v>
      </c>
      <c r="I40" s="26">
        <v>10</v>
      </c>
      <c r="J40" s="26">
        <f t="shared" si="1"/>
        <v>2014</v>
      </c>
      <c r="M40" s="16">
        <v>2110.7199999999998</v>
      </c>
      <c r="O40" s="16">
        <f t="shared" si="2"/>
        <v>2110.7199999999998</v>
      </c>
      <c r="P40" s="16">
        <f t="shared" si="3"/>
        <v>17.589333333333332</v>
      </c>
      <c r="Q40" s="16">
        <f t="shared" si="4"/>
        <v>0</v>
      </c>
      <c r="R40" s="16">
        <f t="shared" si="0"/>
        <v>0</v>
      </c>
      <c r="S40" s="16">
        <f t="shared" si="5"/>
        <v>0</v>
      </c>
      <c r="T40" s="16">
        <v>1</v>
      </c>
      <c r="U40" s="16">
        <f t="shared" si="6"/>
        <v>0</v>
      </c>
      <c r="V40" s="16"/>
      <c r="W40" s="16">
        <f t="shared" si="7"/>
        <v>0</v>
      </c>
      <c r="X40" s="16">
        <f t="shared" si="8"/>
        <v>0</v>
      </c>
      <c r="Y40" s="16">
        <v>1</v>
      </c>
      <c r="Z40" s="16">
        <f t="shared" si="9"/>
        <v>0</v>
      </c>
      <c r="AA40" s="16">
        <f t="shared" si="10"/>
        <v>0</v>
      </c>
      <c r="AB40" s="16">
        <f t="shared" si="11"/>
        <v>1055.3599999999999</v>
      </c>
      <c r="AC40" s="16">
        <f t="shared" si="12"/>
        <v>2004.3333333333333</v>
      </c>
      <c r="AD40" s="16">
        <f t="shared" si="13"/>
        <v>1</v>
      </c>
      <c r="AE40" s="16">
        <f t="shared" si="14"/>
        <v>2014.3333333333333</v>
      </c>
      <c r="AF40" s="16">
        <f t="shared" si="15"/>
        <v>0</v>
      </c>
      <c r="AG40" s="16">
        <f t="shared" si="16"/>
        <v>-8.3333333333333329E-2</v>
      </c>
    </row>
    <row r="41" spans="2:33">
      <c r="B41" s="26">
        <v>4</v>
      </c>
      <c r="C41" s="27" t="s">
        <v>161</v>
      </c>
      <c r="D41" s="26">
        <v>2004</v>
      </c>
      <c r="E41" s="26">
        <v>5</v>
      </c>
      <c r="F41" s="58"/>
      <c r="H41" s="26" t="s">
        <v>51</v>
      </c>
      <c r="I41" s="26">
        <v>10</v>
      </c>
      <c r="J41" s="26">
        <f t="shared" si="1"/>
        <v>2014</v>
      </c>
      <c r="M41" s="16">
        <v>2881.02</v>
      </c>
      <c r="O41" s="16">
        <f t="shared" si="2"/>
        <v>2881.02</v>
      </c>
      <c r="P41" s="16">
        <f t="shared" si="3"/>
        <v>24.008499999999998</v>
      </c>
      <c r="Q41" s="16">
        <f t="shared" si="4"/>
        <v>0</v>
      </c>
      <c r="R41" s="16">
        <f t="shared" si="0"/>
        <v>0</v>
      </c>
      <c r="S41" s="16">
        <f t="shared" si="5"/>
        <v>0</v>
      </c>
      <c r="T41" s="16">
        <v>1</v>
      </c>
      <c r="U41" s="16">
        <f t="shared" si="6"/>
        <v>0</v>
      </c>
      <c r="V41" s="16"/>
      <c r="W41" s="16">
        <f t="shared" si="7"/>
        <v>0</v>
      </c>
      <c r="X41" s="16">
        <f t="shared" si="8"/>
        <v>0</v>
      </c>
      <c r="Y41" s="16">
        <v>1</v>
      </c>
      <c r="Z41" s="16">
        <f t="shared" si="9"/>
        <v>0</v>
      </c>
      <c r="AA41" s="16">
        <f t="shared" si="10"/>
        <v>0</v>
      </c>
      <c r="AB41" s="16">
        <f t="shared" si="11"/>
        <v>1440.51</v>
      </c>
      <c r="AC41" s="16">
        <f t="shared" si="12"/>
        <v>2004.3333333333333</v>
      </c>
      <c r="AD41" s="16">
        <f t="shared" si="13"/>
        <v>1</v>
      </c>
      <c r="AE41" s="16">
        <f t="shared" si="14"/>
        <v>2014.3333333333333</v>
      </c>
      <c r="AF41" s="16">
        <f t="shared" si="15"/>
        <v>0</v>
      </c>
      <c r="AG41" s="16">
        <f t="shared" si="16"/>
        <v>-8.3333333333333329E-2</v>
      </c>
    </row>
    <row r="42" spans="2:33">
      <c r="B42" s="26">
        <v>130</v>
      </c>
      <c r="C42" s="27" t="s">
        <v>156</v>
      </c>
      <c r="D42" s="26">
        <v>2004</v>
      </c>
      <c r="E42" s="26">
        <v>5</v>
      </c>
      <c r="F42" s="58"/>
      <c r="H42" s="26" t="s">
        <v>51</v>
      </c>
      <c r="I42" s="26">
        <v>10</v>
      </c>
      <c r="J42" s="26">
        <f t="shared" si="1"/>
        <v>2014</v>
      </c>
      <c r="M42" s="16">
        <v>3000.7</v>
      </c>
      <c r="O42" s="16">
        <f t="shared" si="2"/>
        <v>3000.7</v>
      </c>
      <c r="P42" s="16">
        <f t="shared" si="3"/>
        <v>25.005833333333332</v>
      </c>
      <c r="Q42" s="16">
        <f t="shared" si="4"/>
        <v>0</v>
      </c>
      <c r="R42" s="16">
        <f t="shared" si="0"/>
        <v>0</v>
      </c>
      <c r="S42" s="16">
        <f t="shared" si="5"/>
        <v>0</v>
      </c>
      <c r="T42" s="16">
        <v>1</v>
      </c>
      <c r="U42" s="16">
        <f t="shared" si="6"/>
        <v>0</v>
      </c>
      <c r="V42" s="16"/>
      <c r="W42" s="16">
        <f t="shared" si="7"/>
        <v>0</v>
      </c>
      <c r="X42" s="16">
        <f t="shared" si="8"/>
        <v>0</v>
      </c>
      <c r="Y42" s="16">
        <v>1</v>
      </c>
      <c r="Z42" s="16">
        <f t="shared" si="9"/>
        <v>0</v>
      </c>
      <c r="AA42" s="16">
        <f t="shared" si="10"/>
        <v>0</v>
      </c>
      <c r="AB42" s="16">
        <f t="shared" si="11"/>
        <v>1500.35</v>
      </c>
      <c r="AC42" s="16">
        <f t="shared" si="12"/>
        <v>2004.3333333333333</v>
      </c>
      <c r="AD42" s="16">
        <f t="shared" si="13"/>
        <v>1</v>
      </c>
      <c r="AE42" s="16">
        <f t="shared" si="14"/>
        <v>2014.3333333333333</v>
      </c>
      <c r="AF42" s="16">
        <f t="shared" si="15"/>
        <v>0</v>
      </c>
      <c r="AG42" s="16">
        <f t="shared" si="16"/>
        <v>-8.3333333333333329E-2</v>
      </c>
    </row>
    <row r="43" spans="2:33">
      <c r="B43" s="26">
        <v>30</v>
      </c>
      <c r="C43" s="27" t="s">
        <v>166</v>
      </c>
      <c r="D43" s="26">
        <v>2004</v>
      </c>
      <c r="E43" s="26">
        <v>6</v>
      </c>
      <c r="F43" s="58"/>
      <c r="H43" s="26" t="s">
        <v>51</v>
      </c>
      <c r="I43" s="26">
        <v>10</v>
      </c>
      <c r="J43" s="26">
        <f t="shared" si="1"/>
        <v>2014</v>
      </c>
      <c r="M43" s="16">
        <v>11424</v>
      </c>
      <c r="O43" s="16">
        <f t="shared" si="2"/>
        <v>11424</v>
      </c>
      <c r="P43" s="16">
        <f t="shared" si="3"/>
        <v>95.2</v>
      </c>
      <c r="Q43" s="16">
        <f t="shared" si="4"/>
        <v>0</v>
      </c>
      <c r="R43" s="16">
        <f t="shared" si="0"/>
        <v>0</v>
      </c>
      <c r="S43" s="16">
        <f t="shared" si="5"/>
        <v>0</v>
      </c>
      <c r="T43" s="16">
        <v>1</v>
      </c>
      <c r="U43" s="16">
        <f t="shared" si="6"/>
        <v>0</v>
      </c>
      <c r="V43" s="16"/>
      <c r="W43" s="16">
        <f t="shared" si="7"/>
        <v>0</v>
      </c>
      <c r="X43" s="16">
        <f t="shared" si="8"/>
        <v>0</v>
      </c>
      <c r="Y43" s="16">
        <v>1</v>
      </c>
      <c r="Z43" s="16">
        <f t="shared" si="9"/>
        <v>0</v>
      </c>
      <c r="AA43" s="16">
        <f t="shared" si="10"/>
        <v>0</v>
      </c>
      <c r="AB43" s="16">
        <f t="shared" si="11"/>
        <v>5712</v>
      </c>
      <c r="AC43" s="16">
        <f t="shared" si="12"/>
        <v>2004.4166666666667</v>
      </c>
      <c r="AD43" s="16">
        <f t="shared" si="13"/>
        <v>1</v>
      </c>
      <c r="AE43" s="16">
        <f t="shared" si="14"/>
        <v>2014.4166666666667</v>
      </c>
      <c r="AF43" s="16">
        <f t="shared" si="15"/>
        <v>0</v>
      </c>
      <c r="AG43" s="16">
        <f t="shared" si="16"/>
        <v>-8.3333333333333329E-2</v>
      </c>
    </row>
    <row r="44" spans="2:33">
      <c r="B44" s="26">
        <v>25</v>
      </c>
      <c r="C44" s="27" t="s">
        <v>166</v>
      </c>
      <c r="D44" s="26">
        <v>2004</v>
      </c>
      <c r="E44" s="26">
        <v>8</v>
      </c>
      <c r="F44" s="58"/>
      <c r="H44" s="26" t="s">
        <v>51</v>
      </c>
      <c r="I44" s="26">
        <v>10</v>
      </c>
      <c r="J44" s="26">
        <f t="shared" si="1"/>
        <v>2014</v>
      </c>
      <c r="M44" s="16">
        <v>11083.9</v>
      </c>
      <c r="O44" s="16">
        <f t="shared" si="2"/>
        <v>11083.9</v>
      </c>
      <c r="P44" s="16">
        <f t="shared" si="3"/>
        <v>92.365833333333327</v>
      </c>
      <c r="Q44" s="16">
        <f t="shared" si="4"/>
        <v>0</v>
      </c>
      <c r="R44" s="16">
        <f t="shared" si="0"/>
        <v>0</v>
      </c>
      <c r="S44" s="16">
        <f t="shared" si="5"/>
        <v>0</v>
      </c>
      <c r="T44" s="16">
        <v>1</v>
      </c>
      <c r="U44" s="16">
        <f t="shared" si="6"/>
        <v>0</v>
      </c>
      <c r="V44" s="16"/>
      <c r="W44" s="16">
        <f t="shared" si="7"/>
        <v>0</v>
      </c>
      <c r="X44" s="16">
        <f t="shared" si="8"/>
        <v>0</v>
      </c>
      <c r="Y44" s="16">
        <v>1</v>
      </c>
      <c r="Z44" s="16">
        <f t="shared" si="9"/>
        <v>0</v>
      </c>
      <c r="AA44" s="16">
        <f t="shared" si="10"/>
        <v>0</v>
      </c>
      <c r="AB44" s="16">
        <f t="shared" si="11"/>
        <v>5541.95</v>
      </c>
      <c r="AC44" s="16">
        <f t="shared" si="12"/>
        <v>2004.5833333333333</v>
      </c>
      <c r="AD44" s="16">
        <f t="shared" si="13"/>
        <v>1</v>
      </c>
      <c r="AE44" s="16">
        <f t="shared" si="14"/>
        <v>2014.5833333333333</v>
      </c>
      <c r="AF44" s="16">
        <f t="shared" si="15"/>
        <v>0</v>
      </c>
      <c r="AG44" s="16">
        <f t="shared" si="16"/>
        <v>-8.3333333333333329E-2</v>
      </c>
    </row>
    <row r="45" spans="2:33">
      <c r="B45" s="26">
        <v>25</v>
      </c>
      <c r="C45" s="27" t="s">
        <v>160</v>
      </c>
      <c r="D45" s="26">
        <v>2004</v>
      </c>
      <c r="E45" s="26">
        <v>8</v>
      </c>
      <c r="F45" s="58"/>
      <c r="H45" s="26" t="s">
        <v>51</v>
      </c>
      <c r="I45" s="26">
        <v>10</v>
      </c>
      <c r="J45" s="26">
        <f t="shared" si="1"/>
        <v>2014</v>
      </c>
      <c r="M45" s="16">
        <v>11625.9</v>
      </c>
      <c r="O45" s="16">
        <f t="shared" si="2"/>
        <v>11625.9</v>
      </c>
      <c r="P45" s="16">
        <f t="shared" si="3"/>
        <v>96.882499999999993</v>
      </c>
      <c r="Q45" s="16">
        <f t="shared" si="4"/>
        <v>0</v>
      </c>
      <c r="R45" s="16">
        <f t="shared" si="0"/>
        <v>0</v>
      </c>
      <c r="S45" s="16">
        <f t="shared" si="5"/>
        <v>0</v>
      </c>
      <c r="T45" s="16">
        <v>1</v>
      </c>
      <c r="U45" s="16">
        <f t="shared" si="6"/>
        <v>0</v>
      </c>
      <c r="V45" s="16"/>
      <c r="W45" s="16">
        <f t="shared" si="7"/>
        <v>0</v>
      </c>
      <c r="X45" s="16">
        <f t="shared" si="8"/>
        <v>0</v>
      </c>
      <c r="Y45" s="16">
        <v>1</v>
      </c>
      <c r="Z45" s="16">
        <f t="shared" si="9"/>
        <v>0</v>
      </c>
      <c r="AA45" s="16">
        <f t="shared" si="10"/>
        <v>0</v>
      </c>
      <c r="AB45" s="16">
        <f t="shared" si="11"/>
        <v>5812.95</v>
      </c>
      <c r="AC45" s="16">
        <f t="shared" si="12"/>
        <v>2004.5833333333333</v>
      </c>
      <c r="AD45" s="16">
        <f t="shared" si="13"/>
        <v>1</v>
      </c>
      <c r="AE45" s="16">
        <f t="shared" si="14"/>
        <v>2014.5833333333333</v>
      </c>
      <c r="AF45" s="16">
        <f t="shared" si="15"/>
        <v>0</v>
      </c>
      <c r="AG45" s="16">
        <f t="shared" si="16"/>
        <v>-8.3333333333333329E-2</v>
      </c>
    </row>
    <row r="46" spans="2:33">
      <c r="B46" s="26">
        <v>16</v>
      </c>
      <c r="C46" s="27" t="s">
        <v>169</v>
      </c>
      <c r="D46" s="26">
        <v>2005</v>
      </c>
      <c r="E46" s="26">
        <v>5</v>
      </c>
      <c r="F46" s="58"/>
      <c r="H46" s="26" t="s">
        <v>51</v>
      </c>
      <c r="I46" s="26">
        <v>10</v>
      </c>
      <c r="J46" s="26">
        <f t="shared" si="1"/>
        <v>2015</v>
      </c>
      <c r="M46" s="16">
        <v>6885.57</v>
      </c>
      <c r="O46" s="16">
        <f t="shared" si="2"/>
        <v>6885.57</v>
      </c>
      <c r="P46" s="16">
        <f t="shared" si="3"/>
        <v>57.379750000000001</v>
      </c>
      <c r="Q46" s="16">
        <f t="shared" si="4"/>
        <v>0</v>
      </c>
      <c r="R46" s="16">
        <f t="shared" si="0"/>
        <v>0</v>
      </c>
      <c r="S46" s="16">
        <f t="shared" si="5"/>
        <v>0</v>
      </c>
      <c r="T46" s="16">
        <v>1</v>
      </c>
      <c r="U46" s="16">
        <f t="shared" si="6"/>
        <v>0</v>
      </c>
      <c r="V46" s="16"/>
      <c r="W46" s="16">
        <f t="shared" si="7"/>
        <v>0</v>
      </c>
      <c r="X46" s="16">
        <f t="shared" si="8"/>
        <v>0</v>
      </c>
      <c r="Y46" s="16">
        <v>1</v>
      </c>
      <c r="Z46" s="16">
        <f t="shared" si="9"/>
        <v>0</v>
      </c>
      <c r="AA46" s="16">
        <f t="shared" si="10"/>
        <v>0</v>
      </c>
      <c r="AB46" s="16">
        <f t="shared" si="11"/>
        <v>3442.7849999999999</v>
      </c>
      <c r="AC46" s="16">
        <f t="shared" si="12"/>
        <v>2005.3333333333333</v>
      </c>
      <c r="AD46" s="16">
        <f t="shared" si="13"/>
        <v>1</v>
      </c>
      <c r="AE46" s="16">
        <f t="shared" si="14"/>
        <v>2015.3333333333333</v>
      </c>
      <c r="AF46" s="16">
        <f t="shared" si="15"/>
        <v>0</v>
      </c>
      <c r="AG46" s="16">
        <f t="shared" si="16"/>
        <v>-8.3333333333333329E-2</v>
      </c>
    </row>
    <row r="47" spans="2:33">
      <c r="B47" s="26">
        <v>16</v>
      </c>
      <c r="C47" s="27" t="s">
        <v>170</v>
      </c>
      <c r="D47" s="26">
        <v>2005</v>
      </c>
      <c r="E47" s="26">
        <v>5</v>
      </c>
      <c r="F47" s="58"/>
      <c r="H47" s="26" t="s">
        <v>51</v>
      </c>
      <c r="I47" s="26">
        <v>10</v>
      </c>
      <c r="J47" s="26">
        <f t="shared" si="1"/>
        <v>2015</v>
      </c>
      <c r="M47" s="16">
        <v>7561.98</v>
      </c>
      <c r="O47" s="16">
        <f t="shared" si="2"/>
        <v>7561.98</v>
      </c>
      <c r="P47" s="16">
        <f t="shared" si="3"/>
        <v>63.016500000000001</v>
      </c>
      <c r="Q47" s="16">
        <f t="shared" si="4"/>
        <v>0</v>
      </c>
      <c r="R47" s="16">
        <f t="shared" si="0"/>
        <v>0</v>
      </c>
      <c r="S47" s="16">
        <f t="shared" si="5"/>
        <v>0</v>
      </c>
      <c r="T47" s="16">
        <v>1</v>
      </c>
      <c r="U47" s="16">
        <f t="shared" si="6"/>
        <v>0</v>
      </c>
      <c r="V47" s="16"/>
      <c r="W47" s="16">
        <f t="shared" si="7"/>
        <v>0</v>
      </c>
      <c r="X47" s="16">
        <f t="shared" si="8"/>
        <v>0</v>
      </c>
      <c r="Y47" s="16">
        <v>1</v>
      </c>
      <c r="Z47" s="16">
        <f t="shared" si="9"/>
        <v>0</v>
      </c>
      <c r="AA47" s="16">
        <f t="shared" si="10"/>
        <v>0</v>
      </c>
      <c r="AB47" s="16">
        <f t="shared" si="11"/>
        <v>3780.99</v>
      </c>
      <c r="AC47" s="16">
        <f t="shared" si="12"/>
        <v>2005.3333333333333</v>
      </c>
      <c r="AD47" s="16">
        <f t="shared" si="13"/>
        <v>1</v>
      </c>
      <c r="AE47" s="16">
        <f t="shared" si="14"/>
        <v>2015.3333333333333</v>
      </c>
      <c r="AF47" s="16">
        <f t="shared" si="15"/>
        <v>0</v>
      </c>
      <c r="AG47" s="16">
        <f t="shared" si="16"/>
        <v>-8.3333333333333329E-2</v>
      </c>
    </row>
    <row r="48" spans="2:33">
      <c r="B48" s="26">
        <v>11</v>
      </c>
      <c r="C48" s="27" t="s">
        <v>171</v>
      </c>
      <c r="D48" s="26">
        <v>2005</v>
      </c>
      <c r="E48" s="26">
        <v>5</v>
      </c>
      <c r="F48" s="58"/>
      <c r="H48" s="26" t="s">
        <v>51</v>
      </c>
      <c r="I48" s="26">
        <v>10</v>
      </c>
      <c r="J48" s="26">
        <f t="shared" si="1"/>
        <v>2015</v>
      </c>
      <c r="M48" s="16">
        <v>6737.06</v>
      </c>
      <c r="O48" s="16">
        <f t="shared" si="2"/>
        <v>6737.06</v>
      </c>
      <c r="P48" s="16">
        <f t="shared" si="3"/>
        <v>56.142166666666668</v>
      </c>
      <c r="Q48" s="16">
        <f t="shared" si="4"/>
        <v>0</v>
      </c>
      <c r="R48" s="16">
        <f t="shared" si="0"/>
        <v>0</v>
      </c>
      <c r="S48" s="16">
        <f t="shared" si="5"/>
        <v>0</v>
      </c>
      <c r="T48" s="16">
        <v>1</v>
      </c>
      <c r="U48" s="16">
        <f t="shared" si="6"/>
        <v>0</v>
      </c>
      <c r="V48" s="16"/>
      <c r="W48" s="16">
        <f t="shared" si="7"/>
        <v>0</v>
      </c>
      <c r="X48" s="16">
        <f t="shared" si="8"/>
        <v>0</v>
      </c>
      <c r="Y48" s="16">
        <v>1</v>
      </c>
      <c r="Z48" s="16">
        <f t="shared" si="9"/>
        <v>0</v>
      </c>
      <c r="AA48" s="16">
        <f t="shared" si="10"/>
        <v>0</v>
      </c>
      <c r="AB48" s="16">
        <f t="shared" si="11"/>
        <v>3368.53</v>
      </c>
      <c r="AC48" s="16">
        <f t="shared" si="12"/>
        <v>2005.3333333333333</v>
      </c>
      <c r="AD48" s="16">
        <f t="shared" si="13"/>
        <v>1</v>
      </c>
      <c r="AE48" s="16">
        <f t="shared" si="14"/>
        <v>2015.3333333333333</v>
      </c>
      <c r="AF48" s="16">
        <f t="shared" si="15"/>
        <v>0</v>
      </c>
      <c r="AG48" s="16">
        <f t="shared" si="16"/>
        <v>-8.3333333333333329E-2</v>
      </c>
    </row>
    <row r="49" spans="2:33">
      <c r="B49" s="26">
        <v>11</v>
      </c>
      <c r="C49" s="27" t="s">
        <v>172</v>
      </c>
      <c r="D49" s="26">
        <v>2005</v>
      </c>
      <c r="E49" s="26">
        <v>5</v>
      </c>
      <c r="F49" s="58"/>
      <c r="H49" s="26" t="s">
        <v>51</v>
      </c>
      <c r="I49" s="26">
        <v>10</v>
      </c>
      <c r="J49" s="26">
        <f t="shared" si="1"/>
        <v>2015</v>
      </c>
      <c r="M49" s="16">
        <v>8692.6</v>
      </c>
      <c r="O49" s="16">
        <f t="shared" si="2"/>
        <v>8692.6</v>
      </c>
      <c r="P49" s="16">
        <f t="shared" si="3"/>
        <v>72.438333333333333</v>
      </c>
      <c r="Q49" s="16">
        <f t="shared" si="4"/>
        <v>0</v>
      </c>
      <c r="R49" s="16">
        <f t="shared" si="0"/>
        <v>0</v>
      </c>
      <c r="S49" s="16">
        <f t="shared" si="5"/>
        <v>0</v>
      </c>
      <c r="T49" s="16">
        <v>1</v>
      </c>
      <c r="U49" s="16">
        <f t="shared" si="6"/>
        <v>0</v>
      </c>
      <c r="V49" s="16"/>
      <c r="W49" s="16">
        <f t="shared" si="7"/>
        <v>0</v>
      </c>
      <c r="X49" s="16">
        <f t="shared" si="8"/>
        <v>0</v>
      </c>
      <c r="Y49" s="16">
        <v>1</v>
      </c>
      <c r="Z49" s="16">
        <f t="shared" si="9"/>
        <v>0</v>
      </c>
      <c r="AA49" s="16">
        <f t="shared" si="10"/>
        <v>0</v>
      </c>
      <c r="AB49" s="16">
        <f t="shared" si="11"/>
        <v>4346.3</v>
      </c>
      <c r="AC49" s="16">
        <f t="shared" si="12"/>
        <v>2005.3333333333333</v>
      </c>
      <c r="AD49" s="16">
        <f t="shared" si="13"/>
        <v>1</v>
      </c>
      <c r="AE49" s="16">
        <f t="shared" si="14"/>
        <v>2015.3333333333333</v>
      </c>
      <c r="AF49" s="16">
        <f t="shared" si="15"/>
        <v>0</v>
      </c>
      <c r="AG49" s="16">
        <f t="shared" si="16"/>
        <v>-8.3333333333333329E-2</v>
      </c>
    </row>
    <row r="50" spans="2:33">
      <c r="B50" s="26">
        <v>25</v>
      </c>
      <c r="C50" s="27" t="s">
        <v>175</v>
      </c>
      <c r="D50" s="26">
        <v>2005</v>
      </c>
      <c r="E50" s="26">
        <v>6</v>
      </c>
      <c r="F50" s="58"/>
      <c r="H50" s="26" t="s">
        <v>51</v>
      </c>
      <c r="I50" s="26">
        <v>10</v>
      </c>
      <c r="J50" s="26">
        <f t="shared" si="1"/>
        <v>2015</v>
      </c>
      <c r="M50" s="16">
        <v>11478.4</v>
      </c>
      <c r="O50" s="16">
        <f t="shared" si="2"/>
        <v>11478.4</v>
      </c>
      <c r="P50" s="16">
        <f t="shared" si="3"/>
        <v>95.653333333333322</v>
      </c>
      <c r="Q50" s="16">
        <f t="shared" si="4"/>
        <v>0</v>
      </c>
      <c r="R50" s="16">
        <f t="shared" si="0"/>
        <v>0</v>
      </c>
      <c r="S50" s="16">
        <f t="shared" si="5"/>
        <v>0</v>
      </c>
      <c r="T50" s="16">
        <v>1</v>
      </c>
      <c r="U50" s="16">
        <f t="shared" si="6"/>
        <v>0</v>
      </c>
      <c r="V50" s="16"/>
      <c r="W50" s="16">
        <f t="shared" si="7"/>
        <v>0</v>
      </c>
      <c r="X50" s="16">
        <f t="shared" si="8"/>
        <v>0</v>
      </c>
      <c r="Y50" s="16">
        <v>1</v>
      </c>
      <c r="Z50" s="16">
        <f t="shared" si="9"/>
        <v>0</v>
      </c>
      <c r="AA50" s="16">
        <f t="shared" si="10"/>
        <v>0</v>
      </c>
      <c r="AB50" s="16">
        <f t="shared" si="11"/>
        <v>5739.2</v>
      </c>
      <c r="AC50" s="16">
        <f t="shared" si="12"/>
        <v>2005.4166666666667</v>
      </c>
      <c r="AD50" s="16">
        <f t="shared" si="13"/>
        <v>1</v>
      </c>
      <c r="AE50" s="16">
        <f t="shared" si="14"/>
        <v>2015.4166666666667</v>
      </c>
      <c r="AF50" s="16">
        <f t="shared" si="15"/>
        <v>0</v>
      </c>
      <c r="AG50" s="16">
        <f t="shared" si="16"/>
        <v>-8.3333333333333329E-2</v>
      </c>
    </row>
    <row r="51" spans="2:33">
      <c r="B51" s="26">
        <v>40</v>
      </c>
      <c r="C51" s="27" t="s">
        <v>169</v>
      </c>
      <c r="D51" s="26">
        <v>2005</v>
      </c>
      <c r="E51" s="26">
        <v>6</v>
      </c>
      <c r="F51" s="58"/>
      <c r="H51" s="26" t="s">
        <v>51</v>
      </c>
      <c r="I51" s="26">
        <v>10</v>
      </c>
      <c r="J51" s="26">
        <f t="shared" si="1"/>
        <v>2015</v>
      </c>
      <c r="M51" s="16">
        <v>18017.28</v>
      </c>
      <c r="O51" s="16">
        <f t="shared" si="2"/>
        <v>18017.28</v>
      </c>
      <c r="P51" s="16">
        <f t="shared" si="3"/>
        <v>150.14399999999998</v>
      </c>
      <c r="Q51" s="16">
        <f t="shared" si="4"/>
        <v>0</v>
      </c>
      <c r="R51" s="16">
        <f t="shared" si="0"/>
        <v>0</v>
      </c>
      <c r="S51" s="16">
        <f t="shared" si="5"/>
        <v>0</v>
      </c>
      <c r="T51" s="16">
        <v>1</v>
      </c>
      <c r="U51" s="16">
        <f t="shared" si="6"/>
        <v>0</v>
      </c>
      <c r="V51" s="16"/>
      <c r="W51" s="16">
        <f t="shared" si="7"/>
        <v>0</v>
      </c>
      <c r="X51" s="16">
        <f t="shared" si="8"/>
        <v>0</v>
      </c>
      <c r="Y51" s="16">
        <v>1</v>
      </c>
      <c r="Z51" s="16">
        <f t="shared" si="9"/>
        <v>0</v>
      </c>
      <c r="AA51" s="16">
        <f t="shared" si="10"/>
        <v>0</v>
      </c>
      <c r="AB51" s="16">
        <f t="shared" si="11"/>
        <v>9008.64</v>
      </c>
      <c r="AC51" s="16">
        <f t="shared" si="12"/>
        <v>2005.4166666666667</v>
      </c>
      <c r="AD51" s="16">
        <f t="shared" si="13"/>
        <v>1</v>
      </c>
      <c r="AE51" s="16">
        <f t="shared" si="14"/>
        <v>2015.4166666666667</v>
      </c>
      <c r="AF51" s="16">
        <f t="shared" si="15"/>
        <v>0</v>
      </c>
      <c r="AG51" s="16">
        <f t="shared" si="16"/>
        <v>-8.3333333333333329E-2</v>
      </c>
    </row>
    <row r="52" spans="2:33">
      <c r="B52" s="26">
        <v>40</v>
      </c>
      <c r="C52" s="27" t="s">
        <v>170</v>
      </c>
      <c r="D52" s="26">
        <v>2005</v>
      </c>
      <c r="E52" s="26">
        <v>6</v>
      </c>
      <c r="F52" s="58"/>
      <c r="H52" s="26" t="s">
        <v>51</v>
      </c>
      <c r="I52" s="26">
        <v>10</v>
      </c>
      <c r="J52" s="26">
        <f t="shared" si="1"/>
        <v>2015</v>
      </c>
      <c r="M52" s="16">
        <v>18931.2</v>
      </c>
      <c r="O52" s="16">
        <f t="shared" si="2"/>
        <v>18931.2</v>
      </c>
      <c r="P52" s="16">
        <f t="shared" si="3"/>
        <v>157.76000000000002</v>
      </c>
      <c r="Q52" s="16">
        <f t="shared" si="4"/>
        <v>0</v>
      </c>
      <c r="R52" s="16">
        <f t="shared" si="0"/>
        <v>0</v>
      </c>
      <c r="S52" s="16">
        <f t="shared" si="5"/>
        <v>0</v>
      </c>
      <c r="T52" s="16">
        <v>1</v>
      </c>
      <c r="U52" s="16">
        <f t="shared" si="6"/>
        <v>0</v>
      </c>
      <c r="V52" s="16"/>
      <c r="W52" s="16">
        <f t="shared" si="7"/>
        <v>0</v>
      </c>
      <c r="X52" s="16">
        <f t="shared" si="8"/>
        <v>0</v>
      </c>
      <c r="Y52" s="16">
        <v>1</v>
      </c>
      <c r="Z52" s="16">
        <f t="shared" si="9"/>
        <v>0</v>
      </c>
      <c r="AA52" s="16">
        <f t="shared" si="10"/>
        <v>0</v>
      </c>
      <c r="AB52" s="16">
        <f t="shared" si="11"/>
        <v>9465.6</v>
      </c>
      <c r="AC52" s="16">
        <f t="shared" si="12"/>
        <v>2005.4166666666667</v>
      </c>
      <c r="AD52" s="16">
        <f t="shared" si="13"/>
        <v>1</v>
      </c>
      <c r="AE52" s="16">
        <f t="shared" si="14"/>
        <v>2015.4166666666667</v>
      </c>
      <c r="AF52" s="16">
        <f t="shared" si="15"/>
        <v>0</v>
      </c>
      <c r="AG52" s="16">
        <f t="shared" si="16"/>
        <v>-8.3333333333333329E-2</v>
      </c>
    </row>
    <row r="53" spans="2:33">
      <c r="B53" s="26">
        <v>25</v>
      </c>
      <c r="C53" s="27" t="s">
        <v>169</v>
      </c>
      <c r="D53" s="26">
        <v>2005</v>
      </c>
      <c r="E53" s="26">
        <v>7</v>
      </c>
      <c r="F53" s="58"/>
      <c r="H53" s="26" t="s">
        <v>51</v>
      </c>
      <c r="I53" s="26">
        <v>10</v>
      </c>
      <c r="J53" s="26">
        <f t="shared" si="1"/>
        <v>2015</v>
      </c>
      <c r="M53" s="16">
        <v>10758.7</v>
      </c>
      <c r="O53" s="16">
        <f t="shared" si="2"/>
        <v>10758.7</v>
      </c>
      <c r="P53" s="16">
        <f t="shared" si="3"/>
        <v>89.655833333333348</v>
      </c>
      <c r="Q53" s="16">
        <f t="shared" si="4"/>
        <v>0</v>
      </c>
      <c r="R53" s="16">
        <f t="shared" si="0"/>
        <v>0</v>
      </c>
      <c r="S53" s="16">
        <f t="shared" si="5"/>
        <v>0</v>
      </c>
      <c r="T53" s="16">
        <v>1</v>
      </c>
      <c r="U53" s="16">
        <f t="shared" si="6"/>
        <v>0</v>
      </c>
      <c r="V53" s="16"/>
      <c r="W53" s="16">
        <f t="shared" si="7"/>
        <v>0</v>
      </c>
      <c r="X53" s="16">
        <f t="shared" si="8"/>
        <v>0</v>
      </c>
      <c r="Y53" s="16">
        <v>1</v>
      </c>
      <c r="Z53" s="16">
        <f t="shared" si="9"/>
        <v>0</v>
      </c>
      <c r="AA53" s="16">
        <f t="shared" si="10"/>
        <v>0</v>
      </c>
      <c r="AB53" s="16">
        <f t="shared" si="11"/>
        <v>5379.35</v>
      </c>
      <c r="AC53" s="16">
        <f t="shared" si="12"/>
        <v>2005.5</v>
      </c>
      <c r="AD53" s="16">
        <f t="shared" si="13"/>
        <v>1</v>
      </c>
      <c r="AE53" s="16">
        <f t="shared" si="14"/>
        <v>2015.5</v>
      </c>
      <c r="AF53" s="16">
        <f t="shared" si="15"/>
        <v>0</v>
      </c>
      <c r="AG53" s="16">
        <f t="shared" si="16"/>
        <v>-8.3333333333333329E-2</v>
      </c>
    </row>
    <row r="54" spans="2:33">
      <c r="B54" s="26">
        <v>25</v>
      </c>
      <c r="C54" s="27" t="s">
        <v>170</v>
      </c>
      <c r="D54" s="26">
        <v>2005</v>
      </c>
      <c r="E54" s="26">
        <v>7</v>
      </c>
      <c r="F54" s="58"/>
      <c r="H54" s="26" t="s">
        <v>51</v>
      </c>
      <c r="I54" s="26">
        <v>10</v>
      </c>
      <c r="J54" s="26">
        <f t="shared" si="1"/>
        <v>2015</v>
      </c>
      <c r="M54" s="16">
        <v>11815.6</v>
      </c>
      <c r="O54" s="16">
        <f t="shared" si="2"/>
        <v>11815.6</v>
      </c>
      <c r="P54" s="16">
        <f t="shared" si="3"/>
        <v>98.463333333333324</v>
      </c>
      <c r="Q54" s="16">
        <f t="shared" si="4"/>
        <v>0</v>
      </c>
      <c r="R54" s="16">
        <f t="shared" si="0"/>
        <v>0</v>
      </c>
      <c r="S54" s="16">
        <f t="shared" si="5"/>
        <v>0</v>
      </c>
      <c r="T54" s="16">
        <v>1</v>
      </c>
      <c r="U54" s="16">
        <f t="shared" si="6"/>
        <v>0</v>
      </c>
      <c r="V54" s="16"/>
      <c r="W54" s="16">
        <f t="shared" si="7"/>
        <v>0</v>
      </c>
      <c r="X54" s="16">
        <f t="shared" si="8"/>
        <v>0</v>
      </c>
      <c r="Y54" s="16">
        <v>1</v>
      </c>
      <c r="Z54" s="16">
        <f t="shared" si="9"/>
        <v>0</v>
      </c>
      <c r="AA54" s="16">
        <f t="shared" si="10"/>
        <v>0</v>
      </c>
      <c r="AB54" s="16">
        <f t="shared" si="11"/>
        <v>5907.8</v>
      </c>
      <c r="AC54" s="16">
        <f t="shared" si="12"/>
        <v>2005.5</v>
      </c>
      <c r="AD54" s="16">
        <f t="shared" si="13"/>
        <v>1</v>
      </c>
      <c r="AE54" s="16">
        <f t="shared" si="14"/>
        <v>2015.5</v>
      </c>
      <c r="AF54" s="16">
        <f t="shared" si="15"/>
        <v>0</v>
      </c>
      <c r="AG54" s="16">
        <f t="shared" si="16"/>
        <v>-8.3333333333333329E-2</v>
      </c>
    </row>
    <row r="55" spans="2:33">
      <c r="B55" s="26">
        <v>28</v>
      </c>
      <c r="C55" s="27" t="s">
        <v>175</v>
      </c>
      <c r="D55" s="26">
        <v>2006</v>
      </c>
      <c r="E55" s="26">
        <v>3</v>
      </c>
      <c r="F55" s="58"/>
      <c r="H55" s="26" t="s">
        <v>51</v>
      </c>
      <c r="I55" s="26">
        <v>10</v>
      </c>
      <c r="J55" s="26">
        <f t="shared" si="1"/>
        <v>2016</v>
      </c>
      <c r="M55" s="16">
        <v>12551.17</v>
      </c>
      <c r="O55" s="16">
        <f t="shared" si="2"/>
        <v>12551.17</v>
      </c>
      <c r="P55" s="16">
        <f t="shared" si="3"/>
        <v>104.59308333333333</v>
      </c>
      <c r="Q55" s="16">
        <f t="shared" si="4"/>
        <v>0</v>
      </c>
      <c r="R55" s="16">
        <f t="shared" si="0"/>
        <v>0</v>
      </c>
      <c r="S55" s="16">
        <f t="shared" si="5"/>
        <v>0</v>
      </c>
      <c r="T55" s="16">
        <v>1</v>
      </c>
      <c r="U55" s="16">
        <f t="shared" si="6"/>
        <v>0</v>
      </c>
      <c r="V55" s="16"/>
      <c r="W55" s="16">
        <f t="shared" si="7"/>
        <v>0</v>
      </c>
      <c r="X55" s="16">
        <f t="shared" si="8"/>
        <v>0</v>
      </c>
      <c r="Y55" s="16">
        <v>1</v>
      </c>
      <c r="Z55" s="16">
        <f t="shared" si="9"/>
        <v>0</v>
      </c>
      <c r="AA55" s="16">
        <f t="shared" si="10"/>
        <v>0</v>
      </c>
      <c r="AB55" s="16">
        <f t="shared" si="11"/>
        <v>6275.585</v>
      </c>
      <c r="AC55" s="16">
        <f t="shared" si="12"/>
        <v>2006.1666666666667</v>
      </c>
      <c r="AD55" s="16">
        <f t="shared" si="13"/>
        <v>1</v>
      </c>
      <c r="AE55" s="16">
        <f t="shared" si="14"/>
        <v>2016.1666666666667</v>
      </c>
      <c r="AF55" s="16">
        <f t="shared" si="15"/>
        <v>0</v>
      </c>
      <c r="AG55" s="16">
        <f t="shared" si="16"/>
        <v>-8.3333333333333329E-2</v>
      </c>
    </row>
    <row r="56" spans="2:33">
      <c r="B56" s="26">
        <v>18</v>
      </c>
      <c r="C56" s="27" t="s">
        <v>175</v>
      </c>
      <c r="D56" s="26">
        <v>2006</v>
      </c>
      <c r="E56" s="26">
        <v>3</v>
      </c>
      <c r="F56" s="58"/>
      <c r="H56" s="26" t="s">
        <v>51</v>
      </c>
      <c r="I56" s="26">
        <v>10</v>
      </c>
      <c r="J56" s="26">
        <f t="shared" si="1"/>
        <v>2016</v>
      </c>
      <c r="M56" s="16">
        <v>8068.61</v>
      </c>
      <c r="O56" s="16">
        <f t="shared" si="2"/>
        <v>8068.61</v>
      </c>
      <c r="P56" s="16">
        <f t="shared" si="3"/>
        <v>67.238416666666666</v>
      </c>
      <c r="Q56" s="16">
        <f t="shared" si="4"/>
        <v>0</v>
      </c>
      <c r="R56" s="16">
        <f t="shared" si="0"/>
        <v>0</v>
      </c>
      <c r="S56" s="16">
        <f t="shared" si="5"/>
        <v>0</v>
      </c>
      <c r="T56" s="16">
        <v>1</v>
      </c>
      <c r="U56" s="16">
        <f t="shared" si="6"/>
        <v>0</v>
      </c>
      <c r="V56" s="16"/>
      <c r="W56" s="16">
        <f t="shared" si="7"/>
        <v>0</v>
      </c>
      <c r="X56" s="16">
        <f t="shared" si="8"/>
        <v>0</v>
      </c>
      <c r="Y56" s="16">
        <v>1</v>
      </c>
      <c r="Z56" s="16">
        <f t="shared" si="9"/>
        <v>0</v>
      </c>
      <c r="AA56" s="16">
        <f t="shared" si="10"/>
        <v>0</v>
      </c>
      <c r="AB56" s="16">
        <f t="shared" si="11"/>
        <v>4034.3049999999998</v>
      </c>
      <c r="AC56" s="16">
        <f t="shared" si="12"/>
        <v>2006.1666666666667</v>
      </c>
      <c r="AD56" s="16">
        <f t="shared" si="13"/>
        <v>1</v>
      </c>
      <c r="AE56" s="16">
        <f t="shared" si="14"/>
        <v>2016.1666666666667</v>
      </c>
      <c r="AF56" s="16">
        <f t="shared" si="15"/>
        <v>0</v>
      </c>
      <c r="AG56" s="16">
        <f t="shared" si="16"/>
        <v>-8.3333333333333329E-2</v>
      </c>
    </row>
    <row r="57" spans="2:33">
      <c r="B57" s="26">
        <v>18</v>
      </c>
      <c r="C57" s="27" t="s">
        <v>169</v>
      </c>
      <c r="D57" s="26">
        <v>2006</v>
      </c>
      <c r="E57" s="26">
        <v>3</v>
      </c>
      <c r="F57" s="58"/>
      <c r="H57" s="26" t="s">
        <v>51</v>
      </c>
      <c r="I57" s="26">
        <v>10</v>
      </c>
      <c r="J57" s="26">
        <f t="shared" si="1"/>
        <v>2016</v>
      </c>
      <c r="M57" s="16">
        <v>7872.77</v>
      </c>
      <c r="O57" s="16">
        <f t="shared" si="2"/>
        <v>7872.77</v>
      </c>
      <c r="P57" s="16">
        <f t="shared" si="3"/>
        <v>65.606416666666675</v>
      </c>
      <c r="Q57" s="16">
        <f t="shared" si="4"/>
        <v>0</v>
      </c>
      <c r="R57" s="16">
        <f t="shared" si="0"/>
        <v>0</v>
      </c>
      <c r="S57" s="16">
        <f t="shared" si="5"/>
        <v>0</v>
      </c>
      <c r="T57" s="16">
        <v>1</v>
      </c>
      <c r="U57" s="16">
        <f t="shared" si="6"/>
        <v>0</v>
      </c>
      <c r="V57" s="16"/>
      <c r="W57" s="16">
        <f t="shared" si="7"/>
        <v>0</v>
      </c>
      <c r="X57" s="16">
        <f t="shared" si="8"/>
        <v>0</v>
      </c>
      <c r="Y57" s="16">
        <v>1</v>
      </c>
      <c r="Z57" s="16">
        <f t="shared" si="9"/>
        <v>0</v>
      </c>
      <c r="AA57" s="16">
        <f t="shared" si="10"/>
        <v>0</v>
      </c>
      <c r="AB57" s="16">
        <f t="shared" si="11"/>
        <v>3936.3850000000002</v>
      </c>
      <c r="AC57" s="16">
        <f t="shared" si="12"/>
        <v>2006.1666666666667</v>
      </c>
      <c r="AD57" s="16">
        <f t="shared" si="13"/>
        <v>1</v>
      </c>
      <c r="AE57" s="16">
        <f t="shared" si="14"/>
        <v>2016.1666666666667</v>
      </c>
      <c r="AF57" s="16">
        <f t="shared" si="15"/>
        <v>0</v>
      </c>
      <c r="AG57" s="16">
        <f t="shared" si="16"/>
        <v>-8.3333333333333329E-2</v>
      </c>
    </row>
    <row r="58" spans="2:33">
      <c r="B58" s="26">
        <v>28</v>
      </c>
      <c r="C58" s="27" t="s">
        <v>170</v>
      </c>
      <c r="D58" s="26">
        <v>2006</v>
      </c>
      <c r="E58" s="26">
        <v>3</v>
      </c>
      <c r="F58" s="58"/>
      <c r="H58" s="26" t="s">
        <v>51</v>
      </c>
      <c r="I58" s="26">
        <v>10</v>
      </c>
      <c r="J58" s="26">
        <f t="shared" si="1"/>
        <v>2016</v>
      </c>
      <c r="M58" s="16">
        <v>13251.84</v>
      </c>
      <c r="O58" s="16">
        <f t="shared" si="2"/>
        <v>13251.84</v>
      </c>
      <c r="P58" s="16">
        <f t="shared" si="3"/>
        <v>110.432</v>
      </c>
      <c r="Q58" s="16">
        <f t="shared" si="4"/>
        <v>0</v>
      </c>
      <c r="R58" s="16">
        <f t="shared" si="0"/>
        <v>0</v>
      </c>
      <c r="S58" s="16">
        <f t="shared" si="5"/>
        <v>0</v>
      </c>
      <c r="T58" s="16">
        <v>1</v>
      </c>
      <c r="U58" s="16">
        <f t="shared" si="6"/>
        <v>0</v>
      </c>
      <c r="V58" s="16"/>
      <c r="W58" s="16">
        <f t="shared" si="7"/>
        <v>0</v>
      </c>
      <c r="X58" s="16">
        <f t="shared" si="8"/>
        <v>0</v>
      </c>
      <c r="Y58" s="16">
        <v>1</v>
      </c>
      <c r="Z58" s="16">
        <f t="shared" si="9"/>
        <v>0</v>
      </c>
      <c r="AA58" s="16">
        <f t="shared" si="10"/>
        <v>0</v>
      </c>
      <c r="AB58" s="16">
        <f t="shared" si="11"/>
        <v>6625.92</v>
      </c>
      <c r="AC58" s="16">
        <f t="shared" si="12"/>
        <v>2006.1666666666667</v>
      </c>
      <c r="AD58" s="16">
        <f t="shared" si="13"/>
        <v>1</v>
      </c>
      <c r="AE58" s="16">
        <f t="shared" si="14"/>
        <v>2016.1666666666667</v>
      </c>
      <c r="AF58" s="16">
        <f t="shared" si="15"/>
        <v>0</v>
      </c>
      <c r="AG58" s="16">
        <f t="shared" si="16"/>
        <v>-8.3333333333333329E-2</v>
      </c>
    </row>
    <row r="59" spans="2:33">
      <c r="B59" s="26">
        <v>20</v>
      </c>
      <c r="C59" s="27" t="s">
        <v>170</v>
      </c>
      <c r="D59" s="26">
        <v>2006</v>
      </c>
      <c r="E59" s="26">
        <v>3</v>
      </c>
      <c r="F59" s="58"/>
      <c r="H59" s="26" t="s">
        <v>51</v>
      </c>
      <c r="I59" s="26">
        <v>10</v>
      </c>
      <c r="J59" s="26">
        <f t="shared" si="1"/>
        <v>2016</v>
      </c>
      <c r="M59" s="16">
        <v>9465.6</v>
      </c>
      <c r="O59" s="16">
        <f t="shared" si="2"/>
        <v>9465.6</v>
      </c>
      <c r="P59" s="16">
        <f t="shared" si="3"/>
        <v>78.88000000000001</v>
      </c>
      <c r="Q59" s="16">
        <f t="shared" si="4"/>
        <v>0</v>
      </c>
      <c r="R59" s="16">
        <f t="shared" si="0"/>
        <v>0</v>
      </c>
      <c r="S59" s="16">
        <f t="shared" si="5"/>
        <v>0</v>
      </c>
      <c r="T59" s="16">
        <v>1</v>
      </c>
      <c r="U59" s="16">
        <f t="shared" si="6"/>
        <v>0</v>
      </c>
      <c r="V59" s="16"/>
      <c r="W59" s="16">
        <f t="shared" si="7"/>
        <v>0</v>
      </c>
      <c r="X59" s="16">
        <f t="shared" si="8"/>
        <v>0</v>
      </c>
      <c r="Y59" s="16">
        <v>1</v>
      </c>
      <c r="Z59" s="16">
        <f t="shared" si="9"/>
        <v>0</v>
      </c>
      <c r="AA59" s="16">
        <f t="shared" si="10"/>
        <v>0</v>
      </c>
      <c r="AB59" s="16">
        <f t="shared" si="11"/>
        <v>4732.8</v>
      </c>
      <c r="AC59" s="16">
        <f t="shared" si="12"/>
        <v>2006.1666666666667</v>
      </c>
      <c r="AD59" s="16">
        <f t="shared" si="13"/>
        <v>1</v>
      </c>
      <c r="AE59" s="16">
        <f t="shared" si="14"/>
        <v>2016.1666666666667</v>
      </c>
      <c r="AF59" s="16">
        <f t="shared" si="15"/>
        <v>0</v>
      </c>
      <c r="AG59" s="16">
        <f t="shared" si="16"/>
        <v>-8.3333333333333329E-2</v>
      </c>
    </row>
    <row r="60" spans="2:33">
      <c r="B60" s="26">
        <v>17</v>
      </c>
      <c r="C60" s="27" t="s">
        <v>169</v>
      </c>
      <c r="D60" s="26">
        <v>2007</v>
      </c>
      <c r="E60" s="26">
        <v>6</v>
      </c>
      <c r="F60" s="58"/>
      <c r="H60" s="26" t="s">
        <v>51</v>
      </c>
      <c r="I60" s="26">
        <v>10</v>
      </c>
      <c r="J60" s="26">
        <f t="shared" si="1"/>
        <v>2017</v>
      </c>
      <c r="M60" s="16">
        <v>7334.34</v>
      </c>
      <c r="O60" s="16">
        <f t="shared" si="2"/>
        <v>7334.34</v>
      </c>
      <c r="P60" s="16">
        <f t="shared" si="3"/>
        <v>61.119499999999995</v>
      </c>
      <c r="Q60" s="16">
        <f t="shared" si="4"/>
        <v>0</v>
      </c>
      <c r="R60" s="16">
        <f t="shared" si="0"/>
        <v>0</v>
      </c>
      <c r="S60" s="16">
        <f t="shared" si="5"/>
        <v>0</v>
      </c>
      <c r="T60" s="16">
        <v>1</v>
      </c>
      <c r="U60" s="16">
        <f t="shared" si="6"/>
        <v>0</v>
      </c>
      <c r="V60" s="16"/>
      <c r="W60" s="16">
        <f t="shared" si="7"/>
        <v>0</v>
      </c>
      <c r="X60" s="16">
        <f t="shared" si="8"/>
        <v>0</v>
      </c>
      <c r="Y60" s="16">
        <v>1</v>
      </c>
      <c r="Z60" s="16">
        <f t="shared" si="9"/>
        <v>0</v>
      </c>
      <c r="AA60" s="16">
        <f t="shared" si="10"/>
        <v>0</v>
      </c>
      <c r="AB60" s="16">
        <f t="shared" si="11"/>
        <v>3667.17</v>
      </c>
      <c r="AC60" s="16">
        <f t="shared" si="12"/>
        <v>2007.4166666666667</v>
      </c>
      <c r="AD60" s="16">
        <f t="shared" si="13"/>
        <v>1</v>
      </c>
      <c r="AE60" s="16">
        <f t="shared" si="14"/>
        <v>2017.4166666666667</v>
      </c>
      <c r="AF60" s="16">
        <f t="shared" si="15"/>
        <v>0</v>
      </c>
      <c r="AG60" s="16">
        <f t="shared" si="16"/>
        <v>-8.3333333333333329E-2</v>
      </c>
    </row>
    <row r="61" spans="2:33">
      <c r="B61" s="26">
        <v>40</v>
      </c>
      <c r="C61" s="27" t="s">
        <v>170</v>
      </c>
      <c r="D61" s="26">
        <v>2007</v>
      </c>
      <c r="E61" s="26">
        <v>6</v>
      </c>
      <c r="F61" s="58"/>
      <c r="H61" s="26" t="s">
        <v>51</v>
      </c>
      <c r="I61" s="26">
        <v>10</v>
      </c>
      <c r="J61" s="26">
        <f t="shared" si="1"/>
        <v>2017</v>
      </c>
      <c r="M61" s="16">
        <v>18037.759999999998</v>
      </c>
      <c r="O61" s="16">
        <f t="shared" si="2"/>
        <v>18037.759999999998</v>
      </c>
      <c r="P61" s="16">
        <f t="shared" si="3"/>
        <v>150.31466666666665</v>
      </c>
      <c r="Q61" s="16">
        <f t="shared" si="4"/>
        <v>0</v>
      </c>
      <c r="R61" s="16">
        <f t="shared" si="0"/>
        <v>0</v>
      </c>
      <c r="S61" s="16">
        <f t="shared" si="5"/>
        <v>0</v>
      </c>
      <c r="T61" s="16">
        <v>1</v>
      </c>
      <c r="U61" s="16">
        <f t="shared" si="6"/>
        <v>0</v>
      </c>
      <c r="V61" s="16"/>
      <c r="W61" s="16">
        <f t="shared" si="7"/>
        <v>0</v>
      </c>
      <c r="X61" s="16">
        <f t="shared" si="8"/>
        <v>0</v>
      </c>
      <c r="Y61" s="16">
        <v>1</v>
      </c>
      <c r="Z61" s="16">
        <f t="shared" si="9"/>
        <v>0</v>
      </c>
      <c r="AA61" s="16">
        <f t="shared" si="10"/>
        <v>0</v>
      </c>
      <c r="AB61" s="16">
        <f t="shared" si="11"/>
        <v>9018.8799999999992</v>
      </c>
      <c r="AC61" s="16">
        <f t="shared" si="12"/>
        <v>2007.4166666666667</v>
      </c>
      <c r="AD61" s="16">
        <f t="shared" si="13"/>
        <v>1</v>
      </c>
      <c r="AE61" s="16">
        <f t="shared" si="14"/>
        <v>2017.4166666666667</v>
      </c>
      <c r="AF61" s="16">
        <f t="shared" si="15"/>
        <v>0</v>
      </c>
      <c r="AG61" s="16">
        <f t="shared" si="16"/>
        <v>-8.3333333333333329E-2</v>
      </c>
    </row>
    <row r="62" spans="2:33">
      <c r="B62" s="26">
        <v>10</v>
      </c>
      <c r="C62" s="27" t="s">
        <v>175</v>
      </c>
      <c r="D62" s="26">
        <v>2008</v>
      </c>
      <c r="E62" s="26">
        <v>9</v>
      </c>
      <c r="F62" s="58"/>
      <c r="H62" s="26" t="s">
        <v>51</v>
      </c>
      <c r="I62" s="26">
        <v>10</v>
      </c>
      <c r="J62" s="26">
        <f t="shared" si="1"/>
        <v>2018</v>
      </c>
      <c r="M62" s="16">
        <v>5873.11</v>
      </c>
      <c r="O62" s="16">
        <f t="shared" si="2"/>
        <v>5873.11</v>
      </c>
      <c r="P62" s="16">
        <f t="shared" si="3"/>
        <v>48.942583333333324</v>
      </c>
      <c r="Q62" s="16">
        <f t="shared" si="4"/>
        <v>0</v>
      </c>
      <c r="R62" s="16">
        <f t="shared" si="0"/>
        <v>0</v>
      </c>
      <c r="S62" s="16">
        <f t="shared" si="5"/>
        <v>0</v>
      </c>
      <c r="T62" s="16">
        <v>1</v>
      </c>
      <c r="U62" s="16">
        <f t="shared" si="6"/>
        <v>0</v>
      </c>
      <c r="V62" s="16"/>
      <c r="W62" s="16">
        <f t="shared" si="7"/>
        <v>0</v>
      </c>
      <c r="X62" s="16">
        <f t="shared" si="8"/>
        <v>0</v>
      </c>
      <c r="Y62" s="16">
        <v>1</v>
      </c>
      <c r="Z62" s="16">
        <f t="shared" si="9"/>
        <v>0</v>
      </c>
      <c r="AA62" s="16">
        <f t="shared" si="10"/>
        <v>0</v>
      </c>
      <c r="AB62" s="16">
        <f t="shared" si="11"/>
        <v>2936.5549999999998</v>
      </c>
      <c r="AC62" s="16">
        <f t="shared" si="12"/>
        <v>2008.6666666666667</v>
      </c>
      <c r="AD62" s="16">
        <f t="shared" si="13"/>
        <v>1</v>
      </c>
      <c r="AE62" s="16">
        <f t="shared" si="14"/>
        <v>2018.6666666666667</v>
      </c>
      <c r="AF62" s="16">
        <f t="shared" si="15"/>
        <v>0</v>
      </c>
      <c r="AG62" s="16">
        <f t="shared" si="16"/>
        <v>-8.3333333333333329E-2</v>
      </c>
    </row>
    <row r="63" spans="2:33">
      <c r="B63" s="26">
        <v>16</v>
      </c>
      <c r="C63" s="27" t="s">
        <v>170</v>
      </c>
      <c r="D63" s="26">
        <v>2008</v>
      </c>
      <c r="E63" s="26">
        <v>9</v>
      </c>
      <c r="F63" s="58"/>
      <c r="H63" s="26" t="s">
        <v>51</v>
      </c>
      <c r="I63" s="26">
        <v>10</v>
      </c>
      <c r="J63" s="26">
        <f t="shared" si="1"/>
        <v>2018</v>
      </c>
      <c r="M63" s="16">
        <v>9335.41</v>
      </c>
      <c r="O63" s="16">
        <f t="shared" si="2"/>
        <v>9335.41</v>
      </c>
      <c r="P63" s="16">
        <f t="shared" si="3"/>
        <v>77.795083333333324</v>
      </c>
      <c r="Q63" s="16">
        <f t="shared" si="4"/>
        <v>0</v>
      </c>
      <c r="R63" s="16">
        <f t="shared" si="0"/>
        <v>0</v>
      </c>
      <c r="S63" s="16">
        <f t="shared" si="5"/>
        <v>0</v>
      </c>
      <c r="T63" s="16">
        <v>1</v>
      </c>
      <c r="U63" s="16">
        <f t="shared" si="6"/>
        <v>0</v>
      </c>
      <c r="V63" s="16"/>
      <c r="W63" s="16">
        <f t="shared" si="7"/>
        <v>0</v>
      </c>
      <c r="X63" s="16">
        <f t="shared" si="8"/>
        <v>0</v>
      </c>
      <c r="Y63" s="16">
        <v>1</v>
      </c>
      <c r="Z63" s="16">
        <f t="shared" si="9"/>
        <v>0</v>
      </c>
      <c r="AA63" s="16">
        <f t="shared" si="10"/>
        <v>0</v>
      </c>
      <c r="AB63" s="16">
        <f t="shared" si="11"/>
        <v>4667.7049999999999</v>
      </c>
      <c r="AC63" s="16">
        <f t="shared" si="12"/>
        <v>2008.6666666666667</v>
      </c>
      <c r="AD63" s="16">
        <f t="shared" si="13"/>
        <v>1</v>
      </c>
      <c r="AE63" s="16">
        <f t="shared" si="14"/>
        <v>2018.6666666666667</v>
      </c>
      <c r="AF63" s="16">
        <f t="shared" si="15"/>
        <v>0</v>
      </c>
      <c r="AG63" s="16">
        <f t="shared" si="16"/>
        <v>-8.3333333333333329E-2</v>
      </c>
    </row>
    <row r="64" spans="2:33">
      <c r="B64" s="26">
        <v>12</v>
      </c>
      <c r="C64" s="27" t="s">
        <v>236</v>
      </c>
      <c r="D64" s="26">
        <v>2010</v>
      </c>
      <c r="E64" s="26">
        <v>6</v>
      </c>
      <c r="F64" s="58"/>
      <c r="H64" s="26" t="s">
        <v>51</v>
      </c>
      <c r="I64" s="26">
        <v>10</v>
      </c>
      <c r="J64" s="26">
        <f t="shared" si="1"/>
        <v>2020</v>
      </c>
      <c r="M64" s="16">
        <v>5970.67</v>
      </c>
      <c r="O64" s="16">
        <f t="shared" si="2"/>
        <v>5970.67</v>
      </c>
      <c r="P64" s="16">
        <f t="shared" si="3"/>
        <v>49.755583333333334</v>
      </c>
      <c r="Q64" s="16">
        <f t="shared" si="4"/>
        <v>0</v>
      </c>
      <c r="R64" s="16">
        <f t="shared" si="0"/>
        <v>0</v>
      </c>
      <c r="S64" s="16">
        <f t="shared" si="5"/>
        <v>0</v>
      </c>
      <c r="T64" s="16">
        <v>1</v>
      </c>
      <c r="U64" s="16">
        <f t="shared" si="6"/>
        <v>0</v>
      </c>
      <c r="V64" s="16"/>
      <c r="W64" s="16">
        <f t="shared" si="7"/>
        <v>0</v>
      </c>
      <c r="X64" s="16">
        <f t="shared" si="8"/>
        <v>0</v>
      </c>
      <c r="Y64" s="16">
        <v>1</v>
      </c>
      <c r="Z64" s="16">
        <f t="shared" si="9"/>
        <v>0</v>
      </c>
      <c r="AA64" s="16">
        <f t="shared" si="10"/>
        <v>0</v>
      </c>
      <c r="AB64" s="16">
        <f t="shared" si="11"/>
        <v>2985.335</v>
      </c>
      <c r="AC64" s="16">
        <f t="shared" si="12"/>
        <v>2010.4166666666667</v>
      </c>
      <c r="AD64" s="16">
        <f t="shared" si="13"/>
        <v>1</v>
      </c>
      <c r="AE64" s="16">
        <f t="shared" si="14"/>
        <v>2020.4166666666667</v>
      </c>
      <c r="AF64" s="16">
        <f t="shared" si="15"/>
        <v>0</v>
      </c>
      <c r="AG64" s="16">
        <f t="shared" si="16"/>
        <v>-8.3333333333333329E-2</v>
      </c>
    </row>
    <row r="65" spans="1:33">
      <c r="B65" s="26">
        <v>12</v>
      </c>
      <c r="C65" s="27" t="s">
        <v>235</v>
      </c>
      <c r="D65" s="26">
        <v>2010</v>
      </c>
      <c r="E65" s="26">
        <v>6</v>
      </c>
      <c r="F65" s="58"/>
      <c r="H65" s="26" t="s">
        <v>51</v>
      </c>
      <c r="I65" s="26">
        <v>10</v>
      </c>
      <c r="J65" s="26">
        <f t="shared" si="1"/>
        <v>2020</v>
      </c>
      <c r="M65" s="16">
        <v>5547.91</v>
      </c>
      <c r="O65" s="16">
        <f t="shared" si="2"/>
        <v>5547.91</v>
      </c>
      <c r="P65" s="16">
        <f t="shared" si="3"/>
        <v>46.232583333333331</v>
      </c>
      <c r="Q65" s="16">
        <f t="shared" si="4"/>
        <v>0</v>
      </c>
      <c r="R65" s="16">
        <f t="shared" si="0"/>
        <v>0</v>
      </c>
      <c r="S65" s="16">
        <f t="shared" si="5"/>
        <v>0</v>
      </c>
      <c r="T65" s="16">
        <v>1</v>
      </c>
      <c r="U65" s="16">
        <f t="shared" si="6"/>
        <v>0</v>
      </c>
      <c r="V65" s="16"/>
      <c r="W65" s="16">
        <f t="shared" si="7"/>
        <v>0</v>
      </c>
      <c r="X65" s="16">
        <f t="shared" si="8"/>
        <v>0</v>
      </c>
      <c r="Y65" s="16">
        <v>1</v>
      </c>
      <c r="Z65" s="16">
        <f t="shared" si="9"/>
        <v>0</v>
      </c>
      <c r="AA65" s="16">
        <f t="shared" si="10"/>
        <v>0</v>
      </c>
      <c r="AB65" s="16">
        <f t="shared" si="11"/>
        <v>2773.9549999999999</v>
      </c>
      <c r="AC65" s="16">
        <f t="shared" si="12"/>
        <v>2010.4166666666667</v>
      </c>
      <c r="AD65" s="16">
        <f t="shared" si="13"/>
        <v>1</v>
      </c>
      <c r="AE65" s="16">
        <f t="shared" si="14"/>
        <v>2020.4166666666667</v>
      </c>
      <c r="AF65" s="16">
        <f t="shared" si="15"/>
        <v>0</v>
      </c>
      <c r="AG65" s="16">
        <f t="shared" si="16"/>
        <v>-8.3333333333333329E-2</v>
      </c>
    </row>
    <row r="66" spans="1:33">
      <c r="B66" s="26">
        <v>30</v>
      </c>
      <c r="C66" s="27" t="s">
        <v>237</v>
      </c>
      <c r="D66" s="26">
        <v>2010</v>
      </c>
      <c r="E66" s="26">
        <v>7</v>
      </c>
      <c r="F66" s="58"/>
      <c r="H66" s="26" t="s">
        <v>51</v>
      </c>
      <c r="I66" s="26">
        <v>10</v>
      </c>
      <c r="J66" s="26">
        <f t="shared" si="1"/>
        <v>2020</v>
      </c>
      <c r="M66" s="16">
        <v>13503.93</v>
      </c>
      <c r="O66" s="16">
        <f t="shared" si="2"/>
        <v>13503.93</v>
      </c>
      <c r="P66" s="16">
        <f t="shared" si="3"/>
        <v>112.53275000000001</v>
      </c>
      <c r="Q66" s="16">
        <f t="shared" si="4"/>
        <v>0</v>
      </c>
      <c r="R66" s="16">
        <f t="shared" si="0"/>
        <v>0</v>
      </c>
      <c r="S66" s="16">
        <f t="shared" si="5"/>
        <v>0</v>
      </c>
      <c r="T66" s="16">
        <v>1</v>
      </c>
      <c r="U66" s="16">
        <f t="shared" si="6"/>
        <v>0</v>
      </c>
      <c r="V66" s="16"/>
      <c r="W66" s="16">
        <f t="shared" si="7"/>
        <v>0</v>
      </c>
      <c r="X66" s="16">
        <f t="shared" si="8"/>
        <v>0</v>
      </c>
      <c r="Y66" s="16">
        <v>1</v>
      </c>
      <c r="Z66" s="16">
        <f t="shared" si="9"/>
        <v>0</v>
      </c>
      <c r="AA66" s="16">
        <f t="shared" si="10"/>
        <v>0</v>
      </c>
      <c r="AB66" s="16">
        <f t="shared" si="11"/>
        <v>6751.9650000000001</v>
      </c>
      <c r="AC66" s="16">
        <f t="shared" si="12"/>
        <v>2010.5</v>
      </c>
      <c r="AD66" s="16">
        <f t="shared" si="13"/>
        <v>1</v>
      </c>
      <c r="AE66" s="16">
        <f t="shared" si="14"/>
        <v>2020.5</v>
      </c>
      <c r="AF66" s="16">
        <f t="shared" si="15"/>
        <v>0</v>
      </c>
      <c r="AG66" s="16">
        <f t="shared" si="16"/>
        <v>-8.3333333333333329E-2</v>
      </c>
    </row>
    <row r="67" spans="1:33">
      <c r="B67" s="26">
        <v>10</v>
      </c>
      <c r="C67" s="27" t="s">
        <v>171</v>
      </c>
      <c r="D67" s="26">
        <v>2010</v>
      </c>
      <c r="E67" s="26">
        <v>7</v>
      </c>
      <c r="F67" s="58"/>
      <c r="H67" s="26" t="s">
        <v>51</v>
      </c>
      <c r="I67" s="26">
        <v>10</v>
      </c>
      <c r="J67" s="26">
        <f t="shared" si="1"/>
        <v>2020</v>
      </c>
      <c r="M67" s="16">
        <v>7100.2</v>
      </c>
      <c r="O67" s="16">
        <f t="shared" si="2"/>
        <v>7100.2</v>
      </c>
      <c r="P67" s="16">
        <f t="shared" si="3"/>
        <v>59.168333333333329</v>
      </c>
      <c r="Q67" s="16">
        <f t="shared" si="4"/>
        <v>0</v>
      </c>
      <c r="R67" s="16">
        <f t="shared" si="0"/>
        <v>0</v>
      </c>
      <c r="S67" s="16">
        <f t="shared" si="5"/>
        <v>0</v>
      </c>
      <c r="T67" s="16">
        <v>1</v>
      </c>
      <c r="U67" s="16">
        <f t="shared" si="6"/>
        <v>0</v>
      </c>
      <c r="V67" s="16"/>
      <c r="W67" s="16">
        <f t="shared" si="7"/>
        <v>0</v>
      </c>
      <c r="X67" s="16">
        <f t="shared" si="8"/>
        <v>0</v>
      </c>
      <c r="Y67" s="16">
        <v>1</v>
      </c>
      <c r="Z67" s="16">
        <f t="shared" si="9"/>
        <v>0</v>
      </c>
      <c r="AA67" s="16">
        <f t="shared" si="10"/>
        <v>0</v>
      </c>
      <c r="AB67" s="16">
        <f t="shared" si="11"/>
        <v>3550.1</v>
      </c>
      <c r="AC67" s="16">
        <f t="shared" si="12"/>
        <v>2010.5</v>
      </c>
      <c r="AD67" s="16">
        <f t="shared" si="13"/>
        <v>1</v>
      </c>
      <c r="AE67" s="16">
        <f t="shared" si="14"/>
        <v>2020.5</v>
      </c>
      <c r="AF67" s="16">
        <f t="shared" si="15"/>
        <v>0</v>
      </c>
      <c r="AG67" s="16">
        <f t="shared" si="16"/>
        <v>-8.3333333333333329E-2</v>
      </c>
    </row>
    <row r="68" spans="1:33">
      <c r="B68" s="26">
        <v>10</v>
      </c>
      <c r="C68" s="27" t="s">
        <v>172</v>
      </c>
      <c r="D68" s="26">
        <v>2010</v>
      </c>
      <c r="E68" s="26">
        <v>7</v>
      </c>
      <c r="F68" s="58"/>
      <c r="H68" s="26" t="s">
        <v>51</v>
      </c>
      <c r="I68" s="26">
        <v>10</v>
      </c>
      <c r="J68" s="26">
        <f t="shared" si="1"/>
        <v>2020</v>
      </c>
      <c r="M68" s="16">
        <v>9457.9</v>
      </c>
      <c r="O68" s="16">
        <f t="shared" si="2"/>
        <v>9457.9</v>
      </c>
      <c r="P68" s="16">
        <f t="shared" si="3"/>
        <v>78.81583333333333</v>
      </c>
      <c r="Q68" s="16">
        <f t="shared" si="4"/>
        <v>0</v>
      </c>
      <c r="R68" s="16">
        <f t="shared" si="0"/>
        <v>0</v>
      </c>
      <c r="S68" s="16">
        <f t="shared" si="5"/>
        <v>0</v>
      </c>
      <c r="T68" s="16">
        <v>1</v>
      </c>
      <c r="U68" s="16">
        <f t="shared" si="6"/>
        <v>0</v>
      </c>
      <c r="V68" s="16"/>
      <c r="W68" s="16">
        <f t="shared" si="7"/>
        <v>0</v>
      </c>
      <c r="X68" s="16">
        <f t="shared" si="8"/>
        <v>0</v>
      </c>
      <c r="Y68" s="16">
        <v>1</v>
      </c>
      <c r="Z68" s="16">
        <f t="shared" si="9"/>
        <v>0</v>
      </c>
      <c r="AA68" s="16">
        <f t="shared" si="10"/>
        <v>0</v>
      </c>
      <c r="AB68" s="16">
        <f t="shared" si="11"/>
        <v>4728.95</v>
      </c>
      <c r="AC68" s="16">
        <f t="shared" si="12"/>
        <v>2010.5</v>
      </c>
      <c r="AD68" s="16">
        <f t="shared" si="13"/>
        <v>1</v>
      </c>
      <c r="AE68" s="16">
        <f t="shared" si="14"/>
        <v>2020.5</v>
      </c>
      <c r="AF68" s="16">
        <f t="shared" si="15"/>
        <v>0</v>
      </c>
      <c r="AG68" s="16">
        <f t="shared" si="16"/>
        <v>-8.3333333333333329E-2</v>
      </c>
    </row>
    <row r="69" spans="1:33">
      <c r="B69" s="26">
        <v>22</v>
      </c>
      <c r="C69" s="27" t="s">
        <v>235</v>
      </c>
      <c r="D69" s="26">
        <v>2011</v>
      </c>
      <c r="E69" s="26">
        <v>7</v>
      </c>
      <c r="F69" s="58"/>
      <c r="H69" s="26" t="s">
        <v>51</v>
      </c>
      <c r="I69" s="26">
        <v>10</v>
      </c>
      <c r="J69" s="26">
        <f t="shared" si="1"/>
        <v>2021</v>
      </c>
      <c r="M69" s="16">
        <v>11585.79</v>
      </c>
      <c r="O69" s="16">
        <f t="shared" si="2"/>
        <v>11585.79</v>
      </c>
      <c r="P69" s="16">
        <f t="shared" si="3"/>
        <v>96.54825000000001</v>
      </c>
      <c r="Q69" s="16">
        <f t="shared" si="4"/>
        <v>0</v>
      </c>
      <c r="R69" s="16">
        <f t="shared" si="0"/>
        <v>0</v>
      </c>
      <c r="S69" s="16">
        <f t="shared" si="5"/>
        <v>0</v>
      </c>
      <c r="T69" s="16">
        <v>1</v>
      </c>
      <c r="U69" s="16">
        <f t="shared" si="6"/>
        <v>0</v>
      </c>
      <c r="V69" s="16"/>
      <c r="W69" s="16">
        <f t="shared" si="7"/>
        <v>0</v>
      </c>
      <c r="X69" s="16">
        <f t="shared" si="8"/>
        <v>0</v>
      </c>
      <c r="Y69" s="16">
        <v>1</v>
      </c>
      <c r="Z69" s="16">
        <f t="shared" si="9"/>
        <v>0</v>
      </c>
      <c r="AA69" s="16">
        <f t="shared" si="10"/>
        <v>0</v>
      </c>
      <c r="AB69" s="16">
        <f t="shared" si="11"/>
        <v>5792.8950000000004</v>
      </c>
      <c r="AC69" s="16">
        <f t="shared" si="12"/>
        <v>2011.5</v>
      </c>
      <c r="AD69" s="16">
        <f t="shared" si="13"/>
        <v>1</v>
      </c>
      <c r="AE69" s="16">
        <f t="shared" si="14"/>
        <v>2021.5</v>
      </c>
      <c r="AF69" s="16">
        <f t="shared" si="15"/>
        <v>0</v>
      </c>
      <c r="AG69" s="16">
        <f t="shared" si="16"/>
        <v>-8.3333333333333329E-2</v>
      </c>
    </row>
    <row r="70" spans="1:33">
      <c r="B70" s="26">
        <v>17</v>
      </c>
      <c r="C70" s="27" t="s">
        <v>236</v>
      </c>
      <c r="D70" s="26">
        <v>2011</v>
      </c>
      <c r="E70" s="26">
        <v>8</v>
      </c>
      <c r="F70" s="58"/>
      <c r="H70" s="26" t="s">
        <v>51</v>
      </c>
      <c r="I70" s="26">
        <v>10</v>
      </c>
      <c r="J70" s="26">
        <f t="shared" si="1"/>
        <v>2021</v>
      </c>
      <c r="M70" s="16">
        <f>7585.83+1132.8</f>
        <v>8718.6299999999992</v>
      </c>
      <c r="O70" s="16">
        <f t="shared" si="2"/>
        <v>8718.6299999999992</v>
      </c>
      <c r="P70" s="16">
        <f t="shared" si="3"/>
        <v>72.655249999999995</v>
      </c>
      <c r="Q70" s="16">
        <f t="shared" si="4"/>
        <v>0</v>
      </c>
      <c r="R70" s="16">
        <f t="shared" si="0"/>
        <v>0</v>
      </c>
      <c r="S70" s="16">
        <f t="shared" si="5"/>
        <v>0</v>
      </c>
      <c r="T70" s="16">
        <v>1</v>
      </c>
      <c r="U70" s="16">
        <f t="shared" si="6"/>
        <v>0</v>
      </c>
      <c r="V70" s="16"/>
      <c r="W70" s="16">
        <f t="shared" si="7"/>
        <v>0</v>
      </c>
      <c r="X70" s="16">
        <f t="shared" si="8"/>
        <v>0</v>
      </c>
      <c r="Y70" s="16">
        <v>1</v>
      </c>
      <c r="Z70" s="16">
        <f t="shared" si="9"/>
        <v>0</v>
      </c>
      <c r="AA70" s="16">
        <f t="shared" si="10"/>
        <v>0</v>
      </c>
      <c r="AB70" s="16">
        <f t="shared" si="11"/>
        <v>4359.3149999999996</v>
      </c>
      <c r="AC70" s="16">
        <f t="shared" si="12"/>
        <v>2011.5833333333333</v>
      </c>
      <c r="AD70" s="16">
        <f t="shared" si="13"/>
        <v>1</v>
      </c>
      <c r="AE70" s="16">
        <f t="shared" si="14"/>
        <v>2021.5833333333333</v>
      </c>
      <c r="AF70" s="16">
        <f t="shared" si="15"/>
        <v>0</v>
      </c>
      <c r="AG70" s="16">
        <f t="shared" si="16"/>
        <v>-8.3333333333333329E-2</v>
      </c>
    </row>
    <row r="71" spans="1:33">
      <c r="B71" s="26">
        <v>5</v>
      </c>
      <c r="C71" s="27" t="s">
        <v>237</v>
      </c>
      <c r="D71" s="26">
        <v>2011</v>
      </c>
      <c r="E71" s="26">
        <v>8</v>
      </c>
      <c r="F71" s="58"/>
      <c r="H71" s="26" t="s">
        <v>51</v>
      </c>
      <c r="I71" s="26">
        <v>10</v>
      </c>
      <c r="J71" s="26">
        <f t="shared" si="1"/>
        <v>2021</v>
      </c>
      <c r="M71" s="16">
        <v>2758.78</v>
      </c>
      <c r="O71" s="16">
        <f t="shared" si="2"/>
        <v>2758.78</v>
      </c>
      <c r="P71" s="16">
        <f t="shared" si="3"/>
        <v>22.989833333333337</v>
      </c>
      <c r="Q71" s="16">
        <f t="shared" si="4"/>
        <v>0</v>
      </c>
      <c r="R71" s="16">
        <f t="shared" si="0"/>
        <v>0</v>
      </c>
      <c r="S71" s="16">
        <f t="shared" si="5"/>
        <v>0</v>
      </c>
      <c r="T71" s="16">
        <v>1</v>
      </c>
      <c r="U71" s="16">
        <f t="shared" si="6"/>
        <v>0</v>
      </c>
      <c r="V71" s="16"/>
      <c r="W71" s="16">
        <f t="shared" si="7"/>
        <v>0</v>
      </c>
      <c r="X71" s="16">
        <f t="shared" si="8"/>
        <v>0</v>
      </c>
      <c r="Y71" s="16">
        <v>1</v>
      </c>
      <c r="Z71" s="16">
        <f t="shared" si="9"/>
        <v>0</v>
      </c>
      <c r="AA71" s="16">
        <f t="shared" si="10"/>
        <v>0</v>
      </c>
      <c r="AB71" s="16">
        <f t="shared" si="11"/>
        <v>1379.39</v>
      </c>
      <c r="AC71" s="16">
        <f t="shared" si="12"/>
        <v>2011.5833333333333</v>
      </c>
      <c r="AD71" s="16">
        <f t="shared" si="13"/>
        <v>1</v>
      </c>
      <c r="AE71" s="16">
        <f t="shared" si="14"/>
        <v>2021.5833333333333</v>
      </c>
      <c r="AF71" s="16">
        <f t="shared" si="15"/>
        <v>0</v>
      </c>
      <c r="AG71" s="16">
        <f t="shared" si="16"/>
        <v>-8.3333333333333329E-2</v>
      </c>
    </row>
    <row r="72" spans="1:33">
      <c r="B72" s="26">
        <v>20</v>
      </c>
      <c r="C72" s="27" t="s">
        <v>237</v>
      </c>
      <c r="D72" s="26">
        <v>2012</v>
      </c>
      <c r="E72" s="26">
        <v>5</v>
      </c>
      <c r="F72" s="58"/>
      <c r="H72" s="26" t="s">
        <v>51</v>
      </c>
      <c r="I72" s="26">
        <v>10</v>
      </c>
      <c r="J72" s="26">
        <f t="shared" si="1"/>
        <v>2022</v>
      </c>
      <c r="M72" s="16">
        <v>11013.44</v>
      </c>
      <c r="O72" s="16">
        <f t="shared" si="2"/>
        <v>11013.44</v>
      </c>
      <c r="P72" s="16">
        <f t="shared" si="3"/>
        <v>91.778666666666666</v>
      </c>
      <c r="Q72" s="16">
        <f t="shared" si="4"/>
        <v>0</v>
      </c>
      <c r="R72" s="16">
        <f t="shared" si="0"/>
        <v>0</v>
      </c>
      <c r="S72" s="16">
        <f t="shared" si="5"/>
        <v>0</v>
      </c>
      <c r="T72" s="16">
        <v>1</v>
      </c>
      <c r="U72" s="16">
        <f t="shared" si="6"/>
        <v>0</v>
      </c>
      <c r="V72" s="16"/>
      <c r="W72" s="16">
        <f t="shared" si="7"/>
        <v>0</v>
      </c>
      <c r="X72" s="16">
        <f t="shared" si="8"/>
        <v>0</v>
      </c>
      <c r="Y72" s="16">
        <v>1</v>
      </c>
      <c r="Z72" s="16">
        <f t="shared" si="9"/>
        <v>0</v>
      </c>
      <c r="AA72" s="16">
        <f t="shared" si="10"/>
        <v>0</v>
      </c>
      <c r="AB72" s="16">
        <f t="shared" si="11"/>
        <v>5506.72</v>
      </c>
      <c r="AC72" s="16">
        <f t="shared" si="12"/>
        <v>2012.3333333333333</v>
      </c>
      <c r="AD72" s="16">
        <f t="shared" si="13"/>
        <v>1</v>
      </c>
      <c r="AE72" s="16">
        <f t="shared" si="14"/>
        <v>2022.3333333333333</v>
      </c>
      <c r="AF72" s="16">
        <f t="shared" si="15"/>
        <v>0</v>
      </c>
      <c r="AG72" s="16">
        <f t="shared" si="16"/>
        <v>-8.3333333333333329E-2</v>
      </c>
    </row>
    <row r="73" spans="1:33">
      <c r="B73" s="26">
        <v>8</v>
      </c>
      <c r="C73" s="27" t="s">
        <v>171</v>
      </c>
      <c r="D73" s="26">
        <v>2012</v>
      </c>
      <c r="E73" s="26">
        <v>7</v>
      </c>
      <c r="F73" s="58"/>
      <c r="H73" s="26" t="s">
        <v>51</v>
      </c>
      <c r="I73" s="26">
        <v>10</v>
      </c>
      <c r="J73" s="26">
        <f t="shared" si="1"/>
        <v>2022</v>
      </c>
      <c r="M73" s="16">
        <v>5475</v>
      </c>
      <c r="O73" s="16">
        <f t="shared" si="2"/>
        <v>5475</v>
      </c>
      <c r="P73" s="16">
        <f t="shared" si="3"/>
        <v>45.625</v>
      </c>
      <c r="Q73" s="16">
        <f t="shared" si="4"/>
        <v>0</v>
      </c>
      <c r="R73" s="16">
        <f t="shared" si="0"/>
        <v>0</v>
      </c>
      <c r="S73" s="16">
        <f t="shared" si="5"/>
        <v>0</v>
      </c>
      <c r="T73" s="16">
        <v>1</v>
      </c>
      <c r="U73" s="16">
        <f t="shared" si="6"/>
        <v>0</v>
      </c>
      <c r="V73" s="16"/>
      <c r="W73" s="16">
        <f t="shared" si="7"/>
        <v>0</v>
      </c>
      <c r="X73" s="16">
        <f t="shared" si="8"/>
        <v>0</v>
      </c>
      <c r="Y73" s="16">
        <v>1</v>
      </c>
      <c r="Z73" s="16">
        <f t="shared" si="9"/>
        <v>0</v>
      </c>
      <c r="AA73" s="16">
        <f t="shared" si="10"/>
        <v>0</v>
      </c>
      <c r="AB73" s="16">
        <f t="shared" si="11"/>
        <v>2737.5</v>
      </c>
      <c r="AC73" s="16">
        <f t="shared" si="12"/>
        <v>2012.5</v>
      </c>
      <c r="AD73" s="16">
        <f t="shared" si="13"/>
        <v>1</v>
      </c>
      <c r="AE73" s="16">
        <f t="shared" si="14"/>
        <v>2022.5</v>
      </c>
      <c r="AF73" s="16">
        <f t="shared" si="15"/>
        <v>0</v>
      </c>
      <c r="AG73" s="16">
        <f t="shared" si="16"/>
        <v>-8.3333333333333329E-2</v>
      </c>
    </row>
    <row r="74" spans="1:33">
      <c r="A74" s="6">
        <v>104367</v>
      </c>
      <c r="B74" s="26"/>
      <c r="C74" s="27" t="s">
        <v>171</v>
      </c>
      <c r="D74" s="26">
        <v>2013</v>
      </c>
      <c r="E74" s="26">
        <v>5</v>
      </c>
      <c r="F74" s="58"/>
      <c r="H74" s="26" t="s">
        <v>51</v>
      </c>
      <c r="I74" s="26">
        <v>10</v>
      </c>
      <c r="J74" s="26">
        <f t="shared" si="1"/>
        <v>2023</v>
      </c>
      <c r="M74" s="16">
        <v>2976.66</v>
      </c>
      <c r="O74" s="16">
        <f t="shared" si="2"/>
        <v>2976.66</v>
      </c>
      <c r="P74" s="16">
        <f t="shared" si="3"/>
        <v>24.805499999999999</v>
      </c>
      <c r="Q74" s="16">
        <f t="shared" si="4"/>
        <v>0</v>
      </c>
      <c r="R74" s="16">
        <f t="shared" si="0"/>
        <v>0</v>
      </c>
      <c r="S74" s="16">
        <f t="shared" si="5"/>
        <v>0</v>
      </c>
      <c r="T74" s="16">
        <v>1</v>
      </c>
      <c r="U74" s="16">
        <f t="shared" si="6"/>
        <v>0</v>
      </c>
      <c r="V74" s="16"/>
      <c r="W74" s="16">
        <f t="shared" si="7"/>
        <v>0</v>
      </c>
      <c r="X74" s="16">
        <f t="shared" si="8"/>
        <v>0</v>
      </c>
      <c r="Y74" s="16">
        <v>1</v>
      </c>
      <c r="Z74" s="16">
        <f t="shared" si="9"/>
        <v>0</v>
      </c>
      <c r="AA74" s="16">
        <f t="shared" si="10"/>
        <v>0</v>
      </c>
      <c r="AB74" s="16">
        <f t="shared" si="11"/>
        <v>1488.33</v>
      </c>
      <c r="AC74" s="16">
        <f t="shared" si="12"/>
        <v>2013.3333333333333</v>
      </c>
      <c r="AD74" s="16">
        <f t="shared" si="13"/>
        <v>1</v>
      </c>
      <c r="AE74" s="16">
        <f t="shared" si="14"/>
        <v>2023.3333333333333</v>
      </c>
      <c r="AF74" s="16">
        <f t="shared" si="15"/>
        <v>0</v>
      </c>
      <c r="AG74" s="16">
        <f t="shared" si="16"/>
        <v>-8.3333333333333329E-2</v>
      </c>
    </row>
    <row r="75" spans="1:33">
      <c r="A75" s="6">
        <v>104366</v>
      </c>
      <c r="B75" s="26"/>
      <c r="C75" s="27" t="s">
        <v>314</v>
      </c>
      <c r="D75" s="26">
        <v>2013</v>
      </c>
      <c r="E75" s="26">
        <v>5</v>
      </c>
      <c r="F75" s="58"/>
      <c r="H75" s="26" t="s">
        <v>51</v>
      </c>
      <c r="I75" s="26">
        <v>10</v>
      </c>
      <c r="J75" s="26">
        <f t="shared" si="1"/>
        <v>2023</v>
      </c>
      <c r="M75" s="16">
        <v>6005.36</v>
      </c>
      <c r="O75" s="16">
        <f t="shared" si="2"/>
        <v>6005.36</v>
      </c>
      <c r="P75" s="16">
        <f t="shared" si="3"/>
        <v>50.044666666666664</v>
      </c>
      <c r="Q75" s="16">
        <f t="shared" si="4"/>
        <v>0</v>
      </c>
      <c r="R75" s="16">
        <f t="shared" si="0"/>
        <v>0</v>
      </c>
      <c r="S75" s="16">
        <f t="shared" si="5"/>
        <v>0</v>
      </c>
      <c r="T75" s="16">
        <v>1</v>
      </c>
      <c r="U75" s="16">
        <f t="shared" si="6"/>
        <v>0</v>
      </c>
      <c r="V75" s="16"/>
      <c r="W75" s="16">
        <f t="shared" si="7"/>
        <v>0</v>
      </c>
      <c r="X75" s="16">
        <f t="shared" si="8"/>
        <v>0</v>
      </c>
      <c r="Y75" s="16">
        <v>1</v>
      </c>
      <c r="Z75" s="16">
        <f t="shared" si="9"/>
        <v>0</v>
      </c>
      <c r="AA75" s="16">
        <f t="shared" si="10"/>
        <v>0</v>
      </c>
      <c r="AB75" s="16">
        <f t="shared" si="11"/>
        <v>3002.68</v>
      </c>
      <c r="AC75" s="16">
        <f t="shared" si="12"/>
        <v>2013.3333333333333</v>
      </c>
      <c r="AD75" s="16">
        <f t="shared" si="13"/>
        <v>1</v>
      </c>
      <c r="AE75" s="16">
        <f t="shared" si="14"/>
        <v>2023.3333333333333</v>
      </c>
      <c r="AF75" s="16">
        <f t="shared" si="15"/>
        <v>0</v>
      </c>
      <c r="AG75" s="16">
        <f t="shared" si="16"/>
        <v>-8.3333333333333329E-2</v>
      </c>
    </row>
    <row r="76" spans="1:33">
      <c r="A76" s="6">
        <v>123923</v>
      </c>
      <c r="B76" s="26">
        <v>10</v>
      </c>
      <c r="C76" s="27" t="s">
        <v>230</v>
      </c>
      <c r="D76" s="26">
        <v>2015</v>
      </c>
      <c r="E76" s="26">
        <v>7</v>
      </c>
      <c r="F76" s="58"/>
      <c r="H76" s="26" t="s">
        <v>51</v>
      </c>
      <c r="I76" s="26">
        <v>10</v>
      </c>
      <c r="J76" s="26">
        <f t="shared" si="1"/>
        <v>2025</v>
      </c>
      <c r="M76" s="16">
        <v>6829.2</v>
      </c>
      <c r="O76" s="16">
        <f t="shared" si="2"/>
        <v>6829.2</v>
      </c>
      <c r="P76" s="16">
        <f t="shared" si="3"/>
        <v>56.91</v>
      </c>
      <c r="Q76" s="16">
        <f t="shared" si="4"/>
        <v>0</v>
      </c>
      <c r="R76" s="16">
        <f t="shared" si="0"/>
        <v>0</v>
      </c>
      <c r="S76" s="16">
        <f t="shared" si="5"/>
        <v>0</v>
      </c>
      <c r="T76" s="16">
        <v>1</v>
      </c>
      <c r="U76" s="16">
        <f t="shared" si="6"/>
        <v>0</v>
      </c>
      <c r="V76" s="16"/>
      <c r="W76" s="16">
        <f t="shared" si="7"/>
        <v>0</v>
      </c>
      <c r="X76" s="16">
        <f t="shared" si="8"/>
        <v>0</v>
      </c>
      <c r="Y76" s="16">
        <v>1</v>
      </c>
      <c r="Z76" s="16">
        <f t="shared" si="9"/>
        <v>0</v>
      </c>
      <c r="AA76" s="16">
        <f t="shared" si="10"/>
        <v>0</v>
      </c>
      <c r="AB76" s="16">
        <f t="shared" si="11"/>
        <v>3414.6</v>
      </c>
      <c r="AC76" s="16">
        <f t="shared" si="12"/>
        <v>2015.5</v>
      </c>
      <c r="AD76" s="16">
        <f t="shared" si="13"/>
        <v>1</v>
      </c>
      <c r="AE76" s="16">
        <f t="shared" si="14"/>
        <v>2025.5</v>
      </c>
      <c r="AF76" s="16">
        <f t="shared" si="15"/>
        <v>0</v>
      </c>
      <c r="AG76" s="16">
        <f t="shared" si="16"/>
        <v>-8.3333333333333329E-2</v>
      </c>
    </row>
    <row r="77" spans="1:33">
      <c r="A77" s="6">
        <v>124523</v>
      </c>
      <c r="B77" s="26">
        <v>20</v>
      </c>
      <c r="C77" s="27" t="s">
        <v>170</v>
      </c>
      <c r="D77" s="26">
        <v>2015</v>
      </c>
      <c r="E77" s="26">
        <v>7</v>
      </c>
      <c r="F77" s="58"/>
      <c r="H77" s="26" t="s">
        <v>51</v>
      </c>
      <c r="I77" s="26">
        <v>10</v>
      </c>
      <c r="J77" s="26">
        <f t="shared" si="1"/>
        <v>2025</v>
      </c>
      <c r="M77" s="16">
        <v>10639.46</v>
      </c>
      <c r="O77" s="16">
        <f t="shared" si="2"/>
        <v>10639.46</v>
      </c>
      <c r="P77" s="16">
        <f t="shared" si="3"/>
        <v>88.662166666666664</v>
      </c>
      <c r="Q77" s="16">
        <f t="shared" si="4"/>
        <v>0</v>
      </c>
      <c r="R77" s="16">
        <f t="shared" ref="R77:R89" si="17">IF(N77=0,0,IF(AND(AG77&gt;=AF77,AG77&lt;=AE77),((AG77-AF77)*12)*P77,0))</f>
        <v>0</v>
      </c>
      <c r="S77" s="16">
        <f t="shared" si="5"/>
        <v>0</v>
      </c>
      <c r="T77" s="16">
        <v>1</v>
      </c>
      <c r="U77" s="16">
        <f t="shared" si="6"/>
        <v>0</v>
      </c>
      <c r="V77" s="16"/>
      <c r="W77" s="16">
        <f t="shared" si="7"/>
        <v>0</v>
      </c>
      <c r="X77" s="16">
        <f t="shared" si="8"/>
        <v>0</v>
      </c>
      <c r="Y77" s="16">
        <v>1</v>
      </c>
      <c r="Z77" s="16">
        <f t="shared" si="9"/>
        <v>0</v>
      </c>
      <c r="AA77" s="16">
        <f t="shared" si="10"/>
        <v>0</v>
      </c>
      <c r="AB77" s="16">
        <f t="shared" si="11"/>
        <v>5319.73</v>
      </c>
      <c r="AC77" s="16">
        <f t="shared" si="12"/>
        <v>2015.5</v>
      </c>
      <c r="AD77" s="16">
        <f t="shared" si="13"/>
        <v>1</v>
      </c>
      <c r="AE77" s="16">
        <f t="shared" si="14"/>
        <v>2025.5</v>
      </c>
      <c r="AF77" s="16">
        <f t="shared" si="15"/>
        <v>0</v>
      </c>
      <c r="AG77" s="16">
        <f t="shared" si="16"/>
        <v>-8.3333333333333329E-2</v>
      </c>
    </row>
    <row r="78" spans="1:33">
      <c r="A78" s="6">
        <v>124522</v>
      </c>
      <c r="B78" s="26">
        <v>10</v>
      </c>
      <c r="C78" s="27" t="s">
        <v>169</v>
      </c>
      <c r="D78" s="26">
        <v>2015</v>
      </c>
      <c r="E78" s="26">
        <v>7</v>
      </c>
      <c r="F78" s="58"/>
      <c r="H78" s="26" t="s">
        <v>51</v>
      </c>
      <c r="I78" s="26">
        <v>10</v>
      </c>
      <c r="J78" s="26">
        <f>D78+I78</f>
        <v>2025</v>
      </c>
      <c r="M78" s="16">
        <v>4401.04</v>
      </c>
      <c r="O78" s="16">
        <f>M78-M78*F78</f>
        <v>4401.04</v>
      </c>
      <c r="P78" s="16">
        <f>O78/I78/12</f>
        <v>36.675333333333334</v>
      </c>
      <c r="Q78" s="16">
        <f t="shared" ref="Q78:Q89" si="18">IF(N78&gt;0,0,IF(OR(AC78&gt;AD78,AE78&lt;AF78),0,IF(AND(AE78&gt;=AF78,AE78&lt;=AD78),P78*((AE78-AF78)*12),IF(AND(AF78&lt;=AC78,AD78&gt;=AC78),((AD78-AC78)*12)*P78,IF(AE78&gt;AD78,12*P78,0)))))</f>
        <v>0</v>
      </c>
      <c r="R78" s="16">
        <f t="shared" si="17"/>
        <v>0</v>
      </c>
      <c r="S78" s="16">
        <f t="shared" ref="S78:S89" si="19">IF(R78&gt;0,R78,Q78)</f>
        <v>0</v>
      </c>
      <c r="T78" s="16">
        <v>1</v>
      </c>
      <c r="U78" s="16">
        <f t="shared" ref="U78:U89" si="20">T78*SUM(Q78:R78)</f>
        <v>0</v>
      </c>
      <c r="V78" s="16"/>
      <c r="W78" s="16">
        <f t="shared" ref="W78:W89" si="21">IF(AC78&gt;AD78,0,IF(AE78&lt;AF78,O78,IF(AND(AE78&gt;=AF78,AE78&lt;=AD78),(O78-S78),IF(AND(AF78&lt;=AC78,AD78&gt;=AC78),0,IF(AE78&gt;AD78,((AF78-AC78)*12)*P78,0)))))</f>
        <v>0</v>
      </c>
      <c r="X78" s="16">
        <f t="shared" ref="X78:X89" si="22">W78*T78</f>
        <v>0</v>
      </c>
      <c r="Y78" s="16">
        <v>1</v>
      </c>
      <c r="Z78" s="16">
        <f t="shared" ref="Z78:Z89" si="23">X78*Y78</f>
        <v>0</v>
      </c>
      <c r="AA78" s="16">
        <f t="shared" ref="AA78:AA89" si="24">IF(N78&gt;0,0,Z78+U78*Y78)*Y78</f>
        <v>0</v>
      </c>
      <c r="AB78" s="16">
        <f t="shared" ref="AB78:AB89" si="25">IF(N78&gt;0,(M78-Z78)/2,IF(AC78&gt;=AF78,(((M78*T78)*Y78)-AA78)/2,((((M78*T78)*Y78)-Z78)+(((M78*T78)*Y78)-AA78))/2))</f>
        <v>2200.52</v>
      </c>
      <c r="AC78" s="16">
        <f t="shared" ref="AC78:AC96" si="26">$D78+(($E78-1)/12)</f>
        <v>2015.5</v>
      </c>
      <c r="AD78" s="16">
        <f t="shared" ref="AD78:AD96" si="27">($O$5+1)-($O$2/12)</f>
        <v>1</v>
      </c>
      <c r="AE78" s="16">
        <f t="shared" ref="AE78:AE96" si="28">$J78+(($E78-1)/12)</f>
        <v>2025.5</v>
      </c>
      <c r="AF78" s="16">
        <f t="shared" ref="AF78:AF96" si="29">$O$4+($O$3/12)</f>
        <v>0</v>
      </c>
      <c r="AG78" s="16">
        <f t="shared" ref="AG78:AG96" si="30">$K78+(($L78-1)/12)</f>
        <v>-8.3333333333333329E-2</v>
      </c>
    </row>
    <row r="79" spans="1:33">
      <c r="B79" s="26"/>
      <c r="C79" s="27"/>
      <c r="D79" s="26"/>
      <c r="E79" s="26"/>
      <c r="F79" s="58"/>
      <c r="H79" s="26"/>
      <c r="M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>
      <c r="A80" s="6">
        <v>133181</v>
      </c>
      <c r="B80" s="26">
        <v>9</v>
      </c>
      <c r="C80" s="27" t="s">
        <v>325</v>
      </c>
      <c r="D80" s="26">
        <v>2016</v>
      </c>
      <c r="E80" s="26">
        <v>5</v>
      </c>
      <c r="F80" s="58"/>
      <c r="H80" s="26" t="s">
        <v>51</v>
      </c>
      <c r="I80" s="26">
        <v>10</v>
      </c>
      <c r="J80" s="26">
        <f>D80+I80</f>
        <v>2026</v>
      </c>
      <c r="M80" s="16">
        <v>6682.87</v>
      </c>
      <c r="O80" s="16">
        <f>M80-M80*F80</f>
        <v>6682.87</v>
      </c>
      <c r="P80" s="16">
        <f>O80/I80/12</f>
        <v>55.690583333333336</v>
      </c>
      <c r="Q80" s="16">
        <f t="shared" si="18"/>
        <v>0</v>
      </c>
      <c r="R80" s="16">
        <f t="shared" si="17"/>
        <v>0</v>
      </c>
      <c r="S80" s="16">
        <f t="shared" si="19"/>
        <v>0</v>
      </c>
      <c r="T80" s="16">
        <v>1</v>
      </c>
      <c r="U80" s="16">
        <f t="shared" si="20"/>
        <v>0</v>
      </c>
      <c r="V80" s="16"/>
      <c r="W80" s="16">
        <f t="shared" si="21"/>
        <v>0</v>
      </c>
      <c r="X80" s="16">
        <f t="shared" si="22"/>
        <v>0</v>
      </c>
      <c r="Y80" s="16">
        <v>1</v>
      </c>
      <c r="Z80" s="16">
        <f t="shared" si="23"/>
        <v>0</v>
      </c>
      <c r="AA80" s="16">
        <f t="shared" si="24"/>
        <v>0</v>
      </c>
      <c r="AB80" s="16">
        <f t="shared" si="25"/>
        <v>3341.4349999999999</v>
      </c>
      <c r="AC80" s="16">
        <f t="shared" si="26"/>
        <v>2016.3333333333333</v>
      </c>
      <c r="AD80" s="16">
        <f t="shared" si="27"/>
        <v>1</v>
      </c>
      <c r="AE80" s="16">
        <f t="shared" si="28"/>
        <v>2026.3333333333333</v>
      </c>
      <c r="AF80" s="16">
        <f t="shared" si="29"/>
        <v>0</v>
      </c>
      <c r="AG80" s="16">
        <f t="shared" si="30"/>
        <v>-8.3333333333333329E-2</v>
      </c>
    </row>
    <row r="81" spans="1:33">
      <c r="A81" s="6">
        <v>133182</v>
      </c>
      <c r="B81" s="26">
        <v>8</v>
      </c>
      <c r="C81" s="27" t="s">
        <v>326</v>
      </c>
      <c r="D81" s="26">
        <v>2016</v>
      </c>
      <c r="E81" s="26">
        <v>5</v>
      </c>
      <c r="F81" s="58"/>
      <c r="H81" s="26" t="s">
        <v>51</v>
      </c>
      <c r="I81" s="26">
        <v>10</v>
      </c>
      <c r="J81" s="26">
        <f>D81+I81</f>
        <v>2026</v>
      </c>
      <c r="M81" s="16">
        <v>5127.32</v>
      </c>
      <c r="O81" s="16">
        <f>M81-M81*F81</f>
        <v>5127.32</v>
      </c>
      <c r="P81" s="16">
        <f>O81/I81/12</f>
        <v>42.727666666666664</v>
      </c>
      <c r="Q81" s="16">
        <f t="shared" si="18"/>
        <v>0</v>
      </c>
      <c r="R81" s="16">
        <f t="shared" si="17"/>
        <v>0</v>
      </c>
      <c r="S81" s="16">
        <f t="shared" si="19"/>
        <v>0</v>
      </c>
      <c r="T81" s="16">
        <v>1</v>
      </c>
      <c r="U81" s="16">
        <f t="shared" si="20"/>
        <v>0</v>
      </c>
      <c r="V81" s="16"/>
      <c r="W81" s="16">
        <f t="shared" si="21"/>
        <v>0</v>
      </c>
      <c r="X81" s="16">
        <f t="shared" si="22"/>
        <v>0</v>
      </c>
      <c r="Y81" s="16">
        <v>1</v>
      </c>
      <c r="Z81" s="16">
        <f t="shared" si="23"/>
        <v>0</v>
      </c>
      <c r="AA81" s="16">
        <f t="shared" si="24"/>
        <v>0</v>
      </c>
      <c r="AB81" s="16">
        <f t="shared" si="25"/>
        <v>2563.66</v>
      </c>
      <c r="AC81" s="16">
        <f t="shared" si="26"/>
        <v>2016.3333333333333</v>
      </c>
      <c r="AD81" s="16">
        <f t="shared" si="27"/>
        <v>1</v>
      </c>
      <c r="AE81" s="16">
        <f t="shared" si="28"/>
        <v>2026.3333333333333</v>
      </c>
      <c r="AF81" s="16">
        <f t="shared" si="29"/>
        <v>0</v>
      </c>
      <c r="AG81" s="16">
        <f t="shared" si="30"/>
        <v>-8.3333333333333329E-2</v>
      </c>
    </row>
    <row r="82" spans="1:33">
      <c r="A82" s="6">
        <v>165325</v>
      </c>
      <c r="B82" s="26">
        <v>6</v>
      </c>
      <c r="C82" s="27" t="s">
        <v>170</v>
      </c>
      <c r="D82" s="26">
        <v>2016</v>
      </c>
      <c r="E82" s="26">
        <v>7</v>
      </c>
      <c r="F82" s="58"/>
      <c r="H82" s="26" t="s">
        <v>51</v>
      </c>
      <c r="I82" s="26">
        <v>10</v>
      </c>
      <c r="J82" s="26">
        <f>D82+I82</f>
        <v>2026</v>
      </c>
      <c r="M82" s="16">
        <v>4802.12</v>
      </c>
      <c r="O82" s="16">
        <f>M82-M82*F82</f>
        <v>4802.12</v>
      </c>
      <c r="P82" s="16">
        <f>O82/I82/12</f>
        <v>40.017666666666663</v>
      </c>
      <c r="Q82" s="16">
        <f t="shared" si="18"/>
        <v>0</v>
      </c>
      <c r="R82" s="16">
        <f t="shared" si="17"/>
        <v>0</v>
      </c>
      <c r="S82" s="16">
        <f t="shared" si="19"/>
        <v>0</v>
      </c>
      <c r="T82" s="16">
        <v>1</v>
      </c>
      <c r="U82" s="16">
        <f t="shared" si="20"/>
        <v>0</v>
      </c>
      <c r="V82" s="16"/>
      <c r="W82" s="16">
        <f t="shared" si="21"/>
        <v>0</v>
      </c>
      <c r="X82" s="16">
        <f t="shared" si="22"/>
        <v>0</v>
      </c>
      <c r="Y82" s="16">
        <v>1</v>
      </c>
      <c r="Z82" s="16">
        <f t="shared" si="23"/>
        <v>0</v>
      </c>
      <c r="AA82" s="16">
        <f t="shared" si="24"/>
        <v>0</v>
      </c>
      <c r="AB82" s="16">
        <f t="shared" si="25"/>
        <v>2401.06</v>
      </c>
      <c r="AC82" s="16">
        <f t="shared" si="26"/>
        <v>2016.5</v>
      </c>
      <c r="AD82" s="16">
        <f t="shared" si="27"/>
        <v>1</v>
      </c>
      <c r="AE82" s="16">
        <f t="shared" si="28"/>
        <v>2026.5</v>
      </c>
      <c r="AF82" s="16">
        <f t="shared" si="29"/>
        <v>0</v>
      </c>
      <c r="AG82" s="16">
        <f t="shared" si="30"/>
        <v>-8.3333333333333329E-2</v>
      </c>
    </row>
    <row r="83" spans="1:33">
      <c r="A83" s="6">
        <v>165326</v>
      </c>
      <c r="B83" s="26">
        <v>1</v>
      </c>
      <c r="C83" s="27" t="s">
        <v>172</v>
      </c>
      <c r="D83" s="26">
        <v>2016</v>
      </c>
      <c r="E83" s="26">
        <v>7</v>
      </c>
      <c r="F83" s="58"/>
      <c r="H83" s="26" t="s">
        <v>51</v>
      </c>
      <c r="I83" s="26">
        <v>10</v>
      </c>
      <c r="J83" s="26">
        <f>D83+I83</f>
        <v>2026</v>
      </c>
      <c r="M83" s="16">
        <v>1938.19</v>
      </c>
      <c r="O83" s="16">
        <f>M83-M83*F83</f>
        <v>1938.19</v>
      </c>
      <c r="P83" s="16">
        <f>O83/I83/12</f>
        <v>16.151583333333335</v>
      </c>
      <c r="Q83" s="16">
        <f t="shared" si="18"/>
        <v>0</v>
      </c>
      <c r="R83" s="16">
        <f t="shared" si="17"/>
        <v>0</v>
      </c>
      <c r="S83" s="16">
        <f t="shared" si="19"/>
        <v>0</v>
      </c>
      <c r="T83" s="16">
        <v>1</v>
      </c>
      <c r="U83" s="16">
        <f t="shared" si="20"/>
        <v>0</v>
      </c>
      <c r="V83" s="16"/>
      <c r="W83" s="16">
        <f t="shared" si="21"/>
        <v>0</v>
      </c>
      <c r="X83" s="16">
        <f t="shared" si="22"/>
        <v>0</v>
      </c>
      <c r="Y83" s="16">
        <v>1</v>
      </c>
      <c r="Z83" s="16">
        <f t="shared" si="23"/>
        <v>0</v>
      </c>
      <c r="AA83" s="16">
        <f t="shared" si="24"/>
        <v>0</v>
      </c>
      <c r="AB83" s="16">
        <f t="shared" si="25"/>
        <v>969.09500000000003</v>
      </c>
      <c r="AC83" s="16">
        <f t="shared" si="26"/>
        <v>2016.5</v>
      </c>
      <c r="AD83" s="16">
        <f t="shared" si="27"/>
        <v>1</v>
      </c>
      <c r="AE83" s="16">
        <f t="shared" si="28"/>
        <v>2026.5</v>
      </c>
      <c r="AF83" s="16">
        <f t="shared" si="29"/>
        <v>0</v>
      </c>
      <c r="AG83" s="16">
        <f t="shared" si="30"/>
        <v>-8.3333333333333329E-2</v>
      </c>
    </row>
    <row r="84" spans="1:33">
      <c r="A84" s="6">
        <v>170273</v>
      </c>
      <c r="B84" s="26">
        <v>10</v>
      </c>
      <c r="C84" s="27" t="s">
        <v>335</v>
      </c>
      <c r="D84" s="26">
        <v>2016</v>
      </c>
      <c r="E84" s="26">
        <v>9</v>
      </c>
      <c r="F84" s="58"/>
      <c r="H84" s="26" t="s">
        <v>51</v>
      </c>
      <c r="I84" s="26">
        <v>12</v>
      </c>
      <c r="J84" s="26">
        <f t="shared" ref="J84:J89" si="31">D84+I84</f>
        <v>2028</v>
      </c>
      <c r="M84" s="16">
        <v>8329</v>
      </c>
      <c r="O84" s="16">
        <f t="shared" ref="O84:O89" si="32">M84-M84*F84</f>
        <v>8329</v>
      </c>
      <c r="P84" s="16">
        <f t="shared" ref="P84:P89" si="33">O84/I84/12</f>
        <v>57.840277777777779</v>
      </c>
      <c r="Q84" s="16">
        <f t="shared" si="18"/>
        <v>0</v>
      </c>
      <c r="R84" s="16">
        <f t="shared" si="17"/>
        <v>0</v>
      </c>
      <c r="S84" s="16">
        <f t="shared" si="19"/>
        <v>0</v>
      </c>
      <c r="T84" s="16">
        <v>1</v>
      </c>
      <c r="U84" s="16">
        <f t="shared" si="20"/>
        <v>0</v>
      </c>
      <c r="V84" s="16"/>
      <c r="W84" s="16">
        <f t="shared" si="21"/>
        <v>0</v>
      </c>
      <c r="X84" s="16">
        <f t="shared" si="22"/>
        <v>0</v>
      </c>
      <c r="Y84" s="16">
        <v>1</v>
      </c>
      <c r="Z84" s="16">
        <f t="shared" si="23"/>
        <v>0</v>
      </c>
      <c r="AA84" s="16">
        <f t="shared" si="24"/>
        <v>0</v>
      </c>
      <c r="AB84" s="16">
        <f t="shared" si="25"/>
        <v>4164.5</v>
      </c>
      <c r="AC84" s="16">
        <f t="shared" si="26"/>
        <v>2016.6666666666667</v>
      </c>
      <c r="AD84" s="16">
        <f t="shared" si="27"/>
        <v>1</v>
      </c>
      <c r="AE84" s="16">
        <f t="shared" si="28"/>
        <v>2028.6666666666667</v>
      </c>
      <c r="AF84" s="16">
        <f t="shared" si="29"/>
        <v>0</v>
      </c>
      <c r="AG84" s="16">
        <f t="shared" si="30"/>
        <v>-8.3333333333333329E-2</v>
      </c>
    </row>
    <row r="85" spans="1:33">
      <c r="A85" s="6">
        <v>170272</v>
      </c>
      <c r="B85" s="26">
        <v>10</v>
      </c>
      <c r="C85" s="27" t="s">
        <v>336</v>
      </c>
      <c r="D85" s="26">
        <v>2016</v>
      </c>
      <c r="E85" s="26">
        <v>9</v>
      </c>
      <c r="F85" s="58"/>
      <c r="H85" s="26" t="s">
        <v>51</v>
      </c>
      <c r="I85" s="26">
        <v>12</v>
      </c>
      <c r="J85" s="26">
        <f t="shared" si="31"/>
        <v>2028</v>
      </c>
      <c r="M85" s="16">
        <v>4675.7299999999996</v>
      </c>
      <c r="O85" s="16">
        <f t="shared" si="32"/>
        <v>4675.7299999999996</v>
      </c>
      <c r="P85" s="16">
        <f t="shared" si="33"/>
        <v>32.470347222222223</v>
      </c>
      <c r="Q85" s="16">
        <f t="shared" si="18"/>
        <v>0</v>
      </c>
      <c r="R85" s="16">
        <f t="shared" si="17"/>
        <v>0</v>
      </c>
      <c r="S85" s="16">
        <f t="shared" si="19"/>
        <v>0</v>
      </c>
      <c r="T85" s="16">
        <v>1</v>
      </c>
      <c r="U85" s="16">
        <f t="shared" si="20"/>
        <v>0</v>
      </c>
      <c r="V85" s="16"/>
      <c r="W85" s="16">
        <f t="shared" si="21"/>
        <v>0</v>
      </c>
      <c r="X85" s="16">
        <f t="shared" si="22"/>
        <v>0</v>
      </c>
      <c r="Y85" s="16">
        <v>1</v>
      </c>
      <c r="Z85" s="16">
        <f t="shared" si="23"/>
        <v>0</v>
      </c>
      <c r="AA85" s="16">
        <f t="shared" si="24"/>
        <v>0</v>
      </c>
      <c r="AB85" s="16">
        <f t="shared" si="25"/>
        <v>2337.8649999999998</v>
      </c>
      <c r="AC85" s="16">
        <f t="shared" si="26"/>
        <v>2016.6666666666667</v>
      </c>
      <c r="AD85" s="16">
        <f t="shared" si="27"/>
        <v>1</v>
      </c>
      <c r="AE85" s="16">
        <f t="shared" si="28"/>
        <v>2028.6666666666667</v>
      </c>
      <c r="AF85" s="16">
        <f t="shared" si="29"/>
        <v>0</v>
      </c>
      <c r="AG85" s="16">
        <f t="shared" si="30"/>
        <v>-8.3333333333333329E-2</v>
      </c>
    </row>
    <row r="86" spans="1:33">
      <c r="A86" s="6">
        <v>170271</v>
      </c>
      <c r="B86" s="26">
        <v>10</v>
      </c>
      <c r="C86" s="27" t="s">
        <v>337</v>
      </c>
      <c r="D86" s="26">
        <v>2016</v>
      </c>
      <c r="E86" s="26">
        <v>9</v>
      </c>
      <c r="F86" s="58"/>
      <c r="H86" s="26" t="s">
        <v>51</v>
      </c>
      <c r="I86" s="26">
        <v>12</v>
      </c>
      <c r="J86" s="26">
        <f t="shared" si="31"/>
        <v>2028</v>
      </c>
      <c r="M86" s="16">
        <v>4711</v>
      </c>
      <c r="O86" s="16">
        <f t="shared" si="32"/>
        <v>4711</v>
      </c>
      <c r="P86" s="16">
        <f t="shared" si="33"/>
        <v>32.715277777777779</v>
      </c>
      <c r="Q86" s="16">
        <f t="shared" si="18"/>
        <v>0</v>
      </c>
      <c r="R86" s="16">
        <f t="shared" si="17"/>
        <v>0</v>
      </c>
      <c r="S86" s="16">
        <f t="shared" si="19"/>
        <v>0</v>
      </c>
      <c r="T86" s="16">
        <v>1</v>
      </c>
      <c r="U86" s="16">
        <f t="shared" si="20"/>
        <v>0</v>
      </c>
      <c r="V86" s="16"/>
      <c r="W86" s="16">
        <f t="shared" si="21"/>
        <v>0</v>
      </c>
      <c r="X86" s="16">
        <f t="shared" si="22"/>
        <v>0</v>
      </c>
      <c r="Y86" s="16">
        <v>1</v>
      </c>
      <c r="Z86" s="16">
        <f t="shared" si="23"/>
        <v>0</v>
      </c>
      <c r="AA86" s="16">
        <f t="shared" si="24"/>
        <v>0</v>
      </c>
      <c r="AB86" s="16">
        <f t="shared" si="25"/>
        <v>2355.5</v>
      </c>
      <c r="AC86" s="16">
        <f t="shared" si="26"/>
        <v>2016.6666666666667</v>
      </c>
      <c r="AD86" s="16">
        <f t="shared" si="27"/>
        <v>1</v>
      </c>
      <c r="AE86" s="16">
        <f t="shared" si="28"/>
        <v>2028.6666666666667</v>
      </c>
      <c r="AF86" s="16">
        <f t="shared" si="29"/>
        <v>0</v>
      </c>
      <c r="AG86" s="16">
        <f t="shared" si="30"/>
        <v>-8.3333333333333329E-2</v>
      </c>
    </row>
    <row r="87" spans="1:33">
      <c r="A87" s="6">
        <v>170270</v>
      </c>
      <c r="B87" s="26">
        <v>20</v>
      </c>
      <c r="C87" s="27" t="s">
        <v>338</v>
      </c>
      <c r="D87" s="26">
        <v>2016</v>
      </c>
      <c r="E87" s="26">
        <v>9</v>
      </c>
      <c r="F87" s="58"/>
      <c r="H87" s="26" t="s">
        <v>51</v>
      </c>
      <c r="I87" s="26">
        <v>12</v>
      </c>
      <c r="J87" s="26">
        <f t="shared" si="31"/>
        <v>2028</v>
      </c>
      <c r="M87" s="16">
        <v>10972</v>
      </c>
      <c r="O87" s="16">
        <f t="shared" si="32"/>
        <v>10972</v>
      </c>
      <c r="P87" s="16">
        <f t="shared" si="33"/>
        <v>76.194444444444443</v>
      </c>
      <c r="Q87" s="16">
        <f t="shared" si="18"/>
        <v>0</v>
      </c>
      <c r="R87" s="16">
        <f t="shared" si="17"/>
        <v>0</v>
      </c>
      <c r="S87" s="16">
        <f t="shared" si="19"/>
        <v>0</v>
      </c>
      <c r="T87" s="16">
        <v>1</v>
      </c>
      <c r="U87" s="16">
        <f t="shared" si="20"/>
        <v>0</v>
      </c>
      <c r="V87" s="16"/>
      <c r="W87" s="16">
        <f t="shared" si="21"/>
        <v>0</v>
      </c>
      <c r="X87" s="16">
        <f t="shared" si="22"/>
        <v>0</v>
      </c>
      <c r="Y87" s="16">
        <v>1</v>
      </c>
      <c r="Z87" s="16">
        <f t="shared" si="23"/>
        <v>0</v>
      </c>
      <c r="AA87" s="16">
        <f t="shared" si="24"/>
        <v>0</v>
      </c>
      <c r="AB87" s="16">
        <f t="shared" si="25"/>
        <v>5486</v>
      </c>
      <c r="AC87" s="16">
        <f t="shared" si="26"/>
        <v>2016.6666666666667</v>
      </c>
      <c r="AD87" s="16">
        <f t="shared" si="27"/>
        <v>1</v>
      </c>
      <c r="AE87" s="16">
        <f t="shared" si="28"/>
        <v>2028.6666666666667</v>
      </c>
      <c r="AF87" s="16">
        <f t="shared" si="29"/>
        <v>0</v>
      </c>
      <c r="AG87" s="16">
        <f t="shared" si="30"/>
        <v>-8.3333333333333329E-2</v>
      </c>
    </row>
    <row r="88" spans="1:33">
      <c r="A88" s="6">
        <v>170269</v>
      </c>
      <c r="B88" s="26">
        <v>10</v>
      </c>
      <c r="C88" s="27" t="s">
        <v>339</v>
      </c>
      <c r="D88" s="26">
        <v>2016</v>
      </c>
      <c r="E88" s="26">
        <v>9</v>
      </c>
      <c r="F88" s="58"/>
      <c r="H88" s="26" t="s">
        <v>51</v>
      </c>
      <c r="I88" s="26">
        <v>12</v>
      </c>
      <c r="J88" s="26">
        <f t="shared" si="31"/>
        <v>2028</v>
      </c>
      <c r="M88" s="16">
        <v>5991</v>
      </c>
      <c r="O88" s="16">
        <f t="shared" si="32"/>
        <v>5991</v>
      </c>
      <c r="P88" s="16">
        <f t="shared" si="33"/>
        <v>41.604166666666664</v>
      </c>
      <c r="Q88" s="16">
        <f t="shared" si="18"/>
        <v>0</v>
      </c>
      <c r="R88" s="16">
        <f t="shared" si="17"/>
        <v>0</v>
      </c>
      <c r="S88" s="16">
        <f t="shared" si="19"/>
        <v>0</v>
      </c>
      <c r="T88" s="16">
        <v>1</v>
      </c>
      <c r="U88" s="16">
        <f t="shared" si="20"/>
        <v>0</v>
      </c>
      <c r="V88" s="16"/>
      <c r="W88" s="16">
        <f t="shared" si="21"/>
        <v>0</v>
      </c>
      <c r="X88" s="16">
        <f t="shared" si="22"/>
        <v>0</v>
      </c>
      <c r="Y88" s="16">
        <v>1</v>
      </c>
      <c r="Z88" s="16">
        <f t="shared" si="23"/>
        <v>0</v>
      </c>
      <c r="AA88" s="16">
        <f t="shared" si="24"/>
        <v>0</v>
      </c>
      <c r="AB88" s="16">
        <f t="shared" si="25"/>
        <v>2995.5</v>
      </c>
      <c r="AC88" s="16">
        <f t="shared" si="26"/>
        <v>2016.6666666666667</v>
      </c>
      <c r="AD88" s="16">
        <f t="shared" si="27"/>
        <v>1</v>
      </c>
      <c r="AE88" s="16">
        <f t="shared" si="28"/>
        <v>2028.6666666666667</v>
      </c>
      <c r="AF88" s="16">
        <f t="shared" si="29"/>
        <v>0</v>
      </c>
      <c r="AG88" s="16">
        <f t="shared" si="30"/>
        <v>-8.3333333333333329E-2</v>
      </c>
    </row>
    <row r="89" spans="1:33">
      <c r="A89" s="6">
        <v>170268</v>
      </c>
      <c r="B89" s="26">
        <v>10</v>
      </c>
      <c r="C89" s="27" t="s">
        <v>340</v>
      </c>
      <c r="D89" s="26">
        <v>2016</v>
      </c>
      <c r="E89" s="26">
        <v>9</v>
      </c>
      <c r="F89" s="58"/>
      <c r="H89" s="26" t="s">
        <v>51</v>
      </c>
      <c r="I89" s="26">
        <v>12</v>
      </c>
      <c r="J89" s="26">
        <f t="shared" si="31"/>
        <v>2028</v>
      </c>
      <c r="M89" s="16">
        <v>7413</v>
      </c>
      <c r="O89" s="16">
        <f t="shared" si="32"/>
        <v>7413</v>
      </c>
      <c r="P89" s="16">
        <f t="shared" si="33"/>
        <v>51.479166666666664</v>
      </c>
      <c r="Q89" s="16">
        <f t="shared" si="18"/>
        <v>0</v>
      </c>
      <c r="R89" s="16">
        <f t="shared" si="17"/>
        <v>0</v>
      </c>
      <c r="S89" s="16">
        <f t="shared" si="19"/>
        <v>0</v>
      </c>
      <c r="T89" s="16">
        <v>1</v>
      </c>
      <c r="U89" s="16">
        <f t="shared" si="20"/>
        <v>0</v>
      </c>
      <c r="V89" s="16"/>
      <c r="W89" s="16">
        <f t="shared" si="21"/>
        <v>0</v>
      </c>
      <c r="X89" s="16">
        <f t="shared" si="22"/>
        <v>0</v>
      </c>
      <c r="Y89" s="16">
        <v>1</v>
      </c>
      <c r="Z89" s="16">
        <f t="shared" si="23"/>
        <v>0</v>
      </c>
      <c r="AA89" s="16">
        <f t="shared" si="24"/>
        <v>0</v>
      </c>
      <c r="AB89" s="16">
        <f t="shared" si="25"/>
        <v>3706.5</v>
      </c>
      <c r="AC89" s="16">
        <f t="shared" si="26"/>
        <v>2016.6666666666667</v>
      </c>
      <c r="AD89" s="16">
        <f t="shared" si="27"/>
        <v>1</v>
      </c>
      <c r="AE89" s="16">
        <f t="shared" si="28"/>
        <v>2028.6666666666667</v>
      </c>
      <c r="AF89" s="16">
        <f t="shared" si="29"/>
        <v>0</v>
      </c>
      <c r="AG89" s="16">
        <f t="shared" si="30"/>
        <v>-8.3333333333333329E-2</v>
      </c>
    </row>
    <row r="90" spans="1:33">
      <c r="B90" s="26"/>
      <c r="C90" s="27"/>
      <c r="D90" s="26"/>
      <c r="E90" s="26"/>
      <c r="F90" s="58"/>
      <c r="H90" s="26"/>
      <c r="M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>
      <c r="A91" s="6">
        <v>177797</v>
      </c>
      <c r="B91" s="26">
        <v>60</v>
      </c>
      <c r="C91" s="27" t="s">
        <v>351</v>
      </c>
      <c r="D91" s="26">
        <v>2017</v>
      </c>
      <c r="E91" s="26">
        <v>3</v>
      </c>
      <c r="F91" s="58"/>
      <c r="H91" s="26" t="s">
        <v>51</v>
      </c>
      <c r="I91" s="26">
        <v>12</v>
      </c>
      <c r="J91" s="26">
        <f t="shared" ref="J91:J96" si="34">D91+I91</f>
        <v>2029</v>
      </c>
      <c r="M91" s="16">
        <v>26093.53</v>
      </c>
      <c r="O91" s="16">
        <f t="shared" ref="O91:O96" si="35">M91-M91*F91</f>
        <v>26093.53</v>
      </c>
      <c r="P91" s="16">
        <f t="shared" ref="P91:P96" si="36">O91/I91/12</f>
        <v>181.20506944444443</v>
      </c>
      <c r="Q91" s="16">
        <f t="shared" ref="Q91:Q96" si="37">IF(N91&gt;0,0,IF(OR(AC91&gt;AD91,AE91&lt;AF91),0,IF(AND(AE91&gt;=AF91,AE91&lt;=AD91),P91*((AE91-AF91)*12),IF(AND(AF91&lt;=AC91,AD91&gt;=AC91),((AD91-AC91)*12)*P91,IF(AE91&gt;AD91,12*P91,0)))))</f>
        <v>0</v>
      </c>
      <c r="R91" s="16">
        <f t="shared" ref="R91:R96" si="38">IF(N91=0,0,IF(AND(AG91&gt;=AF91,AG91&lt;=AE91),((AG91-AF91)*12)*P91,0))</f>
        <v>0</v>
      </c>
      <c r="S91" s="16">
        <f t="shared" ref="S91:S96" si="39">IF(R91&gt;0,R91,Q91)</f>
        <v>0</v>
      </c>
      <c r="T91" s="16">
        <v>1</v>
      </c>
      <c r="U91" s="16">
        <f t="shared" ref="U91:U96" si="40">T91*SUM(Q91:R91)</f>
        <v>0</v>
      </c>
      <c r="V91" s="16"/>
      <c r="W91" s="16">
        <f t="shared" ref="W91:W96" si="41">IF(AC91&gt;AD91,0,IF(AE91&lt;AF91,O91,IF(AND(AE91&gt;=AF91,AE91&lt;=AD91),(O91-S91),IF(AND(AF91&lt;=AC91,AD91&gt;=AC91),0,IF(AE91&gt;AD91,((AF91-AC91)*12)*P91,0)))))</f>
        <v>0</v>
      </c>
      <c r="X91" s="16">
        <f t="shared" ref="X91:X96" si="42">W91*T91</f>
        <v>0</v>
      </c>
      <c r="Y91" s="16">
        <v>1</v>
      </c>
      <c r="Z91" s="16">
        <f t="shared" ref="Z91:Z96" si="43">X91*Y91</f>
        <v>0</v>
      </c>
      <c r="AA91" s="16">
        <f t="shared" ref="AA91:AA96" si="44">IF(N91&gt;0,0,Z91+U91*Y91)*Y91</f>
        <v>0</v>
      </c>
      <c r="AB91" s="16">
        <f t="shared" ref="AB91:AB96" si="45">IF(N91&gt;0,(M91-Z91)/2,IF(AC91&gt;=AF91,(((M91*T91)*Y91)-AA91)/2,((((M91*T91)*Y91)-Z91)+(((M91*T91)*Y91)-AA91))/2))</f>
        <v>13046.764999999999</v>
      </c>
      <c r="AC91" s="16">
        <f t="shared" si="26"/>
        <v>2017.1666666666667</v>
      </c>
      <c r="AD91" s="16">
        <f t="shared" si="27"/>
        <v>1</v>
      </c>
      <c r="AE91" s="16">
        <f t="shared" si="28"/>
        <v>2029.1666666666667</v>
      </c>
      <c r="AF91" s="16">
        <f t="shared" si="29"/>
        <v>0</v>
      </c>
      <c r="AG91" s="16">
        <f t="shared" si="30"/>
        <v>-8.3333333333333329E-2</v>
      </c>
    </row>
    <row r="92" spans="1:33">
      <c r="A92" s="6">
        <v>177798</v>
      </c>
      <c r="B92" s="26">
        <v>22</v>
      </c>
      <c r="C92" s="27" t="s">
        <v>352</v>
      </c>
      <c r="D92" s="26">
        <v>2017</v>
      </c>
      <c r="E92" s="26">
        <v>3</v>
      </c>
      <c r="F92" s="58"/>
      <c r="H92" s="26" t="s">
        <v>51</v>
      </c>
      <c r="I92" s="26">
        <v>12</v>
      </c>
      <c r="J92" s="26">
        <f t="shared" si="34"/>
        <v>2029</v>
      </c>
      <c r="M92" s="16">
        <v>10450</v>
      </c>
      <c r="O92" s="16">
        <f t="shared" si="35"/>
        <v>10450</v>
      </c>
      <c r="P92" s="16">
        <f t="shared" si="36"/>
        <v>72.569444444444443</v>
      </c>
      <c r="Q92" s="16">
        <f t="shared" si="37"/>
        <v>0</v>
      </c>
      <c r="R92" s="16">
        <f t="shared" si="38"/>
        <v>0</v>
      </c>
      <c r="S92" s="16">
        <f t="shared" si="39"/>
        <v>0</v>
      </c>
      <c r="T92" s="16">
        <v>1</v>
      </c>
      <c r="U92" s="16">
        <f t="shared" si="40"/>
        <v>0</v>
      </c>
      <c r="V92" s="16"/>
      <c r="W92" s="16">
        <f t="shared" si="41"/>
        <v>0</v>
      </c>
      <c r="X92" s="16">
        <f t="shared" si="42"/>
        <v>0</v>
      </c>
      <c r="Y92" s="16">
        <v>1</v>
      </c>
      <c r="Z92" s="16">
        <f t="shared" si="43"/>
        <v>0</v>
      </c>
      <c r="AA92" s="16">
        <f t="shared" si="44"/>
        <v>0</v>
      </c>
      <c r="AB92" s="16">
        <f t="shared" si="45"/>
        <v>5225</v>
      </c>
      <c r="AC92" s="16">
        <f t="shared" si="26"/>
        <v>2017.1666666666667</v>
      </c>
      <c r="AD92" s="16">
        <f t="shared" si="27"/>
        <v>1</v>
      </c>
      <c r="AE92" s="16">
        <f t="shared" si="28"/>
        <v>2029.1666666666667</v>
      </c>
      <c r="AF92" s="16">
        <f t="shared" si="29"/>
        <v>0</v>
      </c>
      <c r="AG92" s="16">
        <f t="shared" si="30"/>
        <v>-8.3333333333333329E-2</v>
      </c>
    </row>
    <row r="93" spans="1:33">
      <c r="A93" s="6">
        <v>177799</v>
      </c>
      <c r="B93" s="26">
        <v>1</v>
      </c>
      <c r="C93" s="27" t="s">
        <v>353</v>
      </c>
      <c r="D93" s="26">
        <v>2017</v>
      </c>
      <c r="E93" s="26">
        <v>3</v>
      </c>
      <c r="F93" s="58"/>
      <c r="H93" s="26" t="s">
        <v>51</v>
      </c>
      <c r="I93" s="26">
        <v>12</v>
      </c>
      <c r="J93" s="26">
        <f t="shared" si="34"/>
        <v>2029</v>
      </c>
      <c r="M93" s="16">
        <v>484.75</v>
      </c>
      <c r="O93" s="16">
        <f t="shared" si="35"/>
        <v>484.75</v>
      </c>
      <c r="P93" s="16">
        <f t="shared" si="36"/>
        <v>3.3663194444444446</v>
      </c>
      <c r="Q93" s="16">
        <f t="shared" si="37"/>
        <v>0</v>
      </c>
      <c r="R93" s="16">
        <f t="shared" si="38"/>
        <v>0</v>
      </c>
      <c r="S93" s="16">
        <f t="shared" si="39"/>
        <v>0</v>
      </c>
      <c r="T93" s="16">
        <v>1</v>
      </c>
      <c r="U93" s="16">
        <f t="shared" si="40"/>
        <v>0</v>
      </c>
      <c r="V93" s="16"/>
      <c r="W93" s="16">
        <f t="shared" si="41"/>
        <v>0</v>
      </c>
      <c r="X93" s="16">
        <f t="shared" si="42"/>
        <v>0</v>
      </c>
      <c r="Y93" s="16">
        <v>1</v>
      </c>
      <c r="Z93" s="16">
        <f t="shared" si="43"/>
        <v>0</v>
      </c>
      <c r="AA93" s="16">
        <f t="shared" si="44"/>
        <v>0</v>
      </c>
      <c r="AB93" s="16">
        <f t="shared" si="45"/>
        <v>242.375</v>
      </c>
      <c r="AC93" s="16">
        <f t="shared" si="26"/>
        <v>2017.1666666666667</v>
      </c>
      <c r="AD93" s="16">
        <f t="shared" si="27"/>
        <v>1</v>
      </c>
      <c r="AE93" s="16">
        <f t="shared" si="28"/>
        <v>2029.1666666666667</v>
      </c>
      <c r="AF93" s="16">
        <f t="shared" si="29"/>
        <v>0</v>
      </c>
      <c r="AG93" s="16">
        <f t="shared" si="30"/>
        <v>-8.3333333333333329E-2</v>
      </c>
    </row>
    <row r="94" spans="1:33">
      <c r="A94" s="6">
        <v>177800</v>
      </c>
      <c r="B94" s="26">
        <v>16</v>
      </c>
      <c r="C94" s="27" t="s">
        <v>354</v>
      </c>
      <c r="D94" s="26">
        <v>2017</v>
      </c>
      <c r="E94" s="26">
        <v>3</v>
      </c>
      <c r="F94" s="58"/>
      <c r="H94" s="26" t="s">
        <v>51</v>
      </c>
      <c r="I94" s="26">
        <v>12</v>
      </c>
      <c r="J94" s="26">
        <f t="shared" si="34"/>
        <v>2029</v>
      </c>
      <c r="M94" s="16">
        <v>7912.19</v>
      </c>
      <c r="O94" s="16">
        <f t="shared" si="35"/>
        <v>7912.19</v>
      </c>
      <c r="P94" s="16">
        <f t="shared" si="36"/>
        <v>54.945763888888884</v>
      </c>
      <c r="Q94" s="16">
        <f t="shared" si="37"/>
        <v>0</v>
      </c>
      <c r="R94" s="16">
        <f t="shared" si="38"/>
        <v>0</v>
      </c>
      <c r="S94" s="16">
        <f t="shared" si="39"/>
        <v>0</v>
      </c>
      <c r="T94" s="16">
        <v>1</v>
      </c>
      <c r="U94" s="16">
        <f t="shared" si="40"/>
        <v>0</v>
      </c>
      <c r="V94" s="16"/>
      <c r="W94" s="16">
        <f t="shared" si="41"/>
        <v>0</v>
      </c>
      <c r="X94" s="16">
        <f t="shared" si="42"/>
        <v>0</v>
      </c>
      <c r="Y94" s="16">
        <v>1</v>
      </c>
      <c r="Z94" s="16">
        <f t="shared" si="43"/>
        <v>0</v>
      </c>
      <c r="AA94" s="16">
        <f t="shared" si="44"/>
        <v>0</v>
      </c>
      <c r="AB94" s="16">
        <f t="shared" si="45"/>
        <v>3956.0949999999998</v>
      </c>
      <c r="AC94" s="16">
        <f t="shared" si="26"/>
        <v>2017.1666666666667</v>
      </c>
      <c r="AD94" s="16">
        <f t="shared" si="27"/>
        <v>1</v>
      </c>
      <c r="AE94" s="16">
        <f t="shared" si="28"/>
        <v>2029.1666666666667</v>
      </c>
      <c r="AF94" s="16">
        <f t="shared" si="29"/>
        <v>0</v>
      </c>
      <c r="AG94" s="16">
        <f t="shared" si="30"/>
        <v>-8.3333333333333329E-2</v>
      </c>
    </row>
    <row r="95" spans="1:33">
      <c r="A95" s="6">
        <v>177801</v>
      </c>
      <c r="B95" s="26">
        <v>49</v>
      </c>
      <c r="C95" s="27" t="s">
        <v>355</v>
      </c>
      <c r="D95" s="26">
        <v>2017</v>
      </c>
      <c r="E95" s="26">
        <v>3</v>
      </c>
      <c r="F95" s="58"/>
      <c r="H95" s="26" t="s">
        <v>51</v>
      </c>
      <c r="I95" s="26">
        <v>12</v>
      </c>
      <c r="J95" s="26">
        <f t="shared" si="34"/>
        <v>2029</v>
      </c>
      <c r="M95" s="16">
        <v>23763.45</v>
      </c>
      <c r="O95" s="16">
        <f t="shared" si="35"/>
        <v>23763.45</v>
      </c>
      <c r="P95" s="16">
        <f t="shared" si="36"/>
        <v>165.02395833333335</v>
      </c>
      <c r="Q95" s="16">
        <f t="shared" si="37"/>
        <v>0</v>
      </c>
      <c r="R95" s="16">
        <f t="shared" si="38"/>
        <v>0</v>
      </c>
      <c r="S95" s="16">
        <f t="shared" si="39"/>
        <v>0</v>
      </c>
      <c r="T95" s="16">
        <v>1</v>
      </c>
      <c r="U95" s="16">
        <f t="shared" si="40"/>
        <v>0</v>
      </c>
      <c r="V95" s="16"/>
      <c r="W95" s="16">
        <f t="shared" si="41"/>
        <v>0</v>
      </c>
      <c r="X95" s="16">
        <f t="shared" si="42"/>
        <v>0</v>
      </c>
      <c r="Y95" s="16">
        <v>1</v>
      </c>
      <c r="Z95" s="16">
        <f t="shared" si="43"/>
        <v>0</v>
      </c>
      <c r="AA95" s="16">
        <f t="shared" si="44"/>
        <v>0</v>
      </c>
      <c r="AB95" s="16">
        <f t="shared" si="45"/>
        <v>11881.725</v>
      </c>
      <c r="AC95" s="16">
        <f t="shared" si="26"/>
        <v>2017.1666666666667</v>
      </c>
      <c r="AD95" s="16">
        <f t="shared" si="27"/>
        <v>1</v>
      </c>
      <c r="AE95" s="16">
        <f t="shared" si="28"/>
        <v>2029.1666666666667</v>
      </c>
      <c r="AF95" s="16">
        <f t="shared" si="29"/>
        <v>0</v>
      </c>
      <c r="AG95" s="16">
        <f t="shared" si="30"/>
        <v>-8.3333333333333329E-2</v>
      </c>
    </row>
    <row r="96" spans="1:33">
      <c r="A96" s="6">
        <v>177802</v>
      </c>
      <c r="B96" s="26">
        <v>35</v>
      </c>
      <c r="C96" s="27" t="s">
        <v>356</v>
      </c>
      <c r="D96" s="26">
        <v>2017</v>
      </c>
      <c r="E96" s="26">
        <v>3</v>
      </c>
      <c r="F96" s="58"/>
      <c r="H96" s="26" t="s">
        <v>51</v>
      </c>
      <c r="I96" s="26">
        <v>12</v>
      </c>
      <c r="J96" s="26">
        <f t="shared" si="34"/>
        <v>2029</v>
      </c>
      <c r="M96" s="16">
        <v>22503.84</v>
      </c>
      <c r="O96" s="16">
        <f t="shared" si="35"/>
        <v>22503.84</v>
      </c>
      <c r="P96" s="16">
        <f t="shared" si="36"/>
        <v>156.27666666666667</v>
      </c>
      <c r="Q96" s="16">
        <f t="shared" si="37"/>
        <v>0</v>
      </c>
      <c r="R96" s="16">
        <f t="shared" si="38"/>
        <v>0</v>
      </c>
      <c r="S96" s="16">
        <f t="shared" si="39"/>
        <v>0</v>
      </c>
      <c r="T96" s="16">
        <v>1</v>
      </c>
      <c r="U96" s="16">
        <f t="shared" si="40"/>
        <v>0</v>
      </c>
      <c r="V96" s="16"/>
      <c r="W96" s="16">
        <f t="shared" si="41"/>
        <v>0</v>
      </c>
      <c r="X96" s="16">
        <f t="shared" si="42"/>
        <v>0</v>
      </c>
      <c r="Y96" s="16">
        <v>1</v>
      </c>
      <c r="Z96" s="16">
        <f t="shared" si="43"/>
        <v>0</v>
      </c>
      <c r="AA96" s="16">
        <f t="shared" si="44"/>
        <v>0</v>
      </c>
      <c r="AB96" s="16">
        <f t="shared" si="45"/>
        <v>11251.92</v>
      </c>
      <c r="AC96" s="16">
        <f t="shared" si="26"/>
        <v>2017.1666666666667</v>
      </c>
      <c r="AD96" s="16">
        <f t="shared" si="27"/>
        <v>1</v>
      </c>
      <c r="AE96" s="16">
        <f t="shared" si="28"/>
        <v>2029.1666666666667</v>
      </c>
      <c r="AF96" s="16">
        <f t="shared" si="29"/>
        <v>0</v>
      </c>
      <c r="AG96" s="16">
        <f t="shared" si="30"/>
        <v>-8.3333333333333329E-2</v>
      </c>
    </row>
    <row r="97" spans="1:33">
      <c r="B97" s="26"/>
      <c r="C97" s="27"/>
      <c r="D97" s="26"/>
      <c r="E97" s="26"/>
      <c r="F97" s="58"/>
      <c r="H97" s="26"/>
      <c r="M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>
      <c r="A98" s="31"/>
      <c r="B98" s="31"/>
      <c r="C98" s="31" t="s">
        <v>70</v>
      </c>
      <c r="D98" s="32"/>
      <c r="E98" s="32"/>
      <c r="F98" s="33"/>
      <c r="H98" s="26"/>
      <c r="I98" s="32"/>
      <c r="J98" s="32"/>
      <c r="M98" s="34">
        <f>SUM(M14:M97)</f>
        <v>877039.82894736831</v>
      </c>
      <c r="O98" s="34">
        <f>SUM(O14:O97)</f>
        <v>877039.82894736831</v>
      </c>
      <c r="P98" s="34">
        <f>SUM(P14:P97)</f>
        <v>8703.3770606725157</v>
      </c>
      <c r="Q98" s="34">
        <f>SUM(Q14:Q97)</f>
        <v>0</v>
      </c>
      <c r="S98" s="34">
        <f>SUM(S14:S97)</f>
        <v>0</v>
      </c>
      <c r="U98" s="34">
        <f>SUM(U14:U97)</f>
        <v>0</v>
      </c>
      <c r="Z98" s="34">
        <f>SUM(Z14:Z97)</f>
        <v>0</v>
      </c>
      <c r="AA98" s="34">
        <f>SUM(AA14:AA97)</f>
        <v>0</v>
      </c>
      <c r="AB98" s="34">
        <f>SUM(AB14:AB97)</f>
        <v>438519.91447368416</v>
      </c>
    </row>
    <row r="99" spans="1:33">
      <c r="A99" s="31"/>
      <c r="B99" s="31"/>
      <c r="C99" s="31"/>
      <c r="D99" s="32"/>
      <c r="E99" s="32"/>
      <c r="F99" s="33"/>
      <c r="H99" s="26"/>
      <c r="I99" s="32"/>
      <c r="J99" s="32"/>
      <c r="M99" s="34"/>
      <c r="O99" s="34"/>
      <c r="P99" s="34"/>
      <c r="Q99" s="34"/>
      <c r="S99" s="34"/>
      <c r="U99" s="34"/>
      <c r="Z99" s="34"/>
      <c r="AA99" s="34"/>
      <c r="AB99" s="34"/>
    </row>
    <row r="100" spans="1:33">
      <c r="C100" s="31" t="s">
        <v>257</v>
      </c>
      <c r="D100" s="26"/>
      <c r="E100" s="26"/>
      <c r="H100" s="26"/>
      <c r="M100" s="30"/>
    </row>
    <row r="101" spans="1:33">
      <c r="B101" s="26">
        <f>19-10</f>
        <v>9</v>
      </c>
      <c r="C101" s="27" t="s">
        <v>121</v>
      </c>
      <c r="D101" s="26">
        <v>1997</v>
      </c>
      <c r="E101" s="26">
        <v>12</v>
      </c>
      <c r="F101" s="58"/>
      <c r="H101" s="26" t="s">
        <v>51</v>
      </c>
      <c r="I101" s="26">
        <v>5</v>
      </c>
      <c r="J101" s="26">
        <f t="shared" ref="J101:J119" si="46">D101+I101</f>
        <v>2002</v>
      </c>
      <c r="M101" s="16">
        <f>51619/19*9</f>
        <v>24451.105263157893</v>
      </c>
      <c r="O101" s="16">
        <f t="shared" ref="O101:O119" si="47">M101-M101*F101</f>
        <v>24451.105263157893</v>
      </c>
      <c r="P101" s="16">
        <f t="shared" ref="P101:P119" si="48">O101/I101/12</f>
        <v>407.51842105263154</v>
      </c>
      <c r="Q101" s="16">
        <f t="shared" ref="Q101:Q124" si="49">IF(N101&gt;0,0,IF(OR(AC101&gt;AD101,AE101&lt;AF101),0,IF(AND(AE101&gt;=AF101,AE101&lt;=AD101),P101*((AE101-AF101)*12),IF(AND(AF101&lt;=AC101,AD101&gt;=AC101),((AD101-AC101)*12)*P101,IF(AE101&gt;AD101,12*P101,0)))))</f>
        <v>0</v>
      </c>
      <c r="R101" s="16">
        <f t="shared" ref="R101:R124" si="50">IF(N101=0,0,IF(AND(AG101&gt;=AF101,AG101&lt;=AE101),((AG101-AF101)*12)*P101,0))</f>
        <v>0</v>
      </c>
      <c r="S101" s="16">
        <f t="shared" ref="S101:S124" si="51">IF(R101&gt;0,R101,Q101)</f>
        <v>0</v>
      </c>
      <c r="T101" s="16">
        <v>1</v>
      </c>
      <c r="U101" s="16">
        <f t="shared" ref="U101:U124" si="52">T101*SUM(Q101:R101)</f>
        <v>0</v>
      </c>
      <c r="V101" s="16"/>
      <c r="W101" s="16">
        <f t="shared" ref="W101:W124" si="53">IF(AC101&gt;AD101,0,IF(AE101&lt;AF101,O101,IF(AND(AE101&gt;=AF101,AE101&lt;=AD101),(O101-S101),IF(AND(AF101&lt;=AC101,AD101&gt;=AC101),0,IF(AE101&gt;AD101,((AF101-AC101)*12)*P101,0)))))</f>
        <v>0</v>
      </c>
      <c r="X101" s="16">
        <f t="shared" ref="X101:X124" si="54">W101*T101</f>
        <v>0</v>
      </c>
      <c r="Y101" s="16">
        <v>1</v>
      </c>
      <c r="Z101" s="16">
        <f t="shared" ref="Z101:Z124" si="55">X101*Y101</f>
        <v>0</v>
      </c>
      <c r="AA101" s="16">
        <f t="shared" ref="AA101:AA124" si="56">IF(N101&gt;0,0,Z101+U101*Y101)*Y101</f>
        <v>0</v>
      </c>
      <c r="AB101" s="16">
        <f t="shared" ref="AB101:AB124" si="57">IF(N101&gt;0,(M101-Z101)/2,IF(AC101&gt;=AF101,(((M101*T101)*Y101)-AA101)/2,((((M101*T101)*Y101)-Z101)+(((M101*T101)*Y101)-AA101))/2))</f>
        <v>12225.552631578947</v>
      </c>
      <c r="AC101" s="16">
        <f t="shared" ref="AC101:AC129" si="58">$D101+(($E101-1)/12)</f>
        <v>1997.9166666666667</v>
      </c>
      <c r="AD101" s="16">
        <f t="shared" ref="AD101:AD129" si="59">($O$5+1)-($O$2/12)</f>
        <v>1</v>
      </c>
      <c r="AE101" s="16">
        <f t="shared" ref="AE101:AE129" si="60">$J101+(($E101-1)/12)</f>
        <v>2002.9166666666667</v>
      </c>
      <c r="AF101" s="16">
        <f t="shared" ref="AF101:AF129" si="61">$O$4+($O$3/12)</f>
        <v>0</v>
      </c>
      <c r="AG101" s="16">
        <f t="shared" ref="AG101:AG129" si="62">$K101+(($L101-1)/12)</f>
        <v>-8.3333333333333329E-2</v>
      </c>
    </row>
    <row r="102" spans="1:33">
      <c r="B102" s="26">
        <v>2</v>
      </c>
      <c r="C102" s="27" t="s">
        <v>125</v>
      </c>
      <c r="D102" s="26">
        <v>1997</v>
      </c>
      <c r="E102" s="26">
        <v>12</v>
      </c>
      <c r="F102" s="58"/>
      <c r="H102" s="26" t="s">
        <v>51</v>
      </c>
      <c r="I102" s="26">
        <v>7</v>
      </c>
      <c r="J102" s="26">
        <f t="shared" si="46"/>
        <v>2004</v>
      </c>
      <c r="M102" s="16">
        <v>6960</v>
      </c>
      <c r="O102" s="16">
        <f t="shared" si="47"/>
        <v>6960</v>
      </c>
      <c r="P102" s="16">
        <f t="shared" si="48"/>
        <v>82.857142857142861</v>
      </c>
      <c r="Q102" s="16">
        <f t="shared" si="49"/>
        <v>0</v>
      </c>
      <c r="R102" s="16">
        <f t="shared" si="50"/>
        <v>0</v>
      </c>
      <c r="S102" s="16">
        <f t="shared" si="51"/>
        <v>0</v>
      </c>
      <c r="T102" s="16">
        <v>1</v>
      </c>
      <c r="U102" s="16">
        <f t="shared" si="52"/>
        <v>0</v>
      </c>
      <c r="V102" s="16"/>
      <c r="W102" s="16">
        <f t="shared" si="53"/>
        <v>0</v>
      </c>
      <c r="X102" s="16">
        <f t="shared" si="54"/>
        <v>0</v>
      </c>
      <c r="Y102" s="16">
        <v>1</v>
      </c>
      <c r="Z102" s="16">
        <f t="shared" si="55"/>
        <v>0</v>
      </c>
      <c r="AA102" s="16">
        <f t="shared" si="56"/>
        <v>0</v>
      </c>
      <c r="AB102" s="16">
        <f t="shared" si="57"/>
        <v>3480</v>
      </c>
      <c r="AC102" s="16">
        <f t="shared" si="58"/>
        <v>1997.9166666666667</v>
      </c>
      <c r="AD102" s="16">
        <f t="shared" si="59"/>
        <v>1</v>
      </c>
      <c r="AE102" s="16">
        <f t="shared" si="60"/>
        <v>2004.9166666666667</v>
      </c>
      <c r="AF102" s="16">
        <f t="shared" si="61"/>
        <v>0</v>
      </c>
      <c r="AG102" s="16">
        <f t="shared" si="62"/>
        <v>-8.3333333333333329E-2</v>
      </c>
    </row>
    <row r="103" spans="1:33">
      <c r="B103" s="26"/>
      <c r="C103" s="27" t="s">
        <v>116</v>
      </c>
      <c r="D103" s="26">
        <v>1997</v>
      </c>
      <c r="E103" s="26">
        <v>12</v>
      </c>
      <c r="F103" s="58"/>
      <c r="H103" s="26"/>
      <c r="I103" s="26">
        <v>5</v>
      </c>
      <c r="J103" s="26">
        <f t="shared" si="46"/>
        <v>2002</v>
      </c>
      <c r="M103" s="16">
        <v>23012</v>
      </c>
      <c r="O103" s="16">
        <f t="shared" si="47"/>
        <v>23012</v>
      </c>
      <c r="P103" s="16">
        <f t="shared" si="48"/>
        <v>383.5333333333333</v>
      </c>
      <c r="Q103" s="16">
        <f t="shared" si="49"/>
        <v>0</v>
      </c>
      <c r="R103" s="16">
        <f t="shared" si="50"/>
        <v>0</v>
      </c>
      <c r="S103" s="16">
        <f t="shared" si="51"/>
        <v>0</v>
      </c>
      <c r="T103" s="16">
        <v>1</v>
      </c>
      <c r="U103" s="16">
        <f t="shared" si="52"/>
        <v>0</v>
      </c>
      <c r="V103" s="16"/>
      <c r="W103" s="16">
        <f t="shared" si="53"/>
        <v>0</v>
      </c>
      <c r="X103" s="16">
        <f t="shared" si="54"/>
        <v>0</v>
      </c>
      <c r="Y103" s="16">
        <v>1</v>
      </c>
      <c r="Z103" s="16">
        <f t="shared" si="55"/>
        <v>0</v>
      </c>
      <c r="AA103" s="16">
        <f t="shared" si="56"/>
        <v>0</v>
      </c>
      <c r="AB103" s="16">
        <f t="shared" si="57"/>
        <v>11506</v>
      </c>
      <c r="AC103" s="16">
        <f t="shared" si="58"/>
        <v>1997.9166666666667</v>
      </c>
      <c r="AD103" s="16">
        <f t="shared" si="59"/>
        <v>1</v>
      </c>
      <c r="AE103" s="16">
        <f t="shared" si="60"/>
        <v>2002.9166666666667</v>
      </c>
      <c r="AF103" s="16">
        <f t="shared" si="61"/>
        <v>0</v>
      </c>
      <c r="AG103" s="16">
        <f t="shared" si="62"/>
        <v>-8.3333333333333329E-2</v>
      </c>
    </row>
    <row r="104" spans="1:33">
      <c r="B104" s="26">
        <v>4</v>
      </c>
      <c r="C104" s="27" t="s">
        <v>128</v>
      </c>
      <c r="D104" s="26">
        <v>1998</v>
      </c>
      <c r="E104" s="26">
        <v>2</v>
      </c>
      <c r="F104" s="58"/>
      <c r="H104" s="26" t="s">
        <v>51</v>
      </c>
      <c r="I104" s="26">
        <v>10</v>
      </c>
      <c r="J104" s="26">
        <f t="shared" si="46"/>
        <v>2008</v>
      </c>
      <c r="M104" s="16">
        <v>14327.75</v>
      </c>
      <c r="O104" s="16">
        <f t="shared" si="47"/>
        <v>14327.75</v>
      </c>
      <c r="P104" s="16">
        <f t="shared" si="48"/>
        <v>119.39791666666667</v>
      </c>
      <c r="Q104" s="16">
        <f t="shared" si="49"/>
        <v>0</v>
      </c>
      <c r="R104" s="16">
        <f t="shared" si="50"/>
        <v>0</v>
      </c>
      <c r="S104" s="16">
        <f t="shared" si="51"/>
        <v>0</v>
      </c>
      <c r="T104" s="16">
        <v>1</v>
      </c>
      <c r="U104" s="16">
        <f t="shared" si="52"/>
        <v>0</v>
      </c>
      <c r="V104" s="16"/>
      <c r="W104" s="16">
        <f t="shared" si="53"/>
        <v>0</v>
      </c>
      <c r="X104" s="16">
        <f t="shared" si="54"/>
        <v>0</v>
      </c>
      <c r="Y104" s="16">
        <v>1</v>
      </c>
      <c r="Z104" s="16">
        <f t="shared" si="55"/>
        <v>0</v>
      </c>
      <c r="AA104" s="16">
        <f t="shared" si="56"/>
        <v>0</v>
      </c>
      <c r="AB104" s="16">
        <f t="shared" si="57"/>
        <v>7163.875</v>
      </c>
      <c r="AC104" s="16">
        <f t="shared" si="58"/>
        <v>1998.0833333333333</v>
      </c>
      <c r="AD104" s="16">
        <f t="shared" si="59"/>
        <v>1</v>
      </c>
      <c r="AE104" s="16">
        <f t="shared" si="60"/>
        <v>2008.0833333333333</v>
      </c>
      <c r="AF104" s="16">
        <f t="shared" si="61"/>
        <v>0</v>
      </c>
      <c r="AG104" s="16">
        <f t="shared" si="62"/>
        <v>-8.3333333333333329E-2</v>
      </c>
    </row>
    <row r="105" spans="1:33">
      <c r="B105" s="26">
        <v>4</v>
      </c>
      <c r="C105" s="27" t="s">
        <v>129</v>
      </c>
      <c r="D105" s="26">
        <v>1998</v>
      </c>
      <c r="E105" s="26">
        <v>2</v>
      </c>
      <c r="F105" s="58"/>
      <c r="H105" s="26" t="s">
        <v>51</v>
      </c>
      <c r="I105" s="26">
        <v>10</v>
      </c>
      <c r="J105" s="26">
        <f t="shared" si="46"/>
        <v>2008</v>
      </c>
      <c r="M105" s="16">
        <v>15868.15</v>
      </c>
      <c r="O105" s="16">
        <f t="shared" si="47"/>
        <v>15868.15</v>
      </c>
      <c r="P105" s="16">
        <f t="shared" si="48"/>
        <v>132.23458333333335</v>
      </c>
      <c r="Q105" s="16">
        <f t="shared" si="49"/>
        <v>0</v>
      </c>
      <c r="R105" s="16">
        <f t="shared" si="50"/>
        <v>0</v>
      </c>
      <c r="S105" s="16">
        <f t="shared" si="51"/>
        <v>0</v>
      </c>
      <c r="T105" s="16">
        <v>1</v>
      </c>
      <c r="U105" s="16">
        <f t="shared" si="52"/>
        <v>0</v>
      </c>
      <c r="V105" s="16"/>
      <c r="W105" s="16">
        <f t="shared" si="53"/>
        <v>0</v>
      </c>
      <c r="X105" s="16">
        <f t="shared" si="54"/>
        <v>0</v>
      </c>
      <c r="Y105" s="16">
        <v>1</v>
      </c>
      <c r="Z105" s="16">
        <f t="shared" si="55"/>
        <v>0</v>
      </c>
      <c r="AA105" s="16">
        <f t="shared" si="56"/>
        <v>0</v>
      </c>
      <c r="AB105" s="16">
        <f t="shared" si="57"/>
        <v>7934.0749999999998</v>
      </c>
      <c r="AC105" s="16">
        <f t="shared" si="58"/>
        <v>1998.0833333333333</v>
      </c>
      <c r="AD105" s="16">
        <f t="shared" si="59"/>
        <v>1</v>
      </c>
      <c r="AE105" s="16">
        <f t="shared" si="60"/>
        <v>2008.0833333333333</v>
      </c>
      <c r="AF105" s="16">
        <f t="shared" si="61"/>
        <v>0</v>
      </c>
      <c r="AG105" s="16">
        <f t="shared" si="62"/>
        <v>-8.3333333333333329E-2</v>
      </c>
    </row>
    <row r="106" spans="1:33">
      <c r="B106" s="26">
        <v>2</v>
      </c>
      <c r="C106" s="27" t="s">
        <v>71</v>
      </c>
      <c r="D106" s="26">
        <v>1998</v>
      </c>
      <c r="E106" s="26">
        <v>7</v>
      </c>
      <c r="F106" s="58"/>
      <c r="H106" s="26" t="s">
        <v>51</v>
      </c>
      <c r="I106" s="26">
        <v>10</v>
      </c>
      <c r="J106" s="26">
        <f t="shared" si="46"/>
        <v>2008</v>
      </c>
      <c r="M106" s="16">
        <v>10546.23</v>
      </c>
      <c r="O106" s="16">
        <f t="shared" si="47"/>
        <v>10546.23</v>
      </c>
      <c r="P106" s="16">
        <f t="shared" si="48"/>
        <v>87.885249999999999</v>
      </c>
      <c r="Q106" s="16">
        <f t="shared" si="49"/>
        <v>0</v>
      </c>
      <c r="R106" s="16">
        <f t="shared" si="50"/>
        <v>0</v>
      </c>
      <c r="S106" s="16">
        <f t="shared" si="51"/>
        <v>0</v>
      </c>
      <c r="T106" s="16">
        <v>1</v>
      </c>
      <c r="U106" s="16">
        <f t="shared" si="52"/>
        <v>0</v>
      </c>
      <c r="V106" s="16"/>
      <c r="W106" s="16">
        <f t="shared" si="53"/>
        <v>0</v>
      </c>
      <c r="X106" s="16">
        <f t="shared" si="54"/>
        <v>0</v>
      </c>
      <c r="Y106" s="16">
        <v>1</v>
      </c>
      <c r="Z106" s="16">
        <f t="shared" si="55"/>
        <v>0</v>
      </c>
      <c r="AA106" s="16">
        <f t="shared" si="56"/>
        <v>0</v>
      </c>
      <c r="AB106" s="16">
        <f t="shared" si="57"/>
        <v>5273.1149999999998</v>
      </c>
      <c r="AC106" s="16">
        <f t="shared" si="58"/>
        <v>1998.5</v>
      </c>
      <c r="AD106" s="16">
        <f t="shared" si="59"/>
        <v>1</v>
      </c>
      <c r="AE106" s="16">
        <f t="shared" si="60"/>
        <v>2008.5</v>
      </c>
      <c r="AF106" s="16">
        <f t="shared" si="61"/>
        <v>0</v>
      </c>
      <c r="AG106" s="16">
        <f t="shared" si="62"/>
        <v>-8.3333333333333329E-2</v>
      </c>
    </row>
    <row r="107" spans="1:33">
      <c r="B107" s="26">
        <v>5</v>
      </c>
      <c r="C107" s="27" t="s">
        <v>167</v>
      </c>
      <c r="D107" s="26">
        <v>2004</v>
      </c>
      <c r="E107" s="26">
        <v>6</v>
      </c>
      <c r="F107" s="58"/>
      <c r="H107" s="26" t="s">
        <v>51</v>
      </c>
      <c r="I107" s="26">
        <v>10</v>
      </c>
      <c r="J107" s="26">
        <f t="shared" si="46"/>
        <v>2014</v>
      </c>
      <c r="M107" s="16">
        <v>22655.599999999999</v>
      </c>
      <c r="O107" s="16">
        <f t="shared" si="47"/>
        <v>22655.599999999999</v>
      </c>
      <c r="P107" s="16">
        <f t="shared" si="48"/>
        <v>188.79666666666665</v>
      </c>
      <c r="Q107" s="16">
        <f t="shared" si="49"/>
        <v>0</v>
      </c>
      <c r="R107" s="16">
        <f t="shared" si="50"/>
        <v>0</v>
      </c>
      <c r="S107" s="16">
        <f t="shared" si="51"/>
        <v>0</v>
      </c>
      <c r="T107" s="16">
        <v>1</v>
      </c>
      <c r="U107" s="16">
        <f t="shared" si="52"/>
        <v>0</v>
      </c>
      <c r="V107" s="16"/>
      <c r="W107" s="16">
        <f t="shared" si="53"/>
        <v>0</v>
      </c>
      <c r="X107" s="16">
        <f t="shared" si="54"/>
        <v>0</v>
      </c>
      <c r="Y107" s="16">
        <v>1</v>
      </c>
      <c r="Z107" s="16">
        <f t="shared" si="55"/>
        <v>0</v>
      </c>
      <c r="AA107" s="16">
        <f t="shared" si="56"/>
        <v>0</v>
      </c>
      <c r="AB107" s="16">
        <f t="shared" si="57"/>
        <v>11327.8</v>
      </c>
      <c r="AC107" s="16">
        <f t="shared" si="58"/>
        <v>2004.4166666666667</v>
      </c>
      <c r="AD107" s="16">
        <f t="shared" si="59"/>
        <v>1</v>
      </c>
      <c r="AE107" s="16">
        <f t="shared" si="60"/>
        <v>2014.4166666666667</v>
      </c>
      <c r="AF107" s="16">
        <f t="shared" si="61"/>
        <v>0</v>
      </c>
      <c r="AG107" s="16">
        <f t="shared" si="62"/>
        <v>-8.3333333333333329E-2</v>
      </c>
    </row>
    <row r="108" spans="1:33">
      <c r="B108" s="26">
        <v>5</v>
      </c>
      <c r="C108" s="27" t="s">
        <v>164</v>
      </c>
      <c r="D108" s="26">
        <v>2004</v>
      </c>
      <c r="E108" s="26">
        <v>6</v>
      </c>
      <c r="F108" s="58"/>
      <c r="H108" s="26" t="s">
        <v>51</v>
      </c>
      <c r="I108" s="26">
        <v>10</v>
      </c>
      <c r="J108" s="26">
        <f t="shared" si="46"/>
        <v>2014</v>
      </c>
      <c r="M108" s="16">
        <v>23147.200000000001</v>
      </c>
      <c r="O108" s="16">
        <f t="shared" si="47"/>
        <v>23147.200000000001</v>
      </c>
      <c r="P108" s="16">
        <f t="shared" si="48"/>
        <v>192.89333333333335</v>
      </c>
      <c r="Q108" s="16">
        <f t="shared" si="49"/>
        <v>0</v>
      </c>
      <c r="R108" s="16">
        <f t="shared" si="50"/>
        <v>0</v>
      </c>
      <c r="S108" s="16">
        <f t="shared" si="51"/>
        <v>0</v>
      </c>
      <c r="T108" s="16">
        <v>1</v>
      </c>
      <c r="U108" s="16">
        <f t="shared" si="52"/>
        <v>0</v>
      </c>
      <c r="V108" s="16"/>
      <c r="W108" s="16">
        <f t="shared" si="53"/>
        <v>0</v>
      </c>
      <c r="X108" s="16">
        <f t="shared" si="54"/>
        <v>0</v>
      </c>
      <c r="Y108" s="16">
        <v>1</v>
      </c>
      <c r="Z108" s="16">
        <f t="shared" si="55"/>
        <v>0</v>
      </c>
      <c r="AA108" s="16">
        <f t="shared" si="56"/>
        <v>0</v>
      </c>
      <c r="AB108" s="16">
        <f t="shared" si="57"/>
        <v>11573.6</v>
      </c>
      <c r="AC108" s="16">
        <f t="shared" si="58"/>
        <v>2004.4166666666667</v>
      </c>
      <c r="AD108" s="16">
        <f t="shared" si="59"/>
        <v>1</v>
      </c>
      <c r="AE108" s="16">
        <f t="shared" si="60"/>
        <v>2014.4166666666667</v>
      </c>
      <c r="AF108" s="16">
        <f t="shared" si="61"/>
        <v>0</v>
      </c>
      <c r="AG108" s="16">
        <f t="shared" si="62"/>
        <v>-8.3333333333333329E-2</v>
      </c>
    </row>
    <row r="109" spans="1:33">
      <c r="B109" s="26">
        <v>5</v>
      </c>
      <c r="C109" s="27" t="s">
        <v>168</v>
      </c>
      <c r="D109" s="26">
        <v>2004</v>
      </c>
      <c r="E109" s="26">
        <v>6</v>
      </c>
      <c r="F109" s="58"/>
      <c r="H109" s="26" t="s">
        <v>51</v>
      </c>
      <c r="I109" s="26">
        <v>10</v>
      </c>
      <c r="J109" s="26">
        <f t="shared" si="46"/>
        <v>2014</v>
      </c>
      <c r="M109" s="16">
        <v>23902.2</v>
      </c>
      <c r="O109" s="16">
        <f t="shared" si="47"/>
        <v>23902.2</v>
      </c>
      <c r="P109" s="16">
        <f t="shared" si="48"/>
        <v>199.18500000000003</v>
      </c>
      <c r="Q109" s="16">
        <f t="shared" si="49"/>
        <v>0</v>
      </c>
      <c r="R109" s="16">
        <f t="shared" si="50"/>
        <v>0</v>
      </c>
      <c r="S109" s="16">
        <f t="shared" si="51"/>
        <v>0</v>
      </c>
      <c r="T109" s="16">
        <v>1</v>
      </c>
      <c r="U109" s="16">
        <f t="shared" si="52"/>
        <v>0</v>
      </c>
      <c r="V109" s="16"/>
      <c r="W109" s="16">
        <f t="shared" si="53"/>
        <v>0</v>
      </c>
      <c r="X109" s="16">
        <f t="shared" si="54"/>
        <v>0</v>
      </c>
      <c r="Y109" s="16">
        <v>1</v>
      </c>
      <c r="Z109" s="16">
        <f t="shared" si="55"/>
        <v>0</v>
      </c>
      <c r="AA109" s="16">
        <f t="shared" si="56"/>
        <v>0</v>
      </c>
      <c r="AB109" s="16">
        <f t="shared" si="57"/>
        <v>11951.1</v>
      </c>
      <c r="AC109" s="16">
        <f t="shared" si="58"/>
        <v>2004.4166666666667</v>
      </c>
      <c r="AD109" s="16">
        <f t="shared" si="59"/>
        <v>1</v>
      </c>
      <c r="AE109" s="16">
        <f t="shared" si="60"/>
        <v>2014.4166666666667</v>
      </c>
      <c r="AF109" s="16">
        <f t="shared" si="61"/>
        <v>0</v>
      </c>
      <c r="AG109" s="16">
        <f t="shared" si="62"/>
        <v>-8.3333333333333329E-2</v>
      </c>
    </row>
    <row r="110" spans="1:33">
      <c r="B110" s="26">
        <v>3</v>
      </c>
      <c r="C110" s="27" t="s">
        <v>173</v>
      </c>
      <c r="D110" s="26">
        <v>2005</v>
      </c>
      <c r="E110" s="26">
        <v>5</v>
      </c>
      <c r="F110" s="58"/>
      <c r="H110" s="26" t="s">
        <v>51</v>
      </c>
      <c r="I110" s="26">
        <v>10</v>
      </c>
      <c r="J110" s="26">
        <f t="shared" si="46"/>
        <v>2015</v>
      </c>
      <c r="M110" s="16">
        <f>12429.14+1691.04</f>
        <v>14120.18</v>
      </c>
      <c r="O110" s="16">
        <f t="shared" si="47"/>
        <v>14120.18</v>
      </c>
      <c r="P110" s="16">
        <f t="shared" si="48"/>
        <v>117.66816666666666</v>
      </c>
      <c r="Q110" s="16">
        <f t="shared" si="49"/>
        <v>0</v>
      </c>
      <c r="R110" s="16">
        <f t="shared" si="50"/>
        <v>0</v>
      </c>
      <c r="S110" s="16">
        <f t="shared" si="51"/>
        <v>0</v>
      </c>
      <c r="T110" s="16">
        <v>1</v>
      </c>
      <c r="U110" s="16">
        <f t="shared" si="52"/>
        <v>0</v>
      </c>
      <c r="V110" s="16"/>
      <c r="W110" s="16">
        <f t="shared" si="53"/>
        <v>0</v>
      </c>
      <c r="X110" s="16">
        <f t="shared" si="54"/>
        <v>0</v>
      </c>
      <c r="Y110" s="16">
        <v>1</v>
      </c>
      <c r="Z110" s="16">
        <f t="shared" si="55"/>
        <v>0</v>
      </c>
      <c r="AA110" s="16">
        <f t="shared" si="56"/>
        <v>0</v>
      </c>
      <c r="AB110" s="16">
        <f t="shared" si="57"/>
        <v>7060.09</v>
      </c>
      <c r="AC110" s="16">
        <f t="shared" si="58"/>
        <v>2005.3333333333333</v>
      </c>
      <c r="AD110" s="16">
        <f t="shared" si="59"/>
        <v>1</v>
      </c>
      <c r="AE110" s="16">
        <f t="shared" si="60"/>
        <v>2015.3333333333333</v>
      </c>
      <c r="AF110" s="16">
        <f t="shared" si="61"/>
        <v>0</v>
      </c>
      <c r="AG110" s="16">
        <f t="shared" si="62"/>
        <v>-8.3333333333333329E-2</v>
      </c>
    </row>
    <row r="111" spans="1:33">
      <c r="B111" s="26">
        <v>2</v>
      </c>
      <c r="C111" s="27" t="s">
        <v>174</v>
      </c>
      <c r="D111" s="26">
        <v>2005</v>
      </c>
      <c r="E111" s="26">
        <v>5</v>
      </c>
      <c r="F111" s="58"/>
      <c r="H111" s="26" t="s">
        <v>51</v>
      </c>
      <c r="I111" s="26">
        <v>10</v>
      </c>
      <c r="J111" s="26">
        <f t="shared" si="46"/>
        <v>2015</v>
      </c>
      <c r="M111" s="16">
        <v>11989.04</v>
      </c>
      <c r="O111" s="16">
        <f t="shared" si="47"/>
        <v>11989.04</v>
      </c>
      <c r="P111" s="16">
        <f t="shared" si="48"/>
        <v>99.908666666666662</v>
      </c>
      <c r="Q111" s="16">
        <f t="shared" si="49"/>
        <v>0</v>
      </c>
      <c r="R111" s="16">
        <f t="shared" si="50"/>
        <v>0</v>
      </c>
      <c r="S111" s="16">
        <f t="shared" si="51"/>
        <v>0</v>
      </c>
      <c r="T111" s="16">
        <v>1</v>
      </c>
      <c r="U111" s="16">
        <f t="shared" si="52"/>
        <v>0</v>
      </c>
      <c r="V111" s="16"/>
      <c r="W111" s="16">
        <f t="shared" si="53"/>
        <v>0</v>
      </c>
      <c r="X111" s="16">
        <f t="shared" si="54"/>
        <v>0</v>
      </c>
      <c r="Y111" s="16">
        <v>1</v>
      </c>
      <c r="Z111" s="16">
        <f t="shared" si="55"/>
        <v>0</v>
      </c>
      <c r="AA111" s="16">
        <f t="shared" si="56"/>
        <v>0</v>
      </c>
      <c r="AB111" s="16">
        <f t="shared" si="57"/>
        <v>5994.52</v>
      </c>
      <c r="AC111" s="16">
        <f t="shared" si="58"/>
        <v>2005.3333333333333</v>
      </c>
      <c r="AD111" s="16">
        <f t="shared" si="59"/>
        <v>1</v>
      </c>
      <c r="AE111" s="16">
        <f t="shared" si="60"/>
        <v>2015.3333333333333</v>
      </c>
      <c r="AF111" s="16">
        <f t="shared" si="61"/>
        <v>0</v>
      </c>
      <c r="AG111" s="16">
        <f t="shared" si="62"/>
        <v>-8.3333333333333329E-2</v>
      </c>
    </row>
    <row r="112" spans="1:33">
      <c r="B112" s="26">
        <v>3</v>
      </c>
      <c r="C112" s="27" t="s">
        <v>174</v>
      </c>
      <c r="D112" s="26">
        <v>2005</v>
      </c>
      <c r="E112" s="26">
        <v>7</v>
      </c>
      <c r="F112" s="58"/>
      <c r="H112" s="26" t="s">
        <v>51</v>
      </c>
      <c r="I112" s="26">
        <v>10</v>
      </c>
      <c r="J112" s="26">
        <f t="shared" si="46"/>
        <v>2015</v>
      </c>
      <c r="M112" s="16">
        <v>15057.84</v>
      </c>
      <c r="O112" s="16">
        <f t="shared" si="47"/>
        <v>15057.84</v>
      </c>
      <c r="P112" s="16">
        <f t="shared" si="48"/>
        <v>125.48200000000001</v>
      </c>
      <c r="Q112" s="16">
        <f t="shared" si="49"/>
        <v>0</v>
      </c>
      <c r="R112" s="16">
        <f t="shared" si="50"/>
        <v>0</v>
      </c>
      <c r="S112" s="16">
        <f t="shared" si="51"/>
        <v>0</v>
      </c>
      <c r="T112" s="16">
        <v>1</v>
      </c>
      <c r="U112" s="16">
        <f t="shared" si="52"/>
        <v>0</v>
      </c>
      <c r="V112" s="16"/>
      <c r="W112" s="16">
        <f t="shared" si="53"/>
        <v>0</v>
      </c>
      <c r="X112" s="16">
        <f t="shared" si="54"/>
        <v>0</v>
      </c>
      <c r="Y112" s="16">
        <v>1</v>
      </c>
      <c r="Z112" s="16">
        <f t="shared" si="55"/>
        <v>0</v>
      </c>
      <c r="AA112" s="16">
        <f t="shared" si="56"/>
        <v>0</v>
      </c>
      <c r="AB112" s="16">
        <f t="shared" si="57"/>
        <v>7528.92</v>
      </c>
      <c r="AC112" s="16">
        <f t="shared" si="58"/>
        <v>2005.5</v>
      </c>
      <c r="AD112" s="16">
        <f t="shared" si="59"/>
        <v>1</v>
      </c>
      <c r="AE112" s="16">
        <f t="shared" si="60"/>
        <v>2015.5</v>
      </c>
      <c r="AF112" s="16">
        <f t="shared" si="61"/>
        <v>0</v>
      </c>
      <c r="AG112" s="16">
        <f t="shared" si="62"/>
        <v>-8.3333333333333329E-2</v>
      </c>
    </row>
    <row r="113" spans="1:33">
      <c r="B113" s="26">
        <v>5</v>
      </c>
      <c r="C113" s="27" t="s">
        <v>174</v>
      </c>
      <c r="D113" s="26">
        <v>2006</v>
      </c>
      <c r="E113" s="26">
        <v>3</v>
      </c>
      <c r="F113" s="58"/>
      <c r="H113" s="26" t="s">
        <v>51</v>
      </c>
      <c r="I113" s="26">
        <v>10</v>
      </c>
      <c r="J113" s="26">
        <f t="shared" si="46"/>
        <v>2016</v>
      </c>
      <c r="M113" s="16">
        <v>26449.599999999999</v>
      </c>
      <c r="O113" s="16">
        <f t="shared" si="47"/>
        <v>26449.599999999999</v>
      </c>
      <c r="P113" s="16">
        <f t="shared" si="48"/>
        <v>220.41333333333333</v>
      </c>
      <c r="Q113" s="16">
        <f t="shared" si="49"/>
        <v>0</v>
      </c>
      <c r="R113" s="16">
        <f t="shared" si="50"/>
        <v>0</v>
      </c>
      <c r="S113" s="16">
        <f t="shared" si="51"/>
        <v>0</v>
      </c>
      <c r="T113" s="16">
        <v>1</v>
      </c>
      <c r="U113" s="16">
        <f t="shared" si="52"/>
        <v>0</v>
      </c>
      <c r="V113" s="16"/>
      <c r="W113" s="16">
        <f t="shared" si="53"/>
        <v>0</v>
      </c>
      <c r="X113" s="16">
        <f t="shared" si="54"/>
        <v>0</v>
      </c>
      <c r="Y113" s="16">
        <v>1</v>
      </c>
      <c r="Z113" s="16">
        <f t="shared" si="55"/>
        <v>0</v>
      </c>
      <c r="AA113" s="16">
        <f t="shared" si="56"/>
        <v>0</v>
      </c>
      <c r="AB113" s="16">
        <f t="shared" si="57"/>
        <v>13224.8</v>
      </c>
      <c r="AC113" s="16">
        <f t="shared" si="58"/>
        <v>2006.1666666666667</v>
      </c>
      <c r="AD113" s="16">
        <f t="shared" si="59"/>
        <v>1</v>
      </c>
      <c r="AE113" s="16">
        <f t="shared" si="60"/>
        <v>2016.1666666666667</v>
      </c>
      <c r="AF113" s="16">
        <f t="shared" si="61"/>
        <v>0</v>
      </c>
      <c r="AG113" s="16">
        <f t="shared" si="62"/>
        <v>-8.3333333333333329E-2</v>
      </c>
    </row>
    <row r="114" spans="1:33">
      <c r="B114" s="26">
        <v>5</v>
      </c>
      <c r="C114" s="27" t="s">
        <v>174</v>
      </c>
      <c r="D114" s="26">
        <v>2006</v>
      </c>
      <c r="E114" s="26">
        <v>6</v>
      </c>
      <c r="F114" s="58"/>
      <c r="H114" s="26" t="s">
        <v>51</v>
      </c>
      <c r="I114" s="26">
        <v>10</v>
      </c>
      <c r="J114" s="26">
        <f t="shared" si="46"/>
        <v>2016</v>
      </c>
      <c r="M114" s="16">
        <v>26449.599999999999</v>
      </c>
      <c r="O114" s="16">
        <f t="shared" si="47"/>
        <v>26449.599999999999</v>
      </c>
      <c r="P114" s="16">
        <f t="shared" si="48"/>
        <v>220.41333333333333</v>
      </c>
      <c r="Q114" s="16">
        <f t="shared" si="49"/>
        <v>0</v>
      </c>
      <c r="R114" s="16">
        <f t="shared" si="50"/>
        <v>0</v>
      </c>
      <c r="S114" s="16">
        <f t="shared" si="51"/>
        <v>0</v>
      </c>
      <c r="T114" s="16">
        <v>1</v>
      </c>
      <c r="U114" s="16">
        <f t="shared" si="52"/>
        <v>0</v>
      </c>
      <c r="V114" s="16"/>
      <c r="W114" s="16">
        <f t="shared" si="53"/>
        <v>0</v>
      </c>
      <c r="X114" s="16">
        <f t="shared" si="54"/>
        <v>0</v>
      </c>
      <c r="Y114" s="16">
        <v>1</v>
      </c>
      <c r="Z114" s="16">
        <f t="shared" si="55"/>
        <v>0</v>
      </c>
      <c r="AA114" s="16">
        <f t="shared" si="56"/>
        <v>0</v>
      </c>
      <c r="AB114" s="16">
        <f t="shared" si="57"/>
        <v>13224.8</v>
      </c>
      <c r="AC114" s="16">
        <f t="shared" si="58"/>
        <v>2006.4166666666667</v>
      </c>
      <c r="AD114" s="16">
        <f t="shared" si="59"/>
        <v>1</v>
      </c>
      <c r="AE114" s="16">
        <f t="shared" si="60"/>
        <v>2016.4166666666667</v>
      </c>
      <c r="AF114" s="16">
        <f t="shared" si="61"/>
        <v>0</v>
      </c>
      <c r="AG114" s="16">
        <f t="shared" si="62"/>
        <v>-8.3333333333333329E-2</v>
      </c>
    </row>
    <row r="115" spans="1:33">
      <c r="B115" s="26">
        <v>5</v>
      </c>
      <c r="C115" s="27" t="s">
        <v>174</v>
      </c>
      <c r="D115" s="26">
        <v>2007</v>
      </c>
      <c r="E115" s="26">
        <v>6</v>
      </c>
      <c r="F115" s="58"/>
      <c r="H115" s="26" t="s">
        <v>51</v>
      </c>
      <c r="I115" s="26">
        <v>10</v>
      </c>
      <c r="J115" s="26">
        <f t="shared" si="46"/>
        <v>2017</v>
      </c>
      <c r="M115" s="16">
        <v>26509.22</v>
      </c>
      <c r="O115" s="16">
        <f t="shared" si="47"/>
        <v>26509.22</v>
      </c>
      <c r="P115" s="16">
        <f t="shared" si="48"/>
        <v>220.91016666666667</v>
      </c>
      <c r="Q115" s="16">
        <f t="shared" si="49"/>
        <v>0</v>
      </c>
      <c r="R115" s="16">
        <f t="shared" si="50"/>
        <v>0</v>
      </c>
      <c r="S115" s="16">
        <f t="shared" si="51"/>
        <v>0</v>
      </c>
      <c r="T115" s="16">
        <v>1</v>
      </c>
      <c r="U115" s="16">
        <f t="shared" si="52"/>
        <v>0</v>
      </c>
      <c r="V115" s="16"/>
      <c r="W115" s="16">
        <f t="shared" si="53"/>
        <v>0</v>
      </c>
      <c r="X115" s="16">
        <f t="shared" si="54"/>
        <v>0</v>
      </c>
      <c r="Y115" s="16">
        <v>1</v>
      </c>
      <c r="Z115" s="16">
        <f t="shared" si="55"/>
        <v>0</v>
      </c>
      <c r="AA115" s="16">
        <f t="shared" si="56"/>
        <v>0</v>
      </c>
      <c r="AB115" s="16">
        <f t="shared" si="57"/>
        <v>13254.61</v>
      </c>
      <c r="AC115" s="16">
        <f t="shared" si="58"/>
        <v>2007.4166666666667</v>
      </c>
      <c r="AD115" s="16">
        <f t="shared" si="59"/>
        <v>1</v>
      </c>
      <c r="AE115" s="16">
        <f t="shared" si="60"/>
        <v>2017.4166666666667</v>
      </c>
      <c r="AF115" s="16">
        <f t="shared" si="61"/>
        <v>0</v>
      </c>
      <c r="AG115" s="16">
        <f t="shared" si="62"/>
        <v>-8.3333333333333329E-2</v>
      </c>
    </row>
    <row r="116" spans="1:33">
      <c r="B116" s="26">
        <v>5</v>
      </c>
      <c r="C116" s="27" t="s">
        <v>174</v>
      </c>
      <c r="D116" s="26">
        <v>2007</v>
      </c>
      <c r="E116" s="26">
        <v>8</v>
      </c>
      <c r="F116" s="58"/>
      <c r="H116" s="26" t="s">
        <v>51</v>
      </c>
      <c r="I116" s="26">
        <v>10</v>
      </c>
      <c r="J116" s="26">
        <f t="shared" si="46"/>
        <v>2017</v>
      </c>
      <c r="M116" s="16">
        <v>25620.34</v>
      </c>
      <c r="O116" s="16">
        <f t="shared" si="47"/>
        <v>25620.34</v>
      </c>
      <c r="P116" s="16">
        <f t="shared" si="48"/>
        <v>213.50283333333334</v>
      </c>
      <c r="Q116" s="16">
        <f t="shared" si="49"/>
        <v>0</v>
      </c>
      <c r="R116" s="16">
        <f t="shared" si="50"/>
        <v>0</v>
      </c>
      <c r="S116" s="16">
        <f t="shared" si="51"/>
        <v>0</v>
      </c>
      <c r="T116" s="16">
        <v>1</v>
      </c>
      <c r="U116" s="16">
        <f t="shared" si="52"/>
        <v>0</v>
      </c>
      <c r="V116" s="16"/>
      <c r="W116" s="16">
        <f t="shared" si="53"/>
        <v>0</v>
      </c>
      <c r="X116" s="16">
        <f t="shared" si="54"/>
        <v>0</v>
      </c>
      <c r="Y116" s="16">
        <v>1</v>
      </c>
      <c r="Z116" s="16">
        <f t="shared" si="55"/>
        <v>0</v>
      </c>
      <c r="AA116" s="16">
        <f t="shared" si="56"/>
        <v>0</v>
      </c>
      <c r="AB116" s="16">
        <f t="shared" si="57"/>
        <v>12810.17</v>
      </c>
      <c r="AC116" s="16">
        <f t="shared" si="58"/>
        <v>2007.5833333333333</v>
      </c>
      <c r="AD116" s="16">
        <f t="shared" si="59"/>
        <v>1</v>
      </c>
      <c r="AE116" s="16">
        <f t="shared" si="60"/>
        <v>2017.5833333333333</v>
      </c>
      <c r="AF116" s="16">
        <f t="shared" si="61"/>
        <v>0</v>
      </c>
      <c r="AG116" s="16">
        <f t="shared" si="62"/>
        <v>-8.3333333333333329E-2</v>
      </c>
    </row>
    <row r="117" spans="1:33">
      <c r="B117" s="26">
        <v>5</v>
      </c>
      <c r="C117" s="27" t="s">
        <v>174</v>
      </c>
      <c r="D117" s="26">
        <v>2007</v>
      </c>
      <c r="E117" s="26">
        <v>10</v>
      </c>
      <c r="F117" s="58"/>
      <c r="H117" s="26" t="s">
        <v>51</v>
      </c>
      <c r="I117" s="26">
        <v>10</v>
      </c>
      <c r="J117" s="26">
        <f t="shared" si="46"/>
        <v>2017</v>
      </c>
      <c r="M117" s="16">
        <v>26509.22</v>
      </c>
      <c r="O117" s="16">
        <f t="shared" si="47"/>
        <v>26509.22</v>
      </c>
      <c r="P117" s="16">
        <f t="shared" si="48"/>
        <v>220.91016666666667</v>
      </c>
      <c r="Q117" s="16">
        <f t="shared" si="49"/>
        <v>0</v>
      </c>
      <c r="R117" s="16">
        <f t="shared" si="50"/>
        <v>0</v>
      </c>
      <c r="S117" s="16">
        <f t="shared" si="51"/>
        <v>0</v>
      </c>
      <c r="T117" s="16">
        <v>1</v>
      </c>
      <c r="U117" s="16">
        <f t="shared" si="52"/>
        <v>0</v>
      </c>
      <c r="V117" s="16"/>
      <c r="W117" s="16">
        <f t="shared" si="53"/>
        <v>0</v>
      </c>
      <c r="X117" s="16">
        <f t="shared" si="54"/>
        <v>0</v>
      </c>
      <c r="Y117" s="16">
        <v>1</v>
      </c>
      <c r="Z117" s="16">
        <f t="shared" si="55"/>
        <v>0</v>
      </c>
      <c r="AA117" s="16">
        <f t="shared" si="56"/>
        <v>0</v>
      </c>
      <c r="AB117" s="16">
        <f t="shared" si="57"/>
        <v>13254.61</v>
      </c>
      <c r="AC117" s="16">
        <f t="shared" si="58"/>
        <v>2007.75</v>
      </c>
      <c r="AD117" s="16">
        <f t="shared" si="59"/>
        <v>1</v>
      </c>
      <c r="AE117" s="16">
        <f t="shared" si="60"/>
        <v>2017.75</v>
      </c>
      <c r="AF117" s="16">
        <f t="shared" si="61"/>
        <v>0</v>
      </c>
      <c r="AG117" s="16">
        <f t="shared" si="62"/>
        <v>-8.3333333333333329E-2</v>
      </c>
    </row>
    <row r="118" spans="1:33">
      <c r="A118" s="6">
        <v>107241</v>
      </c>
      <c r="B118" s="26">
        <v>3</v>
      </c>
      <c r="C118" s="27" t="s">
        <v>316</v>
      </c>
      <c r="D118" s="26">
        <v>2013</v>
      </c>
      <c r="E118" s="26">
        <v>8</v>
      </c>
      <c r="F118" s="58"/>
      <c r="H118" s="26" t="s">
        <v>51</v>
      </c>
      <c r="I118" s="26">
        <v>10</v>
      </c>
      <c r="J118" s="26">
        <f t="shared" si="46"/>
        <v>2023</v>
      </c>
      <c r="M118" s="16">
        <v>18364.04</v>
      </c>
      <c r="O118" s="16">
        <f t="shared" si="47"/>
        <v>18364.04</v>
      </c>
      <c r="P118" s="16">
        <f t="shared" si="48"/>
        <v>153.03366666666668</v>
      </c>
      <c r="Q118" s="16">
        <f t="shared" si="49"/>
        <v>0</v>
      </c>
      <c r="R118" s="16">
        <f t="shared" si="50"/>
        <v>0</v>
      </c>
      <c r="S118" s="16">
        <f t="shared" si="51"/>
        <v>0</v>
      </c>
      <c r="T118" s="16">
        <v>1</v>
      </c>
      <c r="U118" s="16">
        <f t="shared" si="52"/>
        <v>0</v>
      </c>
      <c r="V118" s="16"/>
      <c r="W118" s="16">
        <f t="shared" si="53"/>
        <v>0</v>
      </c>
      <c r="X118" s="16">
        <f t="shared" si="54"/>
        <v>0</v>
      </c>
      <c r="Y118" s="16">
        <v>1</v>
      </c>
      <c r="Z118" s="16">
        <f t="shared" si="55"/>
        <v>0</v>
      </c>
      <c r="AA118" s="16">
        <f t="shared" si="56"/>
        <v>0</v>
      </c>
      <c r="AB118" s="16">
        <f t="shared" si="57"/>
        <v>9182.02</v>
      </c>
      <c r="AC118" s="16">
        <f t="shared" si="58"/>
        <v>2013.5833333333333</v>
      </c>
      <c r="AD118" s="16">
        <f t="shared" si="59"/>
        <v>1</v>
      </c>
      <c r="AE118" s="16">
        <f t="shared" si="60"/>
        <v>2023.5833333333333</v>
      </c>
      <c r="AF118" s="16">
        <f t="shared" si="61"/>
        <v>0</v>
      </c>
      <c r="AG118" s="16">
        <f t="shared" si="62"/>
        <v>-8.3333333333333329E-2</v>
      </c>
    </row>
    <row r="119" spans="1:33">
      <c r="A119" s="6">
        <v>124065</v>
      </c>
      <c r="B119" s="26">
        <v>3</v>
      </c>
      <c r="C119" s="27" t="s">
        <v>315</v>
      </c>
      <c r="D119" s="26">
        <v>2015</v>
      </c>
      <c r="E119" s="26">
        <v>7</v>
      </c>
      <c r="F119" s="58"/>
      <c r="H119" s="26" t="s">
        <v>51</v>
      </c>
      <c r="I119" s="26">
        <v>10</v>
      </c>
      <c r="J119" s="26">
        <f t="shared" si="46"/>
        <v>2025</v>
      </c>
      <c r="M119" s="16">
        <v>16310</v>
      </c>
      <c r="O119" s="16">
        <f t="shared" si="47"/>
        <v>16310</v>
      </c>
      <c r="P119" s="16">
        <f t="shared" si="48"/>
        <v>135.91666666666666</v>
      </c>
      <c r="Q119" s="16">
        <f t="shared" si="49"/>
        <v>0</v>
      </c>
      <c r="R119" s="16">
        <f t="shared" si="50"/>
        <v>0</v>
      </c>
      <c r="S119" s="16">
        <f t="shared" si="51"/>
        <v>0</v>
      </c>
      <c r="T119" s="16">
        <v>1</v>
      </c>
      <c r="U119" s="16">
        <f t="shared" si="52"/>
        <v>0</v>
      </c>
      <c r="V119" s="16"/>
      <c r="W119" s="16">
        <f t="shared" si="53"/>
        <v>0</v>
      </c>
      <c r="X119" s="16">
        <f t="shared" si="54"/>
        <v>0</v>
      </c>
      <c r="Y119" s="16">
        <v>1</v>
      </c>
      <c r="Z119" s="16">
        <f t="shared" si="55"/>
        <v>0</v>
      </c>
      <c r="AA119" s="16">
        <f t="shared" si="56"/>
        <v>0</v>
      </c>
      <c r="AB119" s="16">
        <f t="shared" si="57"/>
        <v>8155</v>
      </c>
      <c r="AC119" s="16">
        <f t="shared" si="58"/>
        <v>2015.5</v>
      </c>
      <c r="AD119" s="16">
        <f t="shared" si="59"/>
        <v>1</v>
      </c>
      <c r="AE119" s="16">
        <f t="shared" si="60"/>
        <v>2025.5</v>
      </c>
      <c r="AF119" s="16">
        <f t="shared" si="61"/>
        <v>0</v>
      </c>
      <c r="AG119" s="16">
        <f t="shared" si="62"/>
        <v>-8.3333333333333329E-2</v>
      </c>
    </row>
    <row r="120" spans="1:33">
      <c r="B120" s="26"/>
      <c r="C120" s="27"/>
      <c r="D120" s="26"/>
      <c r="E120" s="26"/>
      <c r="F120" s="58"/>
      <c r="H120" s="26"/>
      <c r="M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1:33">
      <c r="A121" s="6">
        <v>130068</v>
      </c>
      <c r="B121" s="26">
        <v>3</v>
      </c>
      <c r="C121" s="27" t="s">
        <v>168</v>
      </c>
      <c r="D121" s="26">
        <v>2016</v>
      </c>
      <c r="E121" s="26">
        <v>1</v>
      </c>
      <c r="F121" s="58"/>
      <c r="H121" s="26" t="s">
        <v>51</v>
      </c>
      <c r="I121" s="26">
        <v>10</v>
      </c>
      <c r="J121" s="26">
        <f t="shared" ref="J121:J126" si="63">D121+I121</f>
        <v>2026</v>
      </c>
      <c r="M121" s="16">
        <v>17943</v>
      </c>
      <c r="O121" s="16">
        <f t="shared" ref="O121:O126" si="64">M121-M121*F121</f>
        <v>17943</v>
      </c>
      <c r="P121" s="16">
        <f t="shared" ref="P121:P126" si="65">O121/I121/12</f>
        <v>149.52500000000001</v>
      </c>
      <c r="Q121" s="16">
        <f t="shared" si="49"/>
        <v>0</v>
      </c>
      <c r="R121" s="16">
        <f t="shared" si="50"/>
        <v>0</v>
      </c>
      <c r="S121" s="16">
        <f t="shared" si="51"/>
        <v>0</v>
      </c>
      <c r="T121" s="16">
        <v>1</v>
      </c>
      <c r="U121" s="16">
        <f t="shared" si="52"/>
        <v>0</v>
      </c>
      <c r="V121" s="16"/>
      <c r="W121" s="16">
        <f t="shared" si="53"/>
        <v>0</v>
      </c>
      <c r="X121" s="16">
        <f t="shared" si="54"/>
        <v>0</v>
      </c>
      <c r="Y121" s="16">
        <v>1</v>
      </c>
      <c r="Z121" s="16">
        <f t="shared" si="55"/>
        <v>0</v>
      </c>
      <c r="AA121" s="16">
        <f t="shared" si="56"/>
        <v>0</v>
      </c>
      <c r="AB121" s="16">
        <f t="shared" si="57"/>
        <v>8971.5</v>
      </c>
      <c r="AC121" s="16">
        <f t="shared" si="58"/>
        <v>2016</v>
      </c>
      <c r="AD121" s="16">
        <f t="shared" si="59"/>
        <v>1</v>
      </c>
      <c r="AE121" s="16">
        <f t="shared" si="60"/>
        <v>2026</v>
      </c>
      <c r="AF121" s="16">
        <f t="shared" si="61"/>
        <v>0</v>
      </c>
      <c r="AG121" s="16">
        <f t="shared" si="62"/>
        <v>-8.3333333333333329E-2</v>
      </c>
    </row>
    <row r="122" spans="1:33">
      <c r="A122" s="6">
        <v>133215</v>
      </c>
      <c r="B122" s="26">
        <v>1</v>
      </c>
      <c r="C122" s="27" t="s">
        <v>174</v>
      </c>
      <c r="D122" s="26">
        <v>2016</v>
      </c>
      <c r="E122" s="26">
        <v>5</v>
      </c>
      <c r="F122" s="58"/>
      <c r="H122" s="26" t="s">
        <v>51</v>
      </c>
      <c r="I122" s="26">
        <v>10</v>
      </c>
      <c r="J122" s="26">
        <f t="shared" si="63"/>
        <v>2026</v>
      </c>
      <c r="M122" s="16">
        <v>5981</v>
      </c>
      <c r="O122" s="16">
        <f t="shared" si="64"/>
        <v>5981</v>
      </c>
      <c r="P122" s="16">
        <f t="shared" si="65"/>
        <v>49.841666666666669</v>
      </c>
      <c r="Q122" s="16">
        <f t="shared" si="49"/>
        <v>0</v>
      </c>
      <c r="R122" s="16">
        <f t="shared" si="50"/>
        <v>0</v>
      </c>
      <c r="S122" s="16">
        <f t="shared" si="51"/>
        <v>0</v>
      </c>
      <c r="T122" s="16">
        <v>1</v>
      </c>
      <c r="U122" s="16">
        <f t="shared" si="52"/>
        <v>0</v>
      </c>
      <c r="V122" s="16"/>
      <c r="W122" s="16">
        <f t="shared" si="53"/>
        <v>0</v>
      </c>
      <c r="X122" s="16">
        <f t="shared" si="54"/>
        <v>0</v>
      </c>
      <c r="Y122" s="16">
        <v>1</v>
      </c>
      <c r="Z122" s="16">
        <f t="shared" si="55"/>
        <v>0</v>
      </c>
      <c r="AA122" s="16">
        <f t="shared" si="56"/>
        <v>0</v>
      </c>
      <c r="AB122" s="16">
        <f t="shared" si="57"/>
        <v>2990.5</v>
      </c>
      <c r="AC122" s="16">
        <f t="shared" si="58"/>
        <v>2016.3333333333333</v>
      </c>
      <c r="AD122" s="16">
        <f t="shared" si="59"/>
        <v>1</v>
      </c>
      <c r="AE122" s="16">
        <f t="shared" si="60"/>
        <v>2026.3333333333333</v>
      </c>
      <c r="AF122" s="16">
        <f t="shared" si="61"/>
        <v>0</v>
      </c>
      <c r="AG122" s="16">
        <f t="shared" si="62"/>
        <v>-8.3333333333333329E-2</v>
      </c>
    </row>
    <row r="123" spans="1:33">
      <c r="A123" s="6">
        <v>133216</v>
      </c>
      <c r="B123" s="26">
        <v>2</v>
      </c>
      <c r="C123" s="27" t="s">
        <v>173</v>
      </c>
      <c r="D123" s="26">
        <v>2016</v>
      </c>
      <c r="E123" s="26">
        <v>5</v>
      </c>
      <c r="F123" s="58"/>
      <c r="H123" s="26" t="s">
        <v>51</v>
      </c>
      <c r="I123" s="26">
        <v>10</v>
      </c>
      <c r="J123" s="26">
        <f t="shared" si="63"/>
        <v>2026</v>
      </c>
      <c r="M123" s="16">
        <v>11626</v>
      </c>
      <c r="O123" s="16">
        <f t="shared" si="64"/>
        <v>11626</v>
      </c>
      <c r="P123" s="16">
        <f t="shared" si="65"/>
        <v>96.883333333333326</v>
      </c>
      <c r="Q123" s="16">
        <f t="shared" si="49"/>
        <v>0</v>
      </c>
      <c r="R123" s="16">
        <f t="shared" si="50"/>
        <v>0</v>
      </c>
      <c r="S123" s="16">
        <f t="shared" si="51"/>
        <v>0</v>
      </c>
      <c r="T123" s="16">
        <v>1</v>
      </c>
      <c r="U123" s="16">
        <f t="shared" si="52"/>
        <v>0</v>
      </c>
      <c r="V123" s="16"/>
      <c r="W123" s="16">
        <f t="shared" si="53"/>
        <v>0</v>
      </c>
      <c r="X123" s="16">
        <f t="shared" si="54"/>
        <v>0</v>
      </c>
      <c r="Y123" s="16">
        <v>1</v>
      </c>
      <c r="Z123" s="16">
        <f t="shared" si="55"/>
        <v>0</v>
      </c>
      <c r="AA123" s="16">
        <f t="shared" si="56"/>
        <v>0</v>
      </c>
      <c r="AB123" s="16">
        <f t="shared" si="57"/>
        <v>5813</v>
      </c>
      <c r="AC123" s="16">
        <f t="shared" si="58"/>
        <v>2016.3333333333333</v>
      </c>
      <c r="AD123" s="16">
        <f t="shared" si="59"/>
        <v>1</v>
      </c>
      <c r="AE123" s="16">
        <f t="shared" si="60"/>
        <v>2026.3333333333333</v>
      </c>
      <c r="AF123" s="16">
        <f t="shared" si="61"/>
        <v>0</v>
      </c>
      <c r="AG123" s="16">
        <f t="shared" si="62"/>
        <v>-8.3333333333333329E-2</v>
      </c>
    </row>
    <row r="124" spans="1:33">
      <c r="A124" s="6">
        <v>133564</v>
      </c>
      <c r="B124" s="26">
        <v>3</v>
      </c>
      <c r="C124" s="27" t="s">
        <v>174</v>
      </c>
      <c r="D124" s="26">
        <v>2016</v>
      </c>
      <c r="E124" s="26">
        <v>6</v>
      </c>
      <c r="F124" s="58"/>
      <c r="H124" s="26" t="s">
        <v>51</v>
      </c>
      <c r="I124" s="26">
        <v>10</v>
      </c>
      <c r="J124" s="26">
        <f t="shared" si="63"/>
        <v>2026</v>
      </c>
      <c r="M124" s="16">
        <v>17943</v>
      </c>
      <c r="O124" s="16">
        <f t="shared" si="64"/>
        <v>17943</v>
      </c>
      <c r="P124" s="16">
        <f t="shared" si="65"/>
        <v>149.52500000000001</v>
      </c>
      <c r="Q124" s="16">
        <f t="shared" si="49"/>
        <v>0</v>
      </c>
      <c r="R124" s="16">
        <f t="shared" si="50"/>
        <v>0</v>
      </c>
      <c r="S124" s="16">
        <f t="shared" si="51"/>
        <v>0</v>
      </c>
      <c r="T124" s="16">
        <v>1</v>
      </c>
      <c r="U124" s="16">
        <f t="shared" si="52"/>
        <v>0</v>
      </c>
      <c r="V124" s="16"/>
      <c r="W124" s="16">
        <f t="shared" si="53"/>
        <v>0</v>
      </c>
      <c r="X124" s="16">
        <f t="shared" si="54"/>
        <v>0</v>
      </c>
      <c r="Y124" s="16">
        <v>1</v>
      </c>
      <c r="Z124" s="16">
        <f t="shared" si="55"/>
        <v>0</v>
      </c>
      <c r="AA124" s="16">
        <f t="shared" si="56"/>
        <v>0</v>
      </c>
      <c r="AB124" s="16">
        <f t="shared" si="57"/>
        <v>8971.5</v>
      </c>
      <c r="AC124" s="16">
        <f t="shared" si="58"/>
        <v>2016.4166666666667</v>
      </c>
      <c r="AD124" s="16">
        <f t="shared" si="59"/>
        <v>1</v>
      </c>
      <c r="AE124" s="16">
        <f t="shared" si="60"/>
        <v>2026.4166666666667</v>
      </c>
      <c r="AF124" s="16">
        <f t="shared" si="61"/>
        <v>0</v>
      </c>
      <c r="AG124" s="16">
        <f t="shared" si="62"/>
        <v>-8.3333333333333329E-2</v>
      </c>
    </row>
    <row r="125" spans="1:33">
      <c r="A125" s="6">
        <v>167238</v>
      </c>
      <c r="B125" s="26">
        <v>1</v>
      </c>
      <c r="C125" s="27" t="s">
        <v>174</v>
      </c>
      <c r="D125" s="26">
        <v>2016</v>
      </c>
      <c r="E125" s="26">
        <v>6</v>
      </c>
      <c r="F125" s="58"/>
      <c r="H125" s="26" t="s">
        <v>51</v>
      </c>
      <c r="I125" s="26">
        <v>12</v>
      </c>
      <c r="J125" s="26">
        <f t="shared" si="63"/>
        <v>2028</v>
      </c>
      <c r="M125" s="16">
        <v>5981</v>
      </c>
      <c r="O125" s="16">
        <f t="shared" si="64"/>
        <v>5981</v>
      </c>
      <c r="P125" s="16">
        <f t="shared" si="65"/>
        <v>41.534722222222221</v>
      </c>
      <c r="Q125" s="16">
        <f>IF(N125&gt;0,0,IF(OR(AC125&gt;AD125,AE125&lt;AF125),0,IF(AND(AE125&gt;=AF125,AE125&lt;=AD125),P125*((AE125-AF125)*12),IF(AND(AF125&lt;=AC125,AD125&gt;=AC125),((AD125-AC125)*12)*P125,IF(AE125&gt;AD125,12*P125,0)))))</f>
        <v>0</v>
      </c>
      <c r="R125" s="16">
        <f>IF(N125=0,0,IF(AND(AG125&gt;=AF125,AG125&lt;=AE125),((AG125-AF125)*12)*P125,0))</f>
        <v>0</v>
      </c>
      <c r="S125" s="16">
        <f>IF(R125&gt;0,R125,Q125)</f>
        <v>0</v>
      </c>
      <c r="T125" s="16">
        <v>1</v>
      </c>
      <c r="U125" s="16">
        <f>T125*SUM(Q125:R125)</f>
        <v>0</v>
      </c>
      <c r="V125" s="16"/>
      <c r="W125" s="16">
        <f>IF(AC125&gt;AD125,0,IF(AE125&lt;AF125,O125,IF(AND(AE125&gt;=AF125,AE125&lt;=AD125),(O125-S125),IF(AND(AF125&lt;=AC125,AD125&gt;=AC125),0,IF(AE125&gt;AD125,((AF125-AC125)*12)*P125,0)))))</f>
        <v>0</v>
      </c>
      <c r="X125" s="16">
        <f>W125*T125</f>
        <v>0</v>
      </c>
      <c r="Y125" s="16">
        <v>1</v>
      </c>
      <c r="Z125" s="16">
        <f>X125*Y125</f>
        <v>0</v>
      </c>
      <c r="AA125" s="16">
        <f>IF(N125&gt;0,0,Z125+U125*Y125)*Y125</f>
        <v>0</v>
      </c>
      <c r="AB125" s="16">
        <f>IF(N125&gt;0,(M125-Z125)/2,IF(AC125&gt;=AF125,(((M125*T125)*Y125)-AA125)/2,((((M125*T125)*Y125)-Z125)+(((M125*T125)*Y125)-AA125))/2))</f>
        <v>2990.5</v>
      </c>
      <c r="AC125" s="16">
        <f t="shared" si="58"/>
        <v>2016.4166666666667</v>
      </c>
      <c r="AD125" s="16">
        <f t="shared" si="59"/>
        <v>1</v>
      </c>
      <c r="AE125" s="16">
        <f t="shared" si="60"/>
        <v>2028.4166666666667</v>
      </c>
      <c r="AF125" s="16">
        <f t="shared" si="61"/>
        <v>0</v>
      </c>
      <c r="AG125" s="16">
        <f t="shared" si="62"/>
        <v>-8.3333333333333329E-2</v>
      </c>
    </row>
    <row r="126" spans="1:33">
      <c r="A126" s="6">
        <v>167239</v>
      </c>
      <c r="B126" s="26">
        <v>2</v>
      </c>
      <c r="C126" s="27" t="s">
        <v>173</v>
      </c>
      <c r="D126" s="26">
        <v>2016</v>
      </c>
      <c r="E126" s="26">
        <v>6</v>
      </c>
      <c r="F126" s="58"/>
      <c r="H126" s="26" t="s">
        <v>51</v>
      </c>
      <c r="I126" s="26">
        <v>12</v>
      </c>
      <c r="J126" s="26">
        <f t="shared" si="63"/>
        <v>2028</v>
      </c>
      <c r="M126" s="16">
        <v>11626</v>
      </c>
      <c r="O126" s="16">
        <f t="shared" si="64"/>
        <v>11626</v>
      </c>
      <c r="P126" s="16">
        <f t="shared" si="65"/>
        <v>80.736111111111114</v>
      </c>
      <c r="Q126" s="16">
        <f>IF(N126&gt;0,0,IF(OR(AC126&gt;AD126,AE126&lt;AF126),0,IF(AND(AE126&gt;=AF126,AE126&lt;=AD126),P126*((AE126-AF126)*12),IF(AND(AF126&lt;=AC126,AD126&gt;=AC126),((AD126-AC126)*12)*P126,IF(AE126&gt;AD126,12*P126,0)))))</f>
        <v>0</v>
      </c>
      <c r="R126" s="16">
        <f>IF(N126=0,0,IF(AND(AG126&gt;=AF126,AG126&lt;=AE126),((AG126-AF126)*12)*P126,0))</f>
        <v>0</v>
      </c>
      <c r="S126" s="16">
        <f>IF(R126&gt;0,R126,Q126)</f>
        <v>0</v>
      </c>
      <c r="T126" s="16">
        <v>1</v>
      </c>
      <c r="U126" s="16">
        <f>T126*SUM(Q126:R126)</f>
        <v>0</v>
      </c>
      <c r="V126" s="16"/>
      <c r="W126" s="16">
        <f>IF(AC126&gt;AD126,0,IF(AE126&lt;AF126,O126,IF(AND(AE126&gt;=AF126,AE126&lt;=AD126),(O126-S126),IF(AND(AF126&lt;=AC126,AD126&gt;=AC126),0,IF(AE126&gt;AD126,((AF126-AC126)*12)*P126,0)))))</f>
        <v>0</v>
      </c>
      <c r="X126" s="16">
        <f>W126*T126</f>
        <v>0</v>
      </c>
      <c r="Y126" s="16">
        <v>1</v>
      </c>
      <c r="Z126" s="16">
        <f>X126*Y126</f>
        <v>0</v>
      </c>
      <c r="AA126" s="16">
        <f>IF(N126&gt;0,0,Z126+U126*Y126)*Y126</f>
        <v>0</v>
      </c>
      <c r="AB126" s="16">
        <f>IF(N126&gt;0,(M126-Z126)/2,IF(AC126&gt;=AF126,(((M126*T126)*Y126)-AA126)/2,((((M126*T126)*Y126)-Z126)+(((M126*T126)*Y126)-AA126))/2))</f>
        <v>5813</v>
      </c>
      <c r="AC126" s="16">
        <f t="shared" si="58"/>
        <v>2016.4166666666667</v>
      </c>
      <c r="AD126" s="16">
        <f t="shared" si="59"/>
        <v>1</v>
      </c>
      <c r="AE126" s="16">
        <f t="shared" si="60"/>
        <v>2028.4166666666667</v>
      </c>
      <c r="AF126" s="16">
        <f t="shared" si="61"/>
        <v>0</v>
      </c>
      <c r="AG126" s="16">
        <f t="shared" si="62"/>
        <v>-8.3333333333333329E-2</v>
      </c>
    </row>
    <row r="127" spans="1:33">
      <c r="B127" s="26"/>
      <c r="C127" s="27"/>
      <c r="D127" s="26"/>
      <c r="E127" s="26"/>
      <c r="F127" s="58"/>
      <c r="H127" s="26"/>
      <c r="M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1:33">
      <c r="A128" s="6">
        <v>181670</v>
      </c>
      <c r="B128" s="26">
        <v>5</v>
      </c>
      <c r="C128" s="27" t="s">
        <v>363</v>
      </c>
      <c r="D128" s="26">
        <v>2017</v>
      </c>
      <c r="E128" s="26">
        <v>4</v>
      </c>
      <c r="F128" s="58"/>
      <c r="H128" s="26" t="s">
        <v>51</v>
      </c>
      <c r="I128" s="26">
        <v>12</v>
      </c>
      <c r="J128" s="26">
        <f>D128+I128</f>
        <v>2029</v>
      </c>
      <c r="M128" s="16">
        <v>27760</v>
      </c>
      <c r="O128" s="16">
        <f>M128-M128*F128</f>
        <v>27760</v>
      </c>
      <c r="P128" s="16">
        <f>O128/I128/12</f>
        <v>192.7777777777778</v>
      </c>
      <c r="Q128" s="16">
        <f>IF(N128&gt;0,0,IF(OR(AC128&gt;AD128,AE128&lt;AF128),0,IF(AND(AE128&gt;=AF128,AE128&lt;=AD128),P128*((AE128-AF128)*12),IF(AND(AF128&lt;=AC128,AD128&gt;=AC128),((AD128-AC128)*12)*P128,IF(AE128&gt;AD128,12*P128,0)))))</f>
        <v>0</v>
      </c>
      <c r="R128" s="16">
        <f>IF(N128=0,0,IF(AND(AG128&gt;=AF128,AG128&lt;=AE128),((AG128-AF128)*12)*P128,0))</f>
        <v>0</v>
      </c>
      <c r="S128" s="16">
        <f>IF(R128&gt;0,R128,Q128)</f>
        <v>0</v>
      </c>
      <c r="T128" s="16">
        <v>1</v>
      </c>
      <c r="U128" s="16">
        <f>T128*SUM(Q128:R128)</f>
        <v>0</v>
      </c>
      <c r="V128" s="16"/>
      <c r="W128" s="16">
        <f>IF(AC128&gt;AD128,0,IF(AE128&lt;AF128,O128,IF(AND(AE128&gt;=AF128,AE128&lt;=AD128),(O128-S128),IF(AND(AF128&lt;=AC128,AD128&gt;=AC128),0,IF(AE128&gt;AD128,((AF128-AC128)*12)*P128,0)))))</f>
        <v>0</v>
      </c>
      <c r="X128" s="16">
        <f>W128*T128</f>
        <v>0</v>
      </c>
      <c r="Y128" s="16">
        <v>1</v>
      </c>
      <c r="Z128" s="16">
        <f>X128*Y128</f>
        <v>0</v>
      </c>
      <c r="AA128" s="16">
        <f>IF(N128&gt;0,0,Z128+U128*Y128)*Y128</f>
        <v>0</v>
      </c>
      <c r="AB128" s="16">
        <f>IF(N128&gt;0,(M128-Z128)/2,IF(AC128&gt;=AF128,(((M128*T128)*Y128)-AA128)/2,((((M128*T128)*Y128)-Z128)+(((M128*T128)*Y128)-AA128))/2))</f>
        <v>13880</v>
      </c>
      <c r="AC128" s="16">
        <f t="shared" si="58"/>
        <v>2017.25</v>
      </c>
      <c r="AD128" s="16">
        <f t="shared" si="59"/>
        <v>1</v>
      </c>
      <c r="AE128" s="16">
        <f t="shared" si="60"/>
        <v>2029.25</v>
      </c>
      <c r="AF128" s="16">
        <f t="shared" si="61"/>
        <v>0</v>
      </c>
      <c r="AG128" s="16">
        <f t="shared" si="62"/>
        <v>-8.3333333333333329E-2</v>
      </c>
    </row>
    <row r="129" spans="1:33">
      <c r="A129" s="6">
        <v>181671</v>
      </c>
      <c r="B129" s="26">
        <v>5</v>
      </c>
      <c r="C129" s="27" t="s">
        <v>364</v>
      </c>
      <c r="D129" s="26">
        <v>2017</v>
      </c>
      <c r="E129" s="26">
        <v>4</v>
      </c>
      <c r="F129" s="58"/>
      <c r="H129" s="26" t="s">
        <v>51</v>
      </c>
      <c r="I129" s="26">
        <v>12</v>
      </c>
      <c r="J129" s="26">
        <f>D129+I129</f>
        <v>2029</v>
      </c>
      <c r="M129" s="16">
        <v>30650</v>
      </c>
      <c r="O129" s="16">
        <f>M129-M129*F129</f>
        <v>30650</v>
      </c>
      <c r="P129" s="16">
        <f>O129/I129/12</f>
        <v>212.8472222222222</v>
      </c>
      <c r="Q129" s="16">
        <f>IF(N129&gt;0,0,IF(OR(AC129&gt;AD129,AE129&lt;AF129),0,IF(AND(AE129&gt;=AF129,AE129&lt;=AD129),P129*((AE129-AF129)*12),IF(AND(AF129&lt;=AC129,AD129&gt;=AC129),((AD129-AC129)*12)*P129,IF(AE129&gt;AD129,12*P129,0)))))</f>
        <v>0</v>
      </c>
      <c r="R129" s="16">
        <f>IF(N129=0,0,IF(AND(AG129&gt;=AF129,AG129&lt;=AE129),((AG129-AF129)*12)*P129,0))</f>
        <v>0</v>
      </c>
      <c r="S129" s="16">
        <f>IF(R129&gt;0,R129,Q129)</f>
        <v>0</v>
      </c>
      <c r="T129" s="16">
        <v>1</v>
      </c>
      <c r="U129" s="16">
        <f>T129*SUM(Q129:R129)</f>
        <v>0</v>
      </c>
      <c r="V129" s="16"/>
      <c r="W129" s="16">
        <f>IF(AC129&gt;AD129,0,IF(AE129&lt;AF129,O129,IF(AND(AE129&gt;=AF129,AE129&lt;=AD129),(O129-S129),IF(AND(AF129&lt;=AC129,AD129&gt;=AC129),0,IF(AE129&gt;AD129,((AF129-AC129)*12)*P129,0)))))</f>
        <v>0</v>
      </c>
      <c r="X129" s="16">
        <f>W129*T129</f>
        <v>0</v>
      </c>
      <c r="Y129" s="16">
        <v>1</v>
      </c>
      <c r="Z129" s="16">
        <f>X129*Y129</f>
        <v>0</v>
      </c>
      <c r="AA129" s="16">
        <f>IF(N129&gt;0,0,Z129+U129*Y129)*Y129</f>
        <v>0</v>
      </c>
      <c r="AB129" s="16">
        <f>IF(N129&gt;0,(M129-Z129)/2,IF(AC129&gt;=AF129,(((M129*T129)*Y129)-AA129)/2,((((M129*T129)*Y129)-Z129)+(((M129*T129)*Y129)-AA129))/2))</f>
        <v>15325</v>
      </c>
      <c r="AC129" s="16">
        <f t="shared" si="58"/>
        <v>2017.25</v>
      </c>
      <c r="AD129" s="16">
        <f t="shared" si="59"/>
        <v>1</v>
      </c>
      <c r="AE129" s="16">
        <f t="shared" si="60"/>
        <v>2029.25</v>
      </c>
      <c r="AF129" s="16">
        <f t="shared" si="61"/>
        <v>0</v>
      </c>
      <c r="AG129" s="16">
        <f t="shared" si="62"/>
        <v>-8.3333333333333329E-2</v>
      </c>
    </row>
    <row r="130" spans="1:33">
      <c r="B130" s="26"/>
      <c r="C130" s="27"/>
      <c r="D130" s="26"/>
      <c r="E130" s="26"/>
      <c r="F130" s="58"/>
      <c r="H130" s="26"/>
      <c r="M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spans="1:33">
      <c r="A131" s="31"/>
      <c r="B131" s="31">
        <f>SUM(B130:B130)</f>
        <v>0</v>
      </c>
      <c r="C131" s="31" t="s">
        <v>258</v>
      </c>
      <c r="D131" s="32"/>
      <c r="E131" s="32"/>
      <c r="F131" s="33"/>
      <c r="H131" s="26"/>
      <c r="I131" s="32"/>
      <c r="J131" s="32"/>
      <c r="M131" s="34">
        <f>SUM(M101:M130)</f>
        <v>501759.31526315789</v>
      </c>
      <c r="O131" s="34">
        <f>SUM(O101:O130)</f>
        <v>501759.31526315789</v>
      </c>
      <c r="P131" s="34">
        <f>SUM(P101:P130)</f>
        <v>4496.1314805764414</v>
      </c>
      <c r="Q131" s="34">
        <f>SUM(Q101:Q130)</f>
        <v>0</v>
      </c>
      <c r="R131" s="34"/>
      <c r="S131" s="34">
        <f>SUM(S101:S130)</f>
        <v>0</v>
      </c>
      <c r="T131" s="34"/>
      <c r="U131" s="34">
        <f>SUM(U101:U130)</f>
        <v>0</v>
      </c>
      <c r="V131" s="34"/>
      <c r="W131" s="34">
        <f>SUM(W101:W130)</f>
        <v>0</v>
      </c>
      <c r="X131" s="34">
        <f>SUM(X101:X130)</f>
        <v>0</v>
      </c>
      <c r="Y131" s="34"/>
      <c r="Z131" s="34">
        <f>SUM(Z101:Z130)</f>
        <v>0</v>
      </c>
      <c r="AA131" s="34">
        <f>SUM(AA101:AA130)</f>
        <v>0</v>
      </c>
      <c r="AB131" s="34">
        <f>SUM(AB101:AB130)</f>
        <v>250879.65763157894</v>
      </c>
    </row>
    <row r="132" spans="1:33">
      <c r="A132" s="31"/>
      <c r="B132" s="31"/>
      <c r="C132" s="31"/>
      <c r="D132" s="32"/>
      <c r="E132" s="32"/>
      <c r="F132" s="33"/>
      <c r="H132" s="26"/>
      <c r="I132" s="32"/>
      <c r="J132" s="32"/>
      <c r="M132" s="34"/>
      <c r="O132" s="34"/>
      <c r="P132" s="34"/>
      <c r="Q132" s="34"/>
      <c r="S132" s="34"/>
      <c r="U132" s="34"/>
      <c r="Z132" s="34"/>
      <c r="AA132" s="34"/>
      <c r="AB132" s="34"/>
    </row>
    <row r="133" spans="1:33">
      <c r="C133" s="31" t="s">
        <v>255</v>
      </c>
      <c r="D133" s="26"/>
      <c r="E133" s="26"/>
      <c r="H133" s="26"/>
      <c r="M133" s="30"/>
    </row>
    <row r="134" spans="1:33">
      <c r="B134" s="26">
        <v>1080</v>
      </c>
      <c r="C134" s="27" t="s">
        <v>130</v>
      </c>
      <c r="D134" s="26">
        <v>1998</v>
      </c>
      <c r="E134" s="26">
        <v>3</v>
      </c>
      <c r="F134" s="58"/>
      <c r="H134" s="26" t="s">
        <v>51</v>
      </c>
      <c r="I134" s="26">
        <v>7</v>
      </c>
      <c r="J134" s="26">
        <f t="shared" ref="J134:J158" si="66">D134+I134</f>
        <v>2005</v>
      </c>
      <c r="M134" s="16">
        <v>37290.239999999998</v>
      </c>
      <c r="O134" s="16">
        <f t="shared" ref="O134:O159" si="67">M134-M134*F134</f>
        <v>37290.239999999998</v>
      </c>
      <c r="P134" s="16">
        <f t="shared" ref="P134:P159" si="68">O134/I134/12</f>
        <v>443.93142857142857</v>
      </c>
      <c r="Q134" s="16">
        <f t="shared" ref="Q134:Q155" si="69">IF(N134&gt;0,0,IF(OR(AC134&gt;AD134,AE134&lt;AF134),0,IF(AND(AE134&gt;=AF134,AE134&lt;=AD134),P134*((AE134-AF134)*12),IF(AND(AF134&lt;=AC134,AD134&gt;=AC134),((AD134-AC134)*12)*P134,IF(AE134&gt;AD134,12*P134,0)))))</f>
        <v>0</v>
      </c>
      <c r="R134" s="16">
        <f t="shared" ref="R134:R155" si="70">IF(N134=0,0,IF(AND(AG134&gt;=AF134,AG134&lt;=AE134),((AG134-AF134)*12)*P134,0))</f>
        <v>0</v>
      </c>
      <c r="S134" s="16">
        <f t="shared" ref="S134:S155" si="71">IF(R134&gt;0,R134,Q134)</f>
        <v>0</v>
      </c>
      <c r="T134" s="16">
        <v>1</v>
      </c>
      <c r="U134" s="16">
        <f t="shared" ref="U134:U155" si="72">T134*SUM(Q134:R134)</f>
        <v>0</v>
      </c>
      <c r="V134" s="16"/>
      <c r="W134" s="16">
        <f t="shared" ref="W134:W155" si="73">IF(AC134&gt;AD134,0,IF(AE134&lt;AF134,O134,IF(AND(AE134&gt;=AF134,AE134&lt;=AD134),(O134-S134),IF(AND(AF134&lt;=AC134,AD134&gt;=AC134),0,IF(AE134&gt;AD134,((AF134-AC134)*12)*P134,0)))))</f>
        <v>0</v>
      </c>
      <c r="X134" s="16">
        <f t="shared" ref="X134:X155" si="74">W134*T134</f>
        <v>0</v>
      </c>
      <c r="Y134" s="16">
        <v>1</v>
      </c>
      <c r="Z134" s="16">
        <f t="shared" ref="Z134:Z155" si="75">X134*Y134</f>
        <v>0</v>
      </c>
      <c r="AA134" s="16">
        <f t="shared" ref="AA134:AA155" si="76">IF(N134&gt;0,0,Z134+U134*Y134)*Y134</f>
        <v>0</v>
      </c>
      <c r="AB134" s="16">
        <f t="shared" ref="AB134:AB155" si="77">IF(N134&gt;0,(M134-Z134)/2,IF(AC134&gt;=AF134,(((M134*T134)*Y134)-AA134)/2,((((M134*T134)*Y134)-Z134)+(((M134*T134)*Y134)-AA134))/2))</f>
        <v>18645.12</v>
      </c>
      <c r="AC134" s="16">
        <f t="shared" ref="AC134:AC172" si="78">$D134+(($E134-1)/12)</f>
        <v>1998.1666666666667</v>
      </c>
      <c r="AD134" s="16">
        <f t="shared" ref="AD134:AD172" si="79">($O$5+1)-($O$2/12)</f>
        <v>1</v>
      </c>
      <c r="AE134" s="16">
        <f t="shared" ref="AE134:AE172" si="80">$J134+(($E134-1)/12)</f>
        <v>2005.1666666666667</v>
      </c>
      <c r="AF134" s="16">
        <f t="shared" ref="AF134:AF172" si="81">$O$4+($O$3/12)</f>
        <v>0</v>
      </c>
      <c r="AG134" s="16">
        <f t="shared" ref="AG134:AG172" si="82">$K134+(($L134-1)/12)</f>
        <v>-8.3333333333333329E-2</v>
      </c>
    </row>
    <row r="135" spans="1:33">
      <c r="B135" s="26">
        <v>3000</v>
      </c>
      <c r="C135" s="27" t="s">
        <v>132</v>
      </c>
      <c r="D135" s="26">
        <v>1999</v>
      </c>
      <c r="E135" s="26">
        <v>1</v>
      </c>
      <c r="F135" s="58"/>
      <c r="H135" s="26" t="s">
        <v>51</v>
      </c>
      <c r="I135" s="26">
        <v>5</v>
      </c>
      <c r="J135" s="26">
        <f t="shared" si="66"/>
        <v>2004</v>
      </c>
      <c r="M135" s="16">
        <v>100000</v>
      </c>
      <c r="O135" s="16">
        <f t="shared" si="67"/>
        <v>100000</v>
      </c>
      <c r="P135" s="16">
        <f t="shared" si="68"/>
        <v>1666.6666666666667</v>
      </c>
      <c r="Q135" s="16">
        <f t="shared" si="69"/>
        <v>0</v>
      </c>
      <c r="R135" s="16">
        <f t="shared" si="70"/>
        <v>0</v>
      </c>
      <c r="S135" s="16">
        <f t="shared" si="71"/>
        <v>0</v>
      </c>
      <c r="T135" s="16">
        <v>1</v>
      </c>
      <c r="U135" s="16">
        <f t="shared" si="72"/>
        <v>0</v>
      </c>
      <c r="V135" s="16"/>
      <c r="W135" s="16">
        <f t="shared" si="73"/>
        <v>0</v>
      </c>
      <c r="X135" s="16">
        <f t="shared" si="74"/>
        <v>0</v>
      </c>
      <c r="Y135" s="16">
        <v>1</v>
      </c>
      <c r="Z135" s="16">
        <f t="shared" si="75"/>
        <v>0</v>
      </c>
      <c r="AA135" s="16">
        <f t="shared" si="76"/>
        <v>0</v>
      </c>
      <c r="AB135" s="16">
        <f t="shared" si="77"/>
        <v>50000</v>
      </c>
      <c r="AC135" s="16">
        <f t="shared" si="78"/>
        <v>1999</v>
      </c>
      <c r="AD135" s="16">
        <f t="shared" si="79"/>
        <v>1</v>
      </c>
      <c r="AE135" s="16">
        <f t="shared" si="80"/>
        <v>2004</v>
      </c>
      <c r="AF135" s="16">
        <f t="shared" si="81"/>
        <v>0</v>
      </c>
      <c r="AG135" s="16">
        <f t="shared" si="82"/>
        <v>-8.3333333333333329E-2</v>
      </c>
    </row>
    <row r="136" spans="1:33">
      <c r="B136" s="26">
        <v>90</v>
      </c>
      <c r="C136" s="27" t="s">
        <v>136</v>
      </c>
      <c r="D136" s="26">
        <v>2001</v>
      </c>
      <c r="E136" s="26">
        <v>6</v>
      </c>
      <c r="F136" s="58"/>
      <c r="H136" s="26" t="s">
        <v>51</v>
      </c>
      <c r="I136" s="26">
        <v>10</v>
      </c>
      <c r="J136" s="26">
        <f t="shared" si="66"/>
        <v>2011</v>
      </c>
      <c r="M136" s="16">
        <v>3564.23</v>
      </c>
      <c r="O136" s="16">
        <f t="shared" si="67"/>
        <v>3564.23</v>
      </c>
      <c r="P136" s="16">
        <f t="shared" si="68"/>
        <v>29.701916666666666</v>
      </c>
      <c r="Q136" s="16">
        <f t="shared" si="69"/>
        <v>0</v>
      </c>
      <c r="R136" s="16">
        <f t="shared" si="70"/>
        <v>0</v>
      </c>
      <c r="S136" s="16">
        <f t="shared" si="71"/>
        <v>0</v>
      </c>
      <c r="T136" s="16">
        <v>1</v>
      </c>
      <c r="U136" s="16">
        <f t="shared" si="72"/>
        <v>0</v>
      </c>
      <c r="V136" s="16"/>
      <c r="W136" s="16">
        <f t="shared" si="73"/>
        <v>0</v>
      </c>
      <c r="X136" s="16">
        <f t="shared" si="74"/>
        <v>0</v>
      </c>
      <c r="Y136" s="16">
        <v>1</v>
      </c>
      <c r="Z136" s="16">
        <f t="shared" si="75"/>
        <v>0</v>
      </c>
      <c r="AA136" s="16">
        <f t="shared" si="76"/>
        <v>0</v>
      </c>
      <c r="AB136" s="16">
        <f t="shared" si="77"/>
        <v>1782.115</v>
      </c>
      <c r="AC136" s="16">
        <f t="shared" si="78"/>
        <v>2001.4166666666667</v>
      </c>
      <c r="AD136" s="16">
        <f t="shared" si="79"/>
        <v>1</v>
      </c>
      <c r="AE136" s="16">
        <f t="shared" si="80"/>
        <v>2011.4166666666667</v>
      </c>
      <c r="AF136" s="16">
        <f t="shared" si="81"/>
        <v>0</v>
      </c>
      <c r="AG136" s="16">
        <f t="shared" si="82"/>
        <v>-8.3333333333333329E-2</v>
      </c>
    </row>
    <row r="137" spans="1:33">
      <c r="B137" s="26">
        <v>225</v>
      </c>
      <c r="C137" s="27" t="s">
        <v>142</v>
      </c>
      <c r="D137" s="26">
        <v>2002</v>
      </c>
      <c r="E137" s="26">
        <v>8</v>
      </c>
      <c r="F137" s="58"/>
      <c r="H137" s="26" t="s">
        <v>51</v>
      </c>
      <c r="I137" s="26">
        <v>10</v>
      </c>
      <c r="J137" s="26">
        <f t="shared" si="66"/>
        <v>2012</v>
      </c>
      <c r="M137" s="16">
        <v>9974.92</v>
      </c>
      <c r="O137" s="16">
        <f t="shared" si="67"/>
        <v>9974.92</v>
      </c>
      <c r="P137" s="16">
        <f t="shared" si="68"/>
        <v>83.124333333333325</v>
      </c>
      <c r="Q137" s="16">
        <f t="shared" si="69"/>
        <v>0</v>
      </c>
      <c r="R137" s="16">
        <f t="shared" si="70"/>
        <v>0</v>
      </c>
      <c r="S137" s="16">
        <f t="shared" si="71"/>
        <v>0</v>
      </c>
      <c r="T137" s="16">
        <v>1</v>
      </c>
      <c r="U137" s="16">
        <f t="shared" si="72"/>
        <v>0</v>
      </c>
      <c r="V137" s="16"/>
      <c r="W137" s="16">
        <f t="shared" si="73"/>
        <v>0</v>
      </c>
      <c r="X137" s="16">
        <f t="shared" si="74"/>
        <v>0</v>
      </c>
      <c r="Y137" s="16">
        <v>1</v>
      </c>
      <c r="Z137" s="16">
        <f t="shared" si="75"/>
        <v>0</v>
      </c>
      <c r="AA137" s="16">
        <f t="shared" si="76"/>
        <v>0</v>
      </c>
      <c r="AB137" s="16">
        <f t="shared" si="77"/>
        <v>4987.46</v>
      </c>
      <c r="AC137" s="16">
        <f t="shared" si="78"/>
        <v>2002.5833333333333</v>
      </c>
      <c r="AD137" s="16">
        <f t="shared" si="79"/>
        <v>1</v>
      </c>
      <c r="AE137" s="16">
        <f t="shared" si="80"/>
        <v>2012.5833333333333</v>
      </c>
      <c r="AF137" s="16">
        <f t="shared" si="81"/>
        <v>0</v>
      </c>
      <c r="AG137" s="16">
        <f t="shared" si="82"/>
        <v>-8.3333333333333329E-2</v>
      </c>
    </row>
    <row r="138" spans="1:33">
      <c r="B138" s="26">
        <v>100</v>
      </c>
      <c r="C138" s="27" t="s">
        <v>143</v>
      </c>
      <c r="D138" s="26">
        <v>2002</v>
      </c>
      <c r="E138" s="26">
        <v>9</v>
      </c>
      <c r="F138" s="58"/>
      <c r="H138" s="26" t="s">
        <v>51</v>
      </c>
      <c r="I138" s="26">
        <v>10</v>
      </c>
      <c r="J138" s="26">
        <f t="shared" si="66"/>
        <v>2012</v>
      </c>
      <c r="M138" s="16">
        <v>5130.3999999999996</v>
      </c>
      <c r="O138" s="16">
        <f t="shared" si="67"/>
        <v>5130.3999999999996</v>
      </c>
      <c r="P138" s="16">
        <f t="shared" si="68"/>
        <v>42.75333333333333</v>
      </c>
      <c r="Q138" s="16">
        <f t="shared" si="69"/>
        <v>0</v>
      </c>
      <c r="R138" s="16">
        <f t="shared" si="70"/>
        <v>0</v>
      </c>
      <c r="S138" s="16">
        <f t="shared" si="71"/>
        <v>0</v>
      </c>
      <c r="T138" s="16">
        <v>1</v>
      </c>
      <c r="U138" s="16">
        <f t="shared" si="72"/>
        <v>0</v>
      </c>
      <c r="V138" s="16"/>
      <c r="W138" s="16">
        <f t="shared" si="73"/>
        <v>0</v>
      </c>
      <c r="X138" s="16">
        <f t="shared" si="74"/>
        <v>0</v>
      </c>
      <c r="Y138" s="16">
        <v>1</v>
      </c>
      <c r="Z138" s="16">
        <f t="shared" si="75"/>
        <v>0</v>
      </c>
      <c r="AA138" s="16">
        <f t="shared" si="76"/>
        <v>0</v>
      </c>
      <c r="AB138" s="16">
        <f t="shared" si="77"/>
        <v>2565.1999999999998</v>
      </c>
      <c r="AC138" s="16">
        <f t="shared" si="78"/>
        <v>2002.6666666666667</v>
      </c>
      <c r="AD138" s="16">
        <f t="shared" si="79"/>
        <v>1</v>
      </c>
      <c r="AE138" s="16">
        <f t="shared" si="80"/>
        <v>2012.6666666666667</v>
      </c>
      <c r="AF138" s="16">
        <f t="shared" si="81"/>
        <v>0</v>
      </c>
      <c r="AG138" s="16">
        <f t="shared" si="82"/>
        <v>-8.3333333333333329E-2</v>
      </c>
    </row>
    <row r="139" spans="1:33">
      <c r="B139" s="26">
        <v>125</v>
      </c>
      <c r="C139" s="27" t="s">
        <v>146</v>
      </c>
      <c r="D139" s="26">
        <v>2003</v>
      </c>
      <c r="E139" s="26">
        <v>5</v>
      </c>
      <c r="F139" s="58"/>
      <c r="H139" s="26" t="s">
        <v>51</v>
      </c>
      <c r="I139" s="26">
        <v>7</v>
      </c>
      <c r="J139" s="26">
        <f t="shared" si="66"/>
        <v>2010</v>
      </c>
      <c r="M139" s="16">
        <v>3506.75</v>
      </c>
      <c r="O139" s="16">
        <f t="shared" si="67"/>
        <v>3506.75</v>
      </c>
      <c r="P139" s="16">
        <f t="shared" si="68"/>
        <v>41.74702380952381</v>
      </c>
      <c r="Q139" s="16">
        <f t="shared" si="69"/>
        <v>0</v>
      </c>
      <c r="R139" s="16">
        <f t="shared" si="70"/>
        <v>0</v>
      </c>
      <c r="S139" s="16">
        <f t="shared" si="71"/>
        <v>0</v>
      </c>
      <c r="T139" s="16">
        <v>1</v>
      </c>
      <c r="U139" s="16">
        <f t="shared" si="72"/>
        <v>0</v>
      </c>
      <c r="V139" s="16"/>
      <c r="W139" s="16">
        <f t="shared" si="73"/>
        <v>0</v>
      </c>
      <c r="X139" s="16">
        <f t="shared" si="74"/>
        <v>0</v>
      </c>
      <c r="Y139" s="16">
        <v>1</v>
      </c>
      <c r="Z139" s="16">
        <f t="shared" si="75"/>
        <v>0</v>
      </c>
      <c r="AA139" s="16">
        <f t="shared" si="76"/>
        <v>0</v>
      </c>
      <c r="AB139" s="16">
        <f t="shared" si="77"/>
        <v>1753.375</v>
      </c>
      <c r="AC139" s="16">
        <f t="shared" si="78"/>
        <v>2003.3333333333333</v>
      </c>
      <c r="AD139" s="16">
        <f t="shared" si="79"/>
        <v>1</v>
      </c>
      <c r="AE139" s="16">
        <f t="shared" si="80"/>
        <v>2010.3333333333333</v>
      </c>
      <c r="AF139" s="16">
        <f t="shared" si="81"/>
        <v>0</v>
      </c>
      <c r="AG139" s="16">
        <f t="shared" si="82"/>
        <v>-8.3333333333333329E-2</v>
      </c>
    </row>
    <row r="140" spans="1:33">
      <c r="B140" s="26">
        <v>250</v>
      </c>
      <c r="C140" s="27" t="s">
        <v>145</v>
      </c>
      <c r="D140" s="26">
        <v>2003</v>
      </c>
      <c r="E140" s="26">
        <v>5</v>
      </c>
      <c r="F140" s="58"/>
      <c r="H140" s="26" t="s">
        <v>51</v>
      </c>
      <c r="I140" s="26">
        <v>7</v>
      </c>
      <c r="J140" s="26">
        <f t="shared" si="66"/>
        <v>2010</v>
      </c>
      <c r="M140" s="16">
        <v>11615.25</v>
      </c>
      <c r="O140" s="16">
        <f t="shared" si="67"/>
        <v>11615.25</v>
      </c>
      <c r="P140" s="16">
        <f t="shared" si="68"/>
        <v>138.27678571428572</v>
      </c>
      <c r="Q140" s="16">
        <f t="shared" si="69"/>
        <v>0</v>
      </c>
      <c r="R140" s="16">
        <f t="shared" si="70"/>
        <v>0</v>
      </c>
      <c r="S140" s="16">
        <f t="shared" si="71"/>
        <v>0</v>
      </c>
      <c r="T140" s="16">
        <v>1</v>
      </c>
      <c r="U140" s="16">
        <f t="shared" si="72"/>
        <v>0</v>
      </c>
      <c r="V140" s="16"/>
      <c r="W140" s="16">
        <f t="shared" si="73"/>
        <v>0</v>
      </c>
      <c r="X140" s="16">
        <f t="shared" si="74"/>
        <v>0</v>
      </c>
      <c r="Y140" s="16">
        <v>1</v>
      </c>
      <c r="Z140" s="16">
        <f t="shared" si="75"/>
        <v>0</v>
      </c>
      <c r="AA140" s="16">
        <f t="shared" si="76"/>
        <v>0</v>
      </c>
      <c r="AB140" s="16">
        <f t="shared" si="77"/>
        <v>5807.625</v>
      </c>
      <c r="AC140" s="16">
        <f t="shared" si="78"/>
        <v>2003.3333333333333</v>
      </c>
      <c r="AD140" s="16">
        <f t="shared" si="79"/>
        <v>1</v>
      </c>
      <c r="AE140" s="16">
        <f t="shared" si="80"/>
        <v>2010.3333333333333</v>
      </c>
      <c r="AF140" s="16">
        <f t="shared" si="81"/>
        <v>0</v>
      </c>
      <c r="AG140" s="16">
        <f t="shared" si="82"/>
        <v>-8.3333333333333329E-2</v>
      </c>
    </row>
    <row r="141" spans="1:33">
      <c r="B141" s="26">
        <v>300</v>
      </c>
      <c r="C141" s="27" t="s">
        <v>146</v>
      </c>
      <c r="D141" s="26">
        <v>2003</v>
      </c>
      <c r="E141" s="26">
        <v>9</v>
      </c>
      <c r="F141" s="58"/>
      <c r="H141" s="26" t="s">
        <v>51</v>
      </c>
      <c r="I141" s="26">
        <v>7</v>
      </c>
      <c r="J141" s="26">
        <f t="shared" si="66"/>
        <v>2010</v>
      </c>
      <c r="M141" s="16">
        <v>9509.77</v>
      </c>
      <c r="O141" s="16">
        <f t="shared" si="67"/>
        <v>9509.77</v>
      </c>
      <c r="P141" s="16">
        <f t="shared" si="68"/>
        <v>113.21154761904762</v>
      </c>
      <c r="Q141" s="16">
        <f t="shared" si="69"/>
        <v>0</v>
      </c>
      <c r="R141" s="16">
        <f t="shared" si="70"/>
        <v>0</v>
      </c>
      <c r="S141" s="16">
        <f t="shared" si="71"/>
        <v>0</v>
      </c>
      <c r="T141" s="16">
        <v>1</v>
      </c>
      <c r="U141" s="16">
        <f t="shared" si="72"/>
        <v>0</v>
      </c>
      <c r="V141" s="16"/>
      <c r="W141" s="16">
        <f t="shared" si="73"/>
        <v>0</v>
      </c>
      <c r="X141" s="16">
        <f t="shared" si="74"/>
        <v>0</v>
      </c>
      <c r="Y141" s="16">
        <v>1</v>
      </c>
      <c r="Z141" s="16">
        <f t="shared" si="75"/>
        <v>0</v>
      </c>
      <c r="AA141" s="16">
        <f t="shared" si="76"/>
        <v>0</v>
      </c>
      <c r="AB141" s="16">
        <f t="shared" si="77"/>
        <v>4754.8850000000002</v>
      </c>
      <c r="AC141" s="16">
        <f t="shared" si="78"/>
        <v>2003.6666666666667</v>
      </c>
      <c r="AD141" s="16">
        <f t="shared" si="79"/>
        <v>1</v>
      </c>
      <c r="AE141" s="16">
        <f t="shared" si="80"/>
        <v>2010.6666666666667</v>
      </c>
      <c r="AF141" s="16">
        <f t="shared" si="81"/>
        <v>0</v>
      </c>
      <c r="AG141" s="16">
        <f t="shared" si="82"/>
        <v>-8.3333333333333329E-2</v>
      </c>
    </row>
    <row r="142" spans="1:33">
      <c r="B142" s="26">
        <v>250</v>
      </c>
      <c r="C142" s="27" t="s">
        <v>153</v>
      </c>
      <c r="D142" s="26">
        <v>2003</v>
      </c>
      <c r="E142" s="26">
        <v>9</v>
      </c>
      <c r="F142" s="58"/>
      <c r="H142" s="26" t="s">
        <v>51</v>
      </c>
      <c r="I142" s="26">
        <v>7</v>
      </c>
      <c r="J142" s="26">
        <f t="shared" si="66"/>
        <v>2010</v>
      </c>
      <c r="M142" s="16">
        <v>11067.75</v>
      </c>
      <c r="O142" s="16">
        <f t="shared" si="67"/>
        <v>11067.75</v>
      </c>
      <c r="P142" s="16">
        <f t="shared" si="68"/>
        <v>131.75892857142858</v>
      </c>
      <c r="Q142" s="16">
        <f t="shared" si="69"/>
        <v>0</v>
      </c>
      <c r="R142" s="16">
        <f t="shared" si="70"/>
        <v>0</v>
      </c>
      <c r="S142" s="16">
        <f t="shared" si="71"/>
        <v>0</v>
      </c>
      <c r="T142" s="16">
        <v>1</v>
      </c>
      <c r="U142" s="16">
        <f t="shared" si="72"/>
        <v>0</v>
      </c>
      <c r="V142" s="16"/>
      <c r="W142" s="16">
        <f t="shared" si="73"/>
        <v>0</v>
      </c>
      <c r="X142" s="16">
        <f t="shared" si="74"/>
        <v>0</v>
      </c>
      <c r="Y142" s="16">
        <v>1</v>
      </c>
      <c r="Z142" s="16">
        <f t="shared" si="75"/>
        <v>0</v>
      </c>
      <c r="AA142" s="16">
        <f t="shared" si="76"/>
        <v>0</v>
      </c>
      <c r="AB142" s="16">
        <f t="shared" si="77"/>
        <v>5533.875</v>
      </c>
      <c r="AC142" s="16">
        <f t="shared" si="78"/>
        <v>2003.6666666666667</v>
      </c>
      <c r="AD142" s="16">
        <f t="shared" si="79"/>
        <v>1</v>
      </c>
      <c r="AE142" s="16">
        <f t="shared" si="80"/>
        <v>2010.6666666666667</v>
      </c>
      <c r="AF142" s="16">
        <f t="shared" si="81"/>
        <v>0</v>
      </c>
      <c r="AG142" s="16">
        <f t="shared" si="82"/>
        <v>-8.3333333333333329E-2</v>
      </c>
    </row>
    <row r="143" spans="1:33">
      <c r="B143" s="26">
        <v>588</v>
      </c>
      <c r="C143" s="27" t="s">
        <v>158</v>
      </c>
      <c r="D143" s="26">
        <v>2004</v>
      </c>
      <c r="E143" s="26">
        <v>5</v>
      </c>
      <c r="F143" s="58"/>
      <c r="H143" s="26" t="s">
        <v>51</v>
      </c>
      <c r="I143" s="26">
        <v>7</v>
      </c>
      <c r="J143" s="26">
        <f t="shared" si="66"/>
        <v>2011</v>
      </c>
      <c r="M143" s="16">
        <v>22998.89</v>
      </c>
      <c r="O143" s="16">
        <f t="shared" si="67"/>
        <v>22998.89</v>
      </c>
      <c r="P143" s="16">
        <f t="shared" si="68"/>
        <v>273.7963095238095</v>
      </c>
      <c r="Q143" s="16">
        <f t="shared" si="69"/>
        <v>0</v>
      </c>
      <c r="R143" s="16">
        <f t="shared" si="70"/>
        <v>0</v>
      </c>
      <c r="S143" s="16">
        <f t="shared" si="71"/>
        <v>0</v>
      </c>
      <c r="T143" s="16">
        <v>1</v>
      </c>
      <c r="U143" s="16">
        <f t="shared" si="72"/>
        <v>0</v>
      </c>
      <c r="V143" s="16"/>
      <c r="W143" s="16">
        <f t="shared" si="73"/>
        <v>0</v>
      </c>
      <c r="X143" s="16">
        <f t="shared" si="74"/>
        <v>0</v>
      </c>
      <c r="Y143" s="16">
        <v>1</v>
      </c>
      <c r="Z143" s="16">
        <f t="shared" si="75"/>
        <v>0</v>
      </c>
      <c r="AA143" s="16">
        <f t="shared" si="76"/>
        <v>0</v>
      </c>
      <c r="AB143" s="16">
        <f t="shared" si="77"/>
        <v>11499.445</v>
      </c>
      <c r="AC143" s="16">
        <f t="shared" si="78"/>
        <v>2004.3333333333333</v>
      </c>
      <c r="AD143" s="16">
        <f t="shared" si="79"/>
        <v>1</v>
      </c>
      <c r="AE143" s="16">
        <f t="shared" si="80"/>
        <v>2011.3333333333333</v>
      </c>
      <c r="AF143" s="16">
        <f t="shared" si="81"/>
        <v>0</v>
      </c>
      <c r="AG143" s="16">
        <f t="shared" si="82"/>
        <v>-8.3333333333333329E-2</v>
      </c>
    </row>
    <row r="144" spans="1:33">
      <c r="B144" s="26">
        <v>162</v>
      </c>
      <c r="C144" s="27" t="s">
        <v>159</v>
      </c>
      <c r="D144" s="26">
        <v>2004</v>
      </c>
      <c r="E144" s="26">
        <v>5</v>
      </c>
      <c r="F144" s="58"/>
      <c r="H144" s="26" t="s">
        <v>51</v>
      </c>
      <c r="I144" s="26">
        <v>7</v>
      </c>
      <c r="J144" s="26">
        <f t="shared" si="66"/>
        <v>2011</v>
      </c>
      <c r="M144" s="16">
        <v>6336.43</v>
      </c>
      <c r="O144" s="16">
        <f t="shared" si="67"/>
        <v>6336.43</v>
      </c>
      <c r="P144" s="16">
        <f t="shared" si="68"/>
        <v>75.433690476190478</v>
      </c>
      <c r="Q144" s="16">
        <f t="shared" si="69"/>
        <v>0</v>
      </c>
      <c r="R144" s="16">
        <f t="shared" si="70"/>
        <v>0</v>
      </c>
      <c r="S144" s="16">
        <f t="shared" si="71"/>
        <v>0</v>
      </c>
      <c r="T144" s="16">
        <v>1</v>
      </c>
      <c r="U144" s="16">
        <f t="shared" si="72"/>
        <v>0</v>
      </c>
      <c r="V144" s="16"/>
      <c r="W144" s="16">
        <f t="shared" si="73"/>
        <v>0</v>
      </c>
      <c r="X144" s="16">
        <f t="shared" si="74"/>
        <v>0</v>
      </c>
      <c r="Y144" s="16">
        <v>1</v>
      </c>
      <c r="Z144" s="16">
        <f t="shared" si="75"/>
        <v>0</v>
      </c>
      <c r="AA144" s="16">
        <f t="shared" si="76"/>
        <v>0</v>
      </c>
      <c r="AB144" s="16">
        <f t="shared" si="77"/>
        <v>3168.2150000000001</v>
      </c>
      <c r="AC144" s="16">
        <f t="shared" si="78"/>
        <v>2004.3333333333333</v>
      </c>
      <c r="AD144" s="16">
        <f t="shared" si="79"/>
        <v>1</v>
      </c>
      <c r="AE144" s="16">
        <f t="shared" si="80"/>
        <v>2011.3333333333333</v>
      </c>
      <c r="AF144" s="16">
        <f t="shared" si="81"/>
        <v>0</v>
      </c>
      <c r="AG144" s="16">
        <f t="shared" si="82"/>
        <v>-8.3333333333333329E-2</v>
      </c>
    </row>
    <row r="145" spans="1:33">
      <c r="B145" s="26">
        <v>300</v>
      </c>
      <c r="C145" s="27" t="s">
        <v>157</v>
      </c>
      <c r="D145" s="26">
        <v>2004</v>
      </c>
      <c r="E145" s="26">
        <v>5</v>
      </c>
      <c r="F145" s="58"/>
      <c r="H145" s="26" t="s">
        <v>51</v>
      </c>
      <c r="I145" s="26">
        <v>7</v>
      </c>
      <c r="J145" s="26">
        <f t="shared" si="66"/>
        <v>2011</v>
      </c>
      <c r="M145" s="16">
        <v>9549.15</v>
      </c>
      <c r="O145" s="16">
        <f t="shared" si="67"/>
        <v>9549.15</v>
      </c>
      <c r="P145" s="16">
        <f t="shared" si="68"/>
        <v>113.68035714285713</v>
      </c>
      <c r="Q145" s="16">
        <f t="shared" si="69"/>
        <v>0</v>
      </c>
      <c r="R145" s="16">
        <f t="shared" si="70"/>
        <v>0</v>
      </c>
      <c r="S145" s="16">
        <f t="shared" si="71"/>
        <v>0</v>
      </c>
      <c r="T145" s="16">
        <v>1</v>
      </c>
      <c r="U145" s="16">
        <f t="shared" si="72"/>
        <v>0</v>
      </c>
      <c r="V145" s="16"/>
      <c r="W145" s="16">
        <f t="shared" si="73"/>
        <v>0</v>
      </c>
      <c r="X145" s="16">
        <f t="shared" si="74"/>
        <v>0</v>
      </c>
      <c r="Y145" s="16">
        <v>1</v>
      </c>
      <c r="Z145" s="16">
        <f t="shared" si="75"/>
        <v>0</v>
      </c>
      <c r="AA145" s="16">
        <f t="shared" si="76"/>
        <v>0</v>
      </c>
      <c r="AB145" s="16">
        <f t="shared" si="77"/>
        <v>4774.5749999999998</v>
      </c>
      <c r="AC145" s="16">
        <f t="shared" si="78"/>
        <v>2004.3333333333333</v>
      </c>
      <c r="AD145" s="16">
        <f t="shared" si="79"/>
        <v>1</v>
      </c>
      <c r="AE145" s="16">
        <f t="shared" si="80"/>
        <v>2011.3333333333333</v>
      </c>
      <c r="AF145" s="16">
        <f t="shared" si="81"/>
        <v>0</v>
      </c>
      <c r="AG145" s="16">
        <f t="shared" si="82"/>
        <v>-8.3333333333333329E-2</v>
      </c>
    </row>
    <row r="146" spans="1:33">
      <c r="B146" s="26">
        <v>500</v>
      </c>
      <c r="C146" s="27" t="s">
        <v>176</v>
      </c>
      <c r="D146" s="26">
        <v>2005</v>
      </c>
      <c r="E146" s="26">
        <v>9</v>
      </c>
      <c r="F146" s="58"/>
      <c r="H146" s="26" t="s">
        <v>51</v>
      </c>
      <c r="I146" s="26">
        <v>10</v>
      </c>
      <c r="J146" s="26">
        <f t="shared" si="66"/>
        <v>2015</v>
      </c>
      <c r="M146" s="16">
        <v>23707.95</v>
      </c>
      <c r="O146" s="16">
        <f t="shared" si="67"/>
        <v>23707.95</v>
      </c>
      <c r="P146" s="16">
        <f t="shared" si="68"/>
        <v>197.56625</v>
      </c>
      <c r="Q146" s="16">
        <f t="shared" si="69"/>
        <v>0</v>
      </c>
      <c r="R146" s="16">
        <f t="shared" si="70"/>
        <v>0</v>
      </c>
      <c r="S146" s="16">
        <f t="shared" si="71"/>
        <v>0</v>
      </c>
      <c r="T146" s="16">
        <v>1</v>
      </c>
      <c r="U146" s="16">
        <f t="shared" si="72"/>
        <v>0</v>
      </c>
      <c r="V146" s="16"/>
      <c r="W146" s="16">
        <f t="shared" si="73"/>
        <v>0</v>
      </c>
      <c r="X146" s="16">
        <f t="shared" si="74"/>
        <v>0</v>
      </c>
      <c r="Y146" s="16">
        <v>1</v>
      </c>
      <c r="Z146" s="16">
        <f t="shared" si="75"/>
        <v>0</v>
      </c>
      <c r="AA146" s="16">
        <f t="shared" si="76"/>
        <v>0</v>
      </c>
      <c r="AB146" s="16">
        <f t="shared" si="77"/>
        <v>11853.975</v>
      </c>
      <c r="AC146" s="16">
        <f t="shared" si="78"/>
        <v>2005.6666666666667</v>
      </c>
      <c r="AD146" s="16">
        <f t="shared" si="79"/>
        <v>1</v>
      </c>
      <c r="AE146" s="16">
        <f t="shared" si="80"/>
        <v>2015.6666666666667</v>
      </c>
      <c r="AF146" s="16">
        <f t="shared" si="81"/>
        <v>0</v>
      </c>
      <c r="AG146" s="16">
        <f t="shared" si="82"/>
        <v>-8.3333333333333329E-2</v>
      </c>
    </row>
    <row r="147" spans="1:33">
      <c r="B147" s="26">
        <v>270</v>
      </c>
      <c r="C147" s="27" t="s">
        <v>203</v>
      </c>
      <c r="D147" s="26">
        <v>2007</v>
      </c>
      <c r="E147" s="26">
        <v>8</v>
      </c>
      <c r="F147" s="58"/>
      <c r="H147" s="26" t="s">
        <v>51</v>
      </c>
      <c r="I147" s="26">
        <v>10</v>
      </c>
      <c r="J147" s="26">
        <f t="shared" si="66"/>
        <v>2017</v>
      </c>
      <c r="M147" s="16">
        <v>10871.56</v>
      </c>
      <c r="O147" s="16">
        <f t="shared" si="67"/>
        <v>10871.56</v>
      </c>
      <c r="P147" s="16">
        <f t="shared" si="68"/>
        <v>90.596333333333334</v>
      </c>
      <c r="Q147" s="16">
        <f t="shared" si="69"/>
        <v>0</v>
      </c>
      <c r="R147" s="16">
        <f t="shared" si="70"/>
        <v>0</v>
      </c>
      <c r="S147" s="16">
        <f t="shared" si="71"/>
        <v>0</v>
      </c>
      <c r="T147" s="16">
        <v>1</v>
      </c>
      <c r="U147" s="16">
        <f t="shared" si="72"/>
        <v>0</v>
      </c>
      <c r="V147" s="16"/>
      <c r="W147" s="16">
        <f t="shared" si="73"/>
        <v>0</v>
      </c>
      <c r="X147" s="16">
        <f t="shared" si="74"/>
        <v>0</v>
      </c>
      <c r="Y147" s="16">
        <v>1</v>
      </c>
      <c r="Z147" s="16">
        <f t="shared" si="75"/>
        <v>0</v>
      </c>
      <c r="AA147" s="16">
        <f t="shared" si="76"/>
        <v>0</v>
      </c>
      <c r="AB147" s="16">
        <f t="shared" si="77"/>
        <v>5435.78</v>
      </c>
      <c r="AC147" s="16">
        <f t="shared" si="78"/>
        <v>2007.5833333333333</v>
      </c>
      <c r="AD147" s="16">
        <f t="shared" si="79"/>
        <v>1</v>
      </c>
      <c r="AE147" s="16">
        <f t="shared" si="80"/>
        <v>2017.5833333333333</v>
      </c>
      <c r="AF147" s="16">
        <f t="shared" si="81"/>
        <v>0</v>
      </c>
      <c r="AG147" s="16">
        <f t="shared" si="82"/>
        <v>-8.3333333333333329E-2</v>
      </c>
    </row>
    <row r="148" spans="1:33">
      <c r="B148" s="26">
        <v>486</v>
      </c>
      <c r="C148" s="27" t="s">
        <v>176</v>
      </c>
      <c r="D148" s="26">
        <v>2007</v>
      </c>
      <c r="E148" s="26">
        <v>8</v>
      </c>
      <c r="F148" s="58"/>
      <c r="H148" s="26" t="s">
        <v>51</v>
      </c>
      <c r="I148" s="26">
        <v>10</v>
      </c>
      <c r="J148" s="26">
        <f t="shared" si="66"/>
        <v>2017</v>
      </c>
      <c r="M148" s="16">
        <v>24141.59</v>
      </c>
      <c r="O148" s="16">
        <f t="shared" si="67"/>
        <v>24141.59</v>
      </c>
      <c r="P148" s="16">
        <f t="shared" si="68"/>
        <v>201.17991666666668</v>
      </c>
      <c r="Q148" s="16">
        <f t="shared" si="69"/>
        <v>0</v>
      </c>
      <c r="R148" s="16">
        <f t="shared" si="70"/>
        <v>0</v>
      </c>
      <c r="S148" s="16">
        <f t="shared" si="71"/>
        <v>0</v>
      </c>
      <c r="T148" s="16">
        <v>1</v>
      </c>
      <c r="U148" s="16">
        <f t="shared" si="72"/>
        <v>0</v>
      </c>
      <c r="V148" s="16"/>
      <c r="W148" s="16">
        <f t="shared" si="73"/>
        <v>0</v>
      </c>
      <c r="X148" s="16">
        <f t="shared" si="74"/>
        <v>0</v>
      </c>
      <c r="Y148" s="16">
        <v>1</v>
      </c>
      <c r="Z148" s="16">
        <f t="shared" si="75"/>
        <v>0</v>
      </c>
      <c r="AA148" s="16">
        <f t="shared" si="76"/>
        <v>0</v>
      </c>
      <c r="AB148" s="16">
        <f t="shared" si="77"/>
        <v>12070.795</v>
      </c>
      <c r="AC148" s="16">
        <f t="shared" si="78"/>
        <v>2007.5833333333333</v>
      </c>
      <c r="AD148" s="16">
        <f t="shared" si="79"/>
        <v>1</v>
      </c>
      <c r="AE148" s="16">
        <f t="shared" si="80"/>
        <v>2017.5833333333333</v>
      </c>
      <c r="AF148" s="16">
        <f t="shared" si="81"/>
        <v>0</v>
      </c>
      <c r="AG148" s="16">
        <f t="shared" si="82"/>
        <v>-8.3333333333333329E-2</v>
      </c>
    </row>
    <row r="149" spans="1:33">
      <c r="B149" s="26">
        <v>648</v>
      </c>
      <c r="C149" s="27" t="s">
        <v>176</v>
      </c>
      <c r="D149" s="26">
        <v>2010</v>
      </c>
      <c r="E149" s="26">
        <v>6</v>
      </c>
      <c r="F149" s="58"/>
      <c r="H149" s="26" t="s">
        <v>51</v>
      </c>
      <c r="I149" s="26">
        <v>10</v>
      </c>
      <c r="J149" s="26">
        <f t="shared" si="66"/>
        <v>2020</v>
      </c>
      <c r="M149" s="16">
        <v>28727.18</v>
      </c>
      <c r="O149" s="16">
        <f t="shared" si="67"/>
        <v>28727.18</v>
      </c>
      <c r="P149" s="16">
        <f t="shared" si="68"/>
        <v>239.39316666666664</v>
      </c>
      <c r="Q149" s="16">
        <f t="shared" si="69"/>
        <v>0</v>
      </c>
      <c r="R149" s="16">
        <f t="shared" si="70"/>
        <v>0</v>
      </c>
      <c r="S149" s="16">
        <f t="shared" si="71"/>
        <v>0</v>
      </c>
      <c r="T149" s="16">
        <v>1</v>
      </c>
      <c r="U149" s="16">
        <f t="shared" si="72"/>
        <v>0</v>
      </c>
      <c r="V149" s="16"/>
      <c r="W149" s="16">
        <f t="shared" si="73"/>
        <v>0</v>
      </c>
      <c r="X149" s="16">
        <f t="shared" si="74"/>
        <v>0</v>
      </c>
      <c r="Y149" s="16">
        <v>1</v>
      </c>
      <c r="Z149" s="16">
        <f t="shared" si="75"/>
        <v>0</v>
      </c>
      <c r="AA149" s="16">
        <f t="shared" si="76"/>
        <v>0</v>
      </c>
      <c r="AB149" s="16">
        <f t="shared" si="77"/>
        <v>14363.59</v>
      </c>
      <c r="AC149" s="16">
        <f t="shared" si="78"/>
        <v>2010.4166666666667</v>
      </c>
      <c r="AD149" s="16">
        <f t="shared" si="79"/>
        <v>1</v>
      </c>
      <c r="AE149" s="16">
        <f t="shared" si="80"/>
        <v>2020.4166666666667</v>
      </c>
      <c r="AF149" s="16">
        <f t="shared" si="81"/>
        <v>0</v>
      </c>
      <c r="AG149" s="16">
        <f t="shared" si="82"/>
        <v>-8.3333333333333329E-2</v>
      </c>
    </row>
    <row r="150" spans="1:33">
      <c r="B150" s="26">
        <v>504</v>
      </c>
      <c r="C150" s="27" t="s">
        <v>248</v>
      </c>
      <c r="D150" s="26">
        <v>2011</v>
      </c>
      <c r="E150" s="26">
        <v>4</v>
      </c>
      <c r="F150" s="58"/>
      <c r="H150" s="26" t="s">
        <v>51</v>
      </c>
      <c r="I150" s="26">
        <v>10</v>
      </c>
      <c r="J150" s="26">
        <f t="shared" si="66"/>
        <v>2021</v>
      </c>
      <c r="M150" s="16">
        <v>17127.650000000001</v>
      </c>
      <c r="O150" s="16">
        <f t="shared" si="67"/>
        <v>17127.650000000001</v>
      </c>
      <c r="P150" s="16">
        <f t="shared" si="68"/>
        <v>142.73041666666668</v>
      </c>
      <c r="Q150" s="16">
        <f t="shared" si="69"/>
        <v>0</v>
      </c>
      <c r="R150" s="16">
        <f t="shared" si="70"/>
        <v>0</v>
      </c>
      <c r="S150" s="16">
        <f t="shared" si="71"/>
        <v>0</v>
      </c>
      <c r="T150" s="16">
        <v>1</v>
      </c>
      <c r="U150" s="16">
        <f t="shared" si="72"/>
        <v>0</v>
      </c>
      <c r="V150" s="16"/>
      <c r="W150" s="16">
        <f t="shared" si="73"/>
        <v>0</v>
      </c>
      <c r="X150" s="16">
        <f t="shared" si="74"/>
        <v>0</v>
      </c>
      <c r="Y150" s="16">
        <v>1</v>
      </c>
      <c r="Z150" s="16">
        <f t="shared" si="75"/>
        <v>0</v>
      </c>
      <c r="AA150" s="16">
        <f t="shared" si="76"/>
        <v>0</v>
      </c>
      <c r="AB150" s="16">
        <f t="shared" si="77"/>
        <v>8563.8250000000007</v>
      </c>
      <c r="AC150" s="16">
        <f t="shared" si="78"/>
        <v>2011.25</v>
      </c>
      <c r="AD150" s="16">
        <f t="shared" si="79"/>
        <v>1</v>
      </c>
      <c r="AE150" s="16">
        <f t="shared" si="80"/>
        <v>2021.25</v>
      </c>
      <c r="AF150" s="16">
        <f t="shared" si="81"/>
        <v>0</v>
      </c>
      <c r="AG150" s="16">
        <f t="shared" si="82"/>
        <v>-8.3333333333333329E-2</v>
      </c>
    </row>
    <row r="151" spans="1:33">
      <c r="B151" s="26">
        <v>342</v>
      </c>
      <c r="C151" s="27" t="s">
        <v>247</v>
      </c>
      <c r="D151" s="26">
        <v>2011</v>
      </c>
      <c r="E151" s="26">
        <v>4</v>
      </c>
      <c r="F151" s="58"/>
      <c r="H151" s="26" t="s">
        <v>51</v>
      </c>
      <c r="I151" s="26">
        <v>10</v>
      </c>
      <c r="J151" s="26">
        <f t="shared" si="66"/>
        <v>2021</v>
      </c>
      <c r="M151" s="16">
        <v>15459.36</v>
      </c>
      <c r="O151" s="16">
        <f t="shared" si="67"/>
        <v>15459.36</v>
      </c>
      <c r="P151" s="16">
        <f t="shared" si="68"/>
        <v>128.828</v>
      </c>
      <c r="Q151" s="16">
        <f t="shared" si="69"/>
        <v>0</v>
      </c>
      <c r="R151" s="16">
        <f t="shared" si="70"/>
        <v>0</v>
      </c>
      <c r="S151" s="16">
        <f t="shared" si="71"/>
        <v>0</v>
      </c>
      <c r="T151" s="16">
        <v>1</v>
      </c>
      <c r="U151" s="16">
        <f t="shared" si="72"/>
        <v>0</v>
      </c>
      <c r="V151" s="16"/>
      <c r="W151" s="16">
        <f t="shared" si="73"/>
        <v>0</v>
      </c>
      <c r="X151" s="16">
        <f t="shared" si="74"/>
        <v>0</v>
      </c>
      <c r="Y151" s="16">
        <v>1</v>
      </c>
      <c r="Z151" s="16">
        <f t="shared" si="75"/>
        <v>0</v>
      </c>
      <c r="AA151" s="16">
        <f t="shared" si="76"/>
        <v>0</v>
      </c>
      <c r="AB151" s="16">
        <f t="shared" si="77"/>
        <v>7729.68</v>
      </c>
      <c r="AC151" s="16">
        <f t="shared" si="78"/>
        <v>2011.25</v>
      </c>
      <c r="AD151" s="16">
        <f t="shared" si="79"/>
        <v>1</v>
      </c>
      <c r="AE151" s="16">
        <f t="shared" si="80"/>
        <v>2021.25</v>
      </c>
      <c r="AF151" s="16">
        <f t="shared" si="81"/>
        <v>0</v>
      </c>
      <c r="AG151" s="16">
        <f t="shared" si="82"/>
        <v>-8.3333333333333329E-2</v>
      </c>
    </row>
    <row r="152" spans="1:33">
      <c r="B152" s="26">
        <v>540</v>
      </c>
      <c r="C152" s="27" t="s">
        <v>252</v>
      </c>
      <c r="D152" s="26">
        <v>2012</v>
      </c>
      <c r="E152" s="26">
        <v>4</v>
      </c>
      <c r="F152" s="58"/>
      <c r="H152" s="26" t="s">
        <v>51</v>
      </c>
      <c r="I152" s="26">
        <v>10</v>
      </c>
      <c r="J152" s="26">
        <f t="shared" si="66"/>
        <v>2022</v>
      </c>
      <c r="M152" s="16">
        <v>18713.95</v>
      </c>
      <c r="O152" s="16">
        <f t="shared" si="67"/>
        <v>18713.95</v>
      </c>
      <c r="P152" s="16">
        <f t="shared" si="68"/>
        <v>155.94958333333332</v>
      </c>
      <c r="Q152" s="16">
        <f t="shared" si="69"/>
        <v>0</v>
      </c>
      <c r="R152" s="16">
        <f t="shared" si="70"/>
        <v>0</v>
      </c>
      <c r="S152" s="16">
        <f t="shared" si="71"/>
        <v>0</v>
      </c>
      <c r="T152" s="16">
        <v>1</v>
      </c>
      <c r="U152" s="16">
        <f t="shared" si="72"/>
        <v>0</v>
      </c>
      <c r="V152" s="16"/>
      <c r="W152" s="16">
        <f t="shared" si="73"/>
        <v>0</v>
      </c>
      <c r="X152" s="16">
        <f t="shared" si="74"/>
        <v>0</v>
      </c>
      <c r="Y152" s="16">
        <v>1</v>
      </c>
      <c r="Z152" s="16">
        <f t="shared" si="75"/>
        <v>0</v>
      </c>
      <c r="AA152" s="16">
        <f t="shared" si="76"/>
        <v>0</v>
      </c>
      <c r="AB152" s="16">
        <f t="shared" si="77"/>
        <v>9356.9750000000004</v>
      </c>
      <c r="AC152" s="16">
        <f t="shared" si="78"/>
        <v>2012.25</v>
      </c>
      <c r="AD152" s="16">
        <f t="shared" si="79"/>
        <v>1</v>
      </c>
      <c r="AE152" s="16">
        <f t="shared" si="80"/>
        <v>2022.25</v>
      </c>
      <c r="AF152" s="16">
        <f t="shared" si="81"/>
        <v>0</v>
      </c>
      <c r="AG152" s="16">
        <f t="shared" si="82"/>
        <v>-8.3333333333333329E-2</v>
      </c>
    </row>
    <row r="153" spans="1:33">
      <c r="B153" s="26">
        <v>324</v>
      </c>
      <c r="C153" s="27" t="s">
        <v>251</v>
      </c>
      <c r="D153" s="26">
        <v>2012</v>
      </c>
      <c r="E153" s="26">
        <v>4</v>
      </c>
      <c r="F153" s="58"/>
      <c r="H153" s="26" t="s">
        <v>51</v>
      </c>
      <c r="I153" s="26">
        <v>10</v>
      </c>
      <c r="J153" s="26">
        <f t="shared" si="66"/>
        <v>2022</v>
      </c>
      <c r="M153" s="16">
        <v>14312.06</v>
      </c>
      <c r="O153" s="16">
        <f t="shared" si="67"/>
        <v>14312.06</v>
      </c>
      <c r="P153" s="16">
        <f t="shared" si="68"/>
        <v>119.26716666666665</v>
      </c>
      <c r="Q153" s="16">
        <f t="shared" si="69"/>
        <v>0</v>
      </c>
      <c r="R153" s="16">
        <f t="shared" si="70"/>
        <v>0</v>
      </c>
      <c r="S153" s="16">
        <f t="shared" si="71"/>
        <v>0</v>
      </c>
      <c r="T153" s="16">
        <v>1</v>
      </c>
      <c r="U153" s="16">
        <f t="shared" si="72"/>
        <v>0</v>
      </c>
      <c r="V153" s="16"/>
      <c r="W153" s="16">
        <f t="shared" si="73"/>
        <v>0</v>
      </c>
      <c r="X153" s="16">
        <f t="shared" si="74"/>
        <v>0</v>
      </c>
      <c r="Y153" s="16">
        <v>1</v>
      </c>
      <c r="Z153" s="16">
        <f t="shared" si="75"/>
        <v>0</v>
      </c>
      <c r="AA153" s="16">
        <f t="shared" si="76"/>
        <v>0</v>
      </c>
      <c r="AB153" s="16">
        <f t="shared" si="77"/>
        <v>7156.03</v>
      </c>
      <c r="AC153" s="16">
        <f t="shared" si="78"/>
        <v>2012.25</v>
      </c>
      <c r="AD153" s="16">
        <f t="shared" si="79"/>
        <v>1</v>
      </c>
      <c r="AE153" s="16">
        <f t="shared" si="80"/>
        <v>2022.25</v>
      </c>
      <c r="AF153" s="16">
        <f t="shared" si="81"/>
        <v>0</v>
      </c>
      <c r="AG153" s="16">
        <f t="shared" si="82"/>
        <v>-8.3333333333333329E-2</v>
      </c>
    </row>
    <row r="154" spans="1:33">
      <c r="B154" s="26">
        <v>324</v>
      </c>
      <c r="C154" s="27" t="s">
        <v>251</v>
      </c>
      <c r="D154" s="26">
        <v>2012</v>
      </c>
      <c r="E154" s="26">
        <v>11</v>
      </c>
      <c r="F154" s="58"/>
      <c r="H154" s="26" t="s">
        <v>51</v>
      </c>
      <c r="I154" s="26">
        <v>10</v>
      </c>
      <c r="J154" s="26">
        <f t="shared" si="66"/>
        <v>2022</v>
      </c>
      <c r="M154" s="16">
        <v>14635.18</v>
      </c>
      <c r="O154" s="16">
        <f t="shared" si="67"/>
        <v>14635.18</v>
      </c>
      <c r="P154" s="16">
        <f t="shared" si="68"/>
        <v>121.95983333333334</v>
      </c>
      <c r="Q154" s="16">
        <f t="shared" si="69"/>
        <v>0</v>
      </c>
      <c r="R154" s="16">
        <f t="shared" si="70"/>
        <v>0</v>
      </c>
      <c r="S154" s="16">
        <f t="shared" si="71"/>
        <v>0</v>
      </c>
      <c r="T154" s="16">
        <v>1</v>
      </c>
      <c r="U154" s="16">
        <f t="shared" si="72"/>
        <v>0</v>
      </c>
      <c r="V154" s="16"/>
      <c r="W154" s="16">
        <f t="shared" si="73"/>
        <v>0</v>
      </c>
      <c r="X154" s="16">
        <f t="shared" si="74"/>
        <v>0</v>
      </c>
      <c r="Y154" s="16">
        <v>1</v>
      </c>
      <c r="Z154" s="16">
        <f t="shared" si="75"/>
        <v>0</v>
      </c>
      <c r="AA154" s="16">
        <f t="shared" si="76"/>
        <v>0</v>
      </c>
      <c r="AB154" s="16">
        <f t="shared" si="77"/>
        <v>7317.59</v>
      </c>
      <c r="AC154" s="16">
        <f t="shared" si="78"/>
        <v>2012.8333333333333</v>
      </c>
      <c r="AD154" s="16">
        <f t="shared" si="79"/>
        <v>1</v>
      </c>
      <c r="AE154" s="16">
        <f t="shared" si="80"/>
        <v>2022.8333333333333</v>
      </c>
      <c r="AF154" s="16">
        <f t="shared" si="81"/>
        <v>0</v>
      </c>
      <c r="AG154" s="16">
        <f t="shared" si="82"/>
        <v>-8.3333333333333329E-2</v>
      </c>
    </row>
    <row r="155" spans="1:33">
      <c r="A155" s="6">
        <v>104373</v>
      </c>
      <c r="B155" s="26">
        <v>270</v>
      </c>
      <c r="C155" s="27" t="s">
        <v>259</v>
      </c>
      <c r="D155" s="26">
        <v>2013</v>
      </c>
      <c r="E155" s="26">
        <v>4</v>
      </c>
      <c r="F155" s="58"/>
      <c r="H155" s="26" t="s">
        <v>51</v>
      </c>
      <c r="I155" s="26">
        <v>10</v>
      </c>
      <c r="J155" s="26">
        <f t="shared" si="66"/>
        <v>2023</v>
      </c>
      <c r="M155" s="16">
        <v>9804.99</v>
      </c>
      <c r="O155" s="16">
        <f t="shared" si="67"/>
        <v>9804.99</v>
      </c>
      <c r="P155" s="16">
        <f t="shared" si="68"/>
        <v>81.708250000000007</v>
      </c>
      <c r="Q155" s="16">
        <f t="shared" si="69"/>
        <v>0</v>
      </c>
      <c r="R155" s="16">
        <f t="shared" si="70"/>
        <v>0</v>
      </c>
      <c r="S155" s="16">
        <f t="shared" si="71"/>
        <v>0</v>
      </c>
      <c r="T155" s="16">
        <v>1</v>
      </c>
      <c r="U155" s="16">
        <f t="shared" si="72"/>
        <v>0</v>
      </c>
      <c r="V155" s="16"/>
      <c r="W155" s="16">
        <f t="shared" si="73"/>
        <v>0</v>
      </c>
      <c r="X155" s="16">
        <f t="shared" si="74"/>
        <v>0</v>
      </c>
      <c r="Y155" s="16">
        <v>1</v>
      </c>
      <c r="Z155" s="16">
        <f t="shared" si="75"/>
        <v>0</v>
      </c>
      <c r="AA155" s="16">
        <f t="shared" si="76"/>
        <v>0</v>
      </c>
      <c r="AB155" s="16">
        <f t="shared" si="77"/>
        <v>4902.4949999999999</v>
      </c>
      <c r="AC155" s="16">
        <f t="shared" si="78"/>
        <v>2013.25</v>
      </c>
      <c r="AD155" s="16">
        <f t="shared" si="79"/>
        <v>1</v>
      </c>
      <c r="AE155" s="16">
        <f t="shared" si="80"/>
        <v>2023.25</v>
      </c>
      <c r="AF155" s="16">
        <f t="shared" si="81"/>
        <v>0</v>
      </c>
      <c r="AG155" s="16">
        <f t="shared" si="82"/>
        <v>-8.3333333333333329E-2</v>
      </c>
    </row>
    <row r="156" spans="1:33">
      <c r="A156" s="6">
        <v>107394</v>
      </c>
      <c r="B156" s="26">
        <v>243</v>
      </c>
      <c r="C156" s="27" t="s">
        <v>271</v>
      </c>
      <c r="D156" s="26">
        <v>2013</v>
      </c>
      <c r="E156" s="26">
        <v>9</v>
      </c>
      <c r="F156" s="58"/>
      <c r="H156" s="26" t="s">
        <v>51</v>
      </c>
      <c r="I156" s="26">
        <v>10</v>
      </c>
      <c r="J156" s="26">
        <f t="shared" si="66"/>
        <v>2023</v>
      </c>
      <c r="M156" s="16">
        <v>11695.39</v>
      </c>
      <c r="O156" s="16">
        <f t="shared" si="67"/>
        <v>11695.39</v>
      </c>
      <c r="P156" s="16">
        <f t="shared" si="68"/>
        <v>97.461583333333337</v>
      </c>
      <c r="Q156" s="16">
        <f>IF(N156&gt;0,0,IF(OR(AC156&gt;AD156,AE156&lt;AF156),0,IF(AND(AE156&gt;=AF156,AE156&lt;=AD156),P156*((AE156-AF156)*12),IF(AND(AF156&lt;=AC156,AD156&gt;=AC156),((AD156-AC156)*12)*P156,IF(AE156&gt;AD156,12*P156,0)))))</f>
        <v>0</v>
      </c>
      <c r="R156" s="16">
        <f>IF(N156=0,0,IF(AND(AG156&gt;=AF156,AG156&lt;=AE156),((AG156-AF156)*12)*P156,0))</f>
        <v>0</v>
      </c>
      <c r="S156" s="16">
        <f>IF(R156&gt;0,R156,Q156)</f>
        <v>0</v>
      </c>
      <c r="T156" s="16">
        <v>1</v>
      </c>
      <c r="U156" s="16">
        <f>T156*SUM(Q156:R156)</f>
        <v>0</v>
      </c>
      <c r="V156" s="16"/>
      <c r="W156" s="16">
        <f>IF(AC156&gt;AD156,0,IF(AE156&lt;AF156,O156,IF(AND(AE156&gt;=AF156,AE156&lt;=AD156),(O156-S156),IF(AND(AF156&lt;=AC156,AD156&gt;=AC156),0,IF(AE156&gt;AD156,((AF156-AC156)*12)*P156,0)))))</f>
        <v>0</v>
      </c>
      <c r="X156" s="16">
        <f>W156*T156</f>
        <v>0</v>
      </c>
      <c r="Y156" s="16">
        <v>1</v>
      </c>
      <c r="Z156" s="16">
        <f>X156*Y156</f>
        <v>0</v>
      </c>
      <c r="AA156" s="16">
        <f>IF(N156&gt;0,0,Z156+U156*Y156)*Y156</f>
        <v>0</v>
      </c>
      <c r="AB156" s="16">
        <f>IF(N156&gt;0,(M156-Z156)/2,IF(AC156&gt;=AF156,(((M156*T156)*Y156)-AA156)/2,((((M156*T156)*Y156)-Z156)+(((M156*T156)*Y156)-AA156))/2))</f>
        <v>5847.6949999999997</v>
      </c>
      <c r="AC156" s="16">
        <f t="shared" si="78"/>
        <v>2013.6666666666667</v>
      </c>
      <c r="AD156" s="16">
        <f t="shared" si="79"/>
        <v>1</v>
      </c>
      <c r="AE156" s="16">
        <f t="shared" si="80"/>
        <v>2023.6666666666667</v>
      </c>
      <c r="AF156" s="16">
        <f t="shared" si="81"/>
        <v>0</v>
      </c>
      <c r="AG156" s="16">
        <f t="shared" si="82"/>
        <v>-8.3333333333333329E-2</v>
      </c>
    </row>
    <row r="157" spans="1:33">
      <c r="A157" s="6">
        <v>116677</v>
      </c>
      <c r="B157" s="26">
        <v>243</v>
      </c>
      <c r="C157" s="27" t="s">
        <v>259</v>
      </c>
      <c r="D157" s="26">
        <v>2014</v>
      </c>
      <c r="E157" s="26">
        <v>10</v>
      </c>
      <c r="F157" s="58"/>
      <c r="H157" s="26" t="s">
        <v>51</v>
      </c>
      <c r="I157" s="26">
        <v>10</v>
      </c>
      <c r="J157" s="26">
        <f t="shared" si="66"/>
        <v>2024</v>
      </c>
      <c r="M157" s="16">
        <v>10433.780000000001</v>
      </c>
      <c r="O157" s="16">
        <f t="shared" si="67"/>
        <v>10433.780000000001</v>
      </c>
      <c r="P157" s="16">
        <f t="shared" si="68"/>
        <v>86.94816666666668</v>
      </c>
      <c r="Q157" s="16">
        <f>IF(N157&gt;0,0,IF(OR(AC157&gt;AD157,AE157&lt;AF157),0,IF(AND(AE157&gt;=AF157,AE157&lt;=AD157),P157*((AE157-AF157)*12),IF(AND(AF157&lt;=AC157,AD157&gt;=AC157),((AD157-AC157)*12)*P157,IF(AE157&gt;AD157,12*P157,0)))))</f>
        <v>0</v>
      </c>
      <c r="R157" s="16">
        <f>IF(N157=0,0,IF(AND(AG157&gt;=AF157,AG157&lt;=AE157),((AG157-AF157)*12)*P157,0))</f>
        <v>0</v>
      </c>
      <c r="S157" s="16">
        <f>IF(R157&gt;0,R157,Q157)</f>
        <v>0</v>
      </c>
      <c r="T157" s="16">
        <v>1</v>
      </c>
      <c r="U157" s="16">
        <f>T157*SUM(Q157:R157)</f>
        <v>0</v>
      </c>
      <c r="V157" s="16"/>
      <c r="W157" s="16">
        <f>IF(AC157&gt;AD157,0,IF(AE157&lt;AF157,O157,IF(AND(AE157&gt;=AF157,AE157&lt;=AD157),(O157-S157),IF(AND(AF157&lt;=AC157,AD157&gt;=AC157),0,IF(AE157&gt;AD157,((AF157-AC157)*12)*P157,0)))))</f>
        <v>0</v>
      </c>
      <c r="X157" s="16">
        <f>W157*T157</f>
        <v>0</v>
      </c>
      <c r="Y157" s="16">
        <v>1</v>
      </c>
      <c r="Z157" s="16">
        <f>X157*Y157</f>
        <v>0</v>
      </c>
      <c r="AA157" s="16">
        <f>IF(N157&gt;0,0,Z157+U157*Y157)*Y157</f>
        <v>0</v>
      </c>
      <c r="AB157" s="16">
        <f>IF(N157&gt;0,(M157-Z157)/2,IF(AC157&gt;=AF157,(((M157*T157)*Y157)-AA157)/2,((((M157*T157)*Y157)-Z157)+(((M157*T157)*Y157)-AA157))/2))</f>
        <v>5216.8900000000003</v>
      </c>
      <c r="AC157" s="16">
        <f t="shared" si="78"/>
        <v>2014.75</v>
      </c>
      <c r="AD157" s="16">
        <f t="shared" si="79"/>
        <v>1</v>
      </c>
      <c r="AE157" s="16">
        <f t="shared" si="80"/>
        <v>2024.75</v>
      </c>
      <c r="AF157" s="16">
        <f t="shared" si="81"/>
        <v>0</v>
      </c>
      <c r="AG157" s="16">
        <f t="shared" si="82"/>
        <v>-8.3333333333333329E-2</v>
      </c>
    </row>
    <row r="158" spans="1:33">
      <c r="A158" s="6">
        <v>123237</v>
      </c>
      <c r="B158" s="26">
        <v>720</v>
      </c>
      <c r="C158" s="27" t="s">
        <v>271</v>
      </c>
      <c r="D158" s="26">
        <v>2015</v>
      </c>
      <c r="E158" s="26">
        <v>6</v>
      </c>
      <c r="F158" s="58"/>
      <c r="H158" s="26" t="s">
        <v>51</v>
      </c>
      <c r="I158" s="26">
        <v>10</v>
      </c>
      <c r="J158" s="26">
        <f t="shared" si="66"/>
        <v>2025</v>
      </c>
      <c r="M158" s="16">
        <v>31880.44</v>
      </c>
      <c r="O158" s="16">
        <f t="shared" si="67"/>
        <v>31880.44</v>
      </c>
      <c r="P158" s="16">
        <f t="shared" si="68"/>
        <v>265.6703333333333</v>
      </c>
      <c r="Q158" s="16">
        <f>IF(N158&gt;0,0,IF(OR(AC158&gt;AD158,AE158&lt;AF158),0,IF(AND(AE158&gt;=AF158,AE158&lt;=AD158),P158*((AE158-AF158)*12),IF(AND(AF158&lt;=AC158,AD158&gt;=AC158),((AD158-AC158)*12)*P158,IF(AE158&gt;AD158,12*P158,0)))))</f>
        <v>0</v>
      </c>
      <c r="R158" s="16">
        <f>IF(N158=0,0,IF(AND(AG158&gt;=AF158,AG158&lt;=AE158),((AG158-AF158)*12)*P158,0))</f>
        <v>0</v>
      </c>
      <c r="S158" s="16">
        <f>IF(R158&gt;0,R158,Q158)</f>
        <v>0</v>
      </c>
      <c r="T158" s="16">
        <v>1</v>
      </c>
      <c r="U158" s="16">
        <f>T158*SUM(Q158:R158)</f>
        <v>0</v>
      </c>
      <c r="V158" s="16"/>
      <c r="W158" s="16">
        <f>IF(AC158&gt;AD158,0,IF(AE158&lt;AF158,O158,IF(AND(AE158&gt;=AF158,AE158&lt;=AD158),(O158-S158),IF(AND(AF158&lt;=AC158,AD158&gt;=AC158),0,IF(AE158&gt;AD158,((AF158-AC158)*12)*P158,0)))))</f>
        <v>0</v>
      </c>
      <c r="X158" s="16">
        <f>W158*T158</f>
        <v>0</v>
      </c>
      <c r="Y158" s="16">
        <v>1</v>
      </c>
      <c r="Z158" s="16">
        <f>X158*Y158</f>
        <v>0</v>
      </c>
      <c r="AA158" s="16">
        <f>IF(N158&gt;0,0,Z158+U158*Y158)*Y158</f>
        <v>0</v>
      </c>
      <c r="AB158" s="16">
        <f>IF(N158&gt;0,(M158-Z158)/2,IF(AC158&gt;=AF158,(((M158*T158)*Y158)-AA158)/2,((((M158*T158)*Y158)-Z158)+(((M158*T158)*Y158)-AA158))/2))</f>
        <v>15940.22</v>
      </c>
      <c r="AC158" s="16">
        <f t="shared" si="78"/>
        <v>2015.4166666666667</v>
      </c>
      <c r="AD158" s="16">
        <f t="shared" si="79"/>
        <v>1</v>
      </c>
      <c r="AE158" s="16">
        <f t="shared" si="80"/>
        <v>2025.4166666666667</v>
      </c>
      <c r="AF158" s="16">
        <f t="shared" si="81"/>
        <v>0</v>
      </c>
      <c r="AG158" s="16">
        <f t="shared" si="82"/>
        <v>-8.3333333333333329E-2</v>
      </c>
    </row>
    <row r="159" spans="1:33">
      <c r="A159" s="6">
        <v>123448</v>
      </c>
      <c r="B159" s="26">
        <v>595</v>
      </c>
      <c r="C159" s="27" t="s">
        <v>309</v>
      </c>
      <c r="D159" s="26">
        <v>2015</v>
      </c>
      <c r="E159" s="26">
        <v>6</v>
      </c>
      <c r="F159" s="58"/>
      <c r="H159" s="26" t="s">
        <v>51</v>
      </c>
      <c r="I159" s="26">
        <v>10</v>
      </c>
      <c r="J159" s="26">
        <f>D159+I159</f>
        <v>2025</v>
      </c>
      <c r="M159" s="16">
        <v>31731.39</v>
      </c>
      <c r="O159" s="16">
        <f t="shared" si="67"/>
        <v>31731.39</v>
      </c>
      <c r="P159" s="16">
        <f t="shared" si="68"/>
        <v>264.42824999999999</v>
      </c>
      <c r="Q159" s="16">
        <f>IF(N159&gt;0,0,IF(OR(AC159&gt;AD159,AE159&lt;AF159),0,IF(AND(AE159&gt;=AF159,AE159&lt;=AD159),P159*((AE159-AF159)*12),IF(AND(AF159&lt;=AC159,AD159&gt;=AC159),((AD159-AC159)*12)*P159,IF(AE159&gt;AD159,12*P159,0)))))</f>
        <v>0</v>
      </c>
      <c r="R159" s="16">
        <f>IF(N159=0,0,IF(AND(AG159&gt;=AF159,AG159&lt;=AE159),((AG159-AF159)*12)*P159,0))</f>
        <v>0</v>
      </c>
      <c r="S159" s="16">
        <f>IF(R159&gt;0,R159,Q159)</f>
        <v>0</v>
      </c>
      <c r="T159" s="16">
        <v>1</v>
      </c>
      <c r="U159" s="16">
        <f>T159*SUM(Q159:R159)</f>
        <v>0</v>
      </c>
      <c r="V159" s="16"/>
      <c r="W159" s="16">
        <f>IF(AC159&gt;AD159,0,IF(AE159&lt;AF159,O159,IF(AND(AE159&gt;=AF159,AE159&lt;=AD159),(O159-S159),IF(AND(AF159&lt;=AC159,AD159&gt;=AC159),0,IF(AE159&gt;AD159,((AF159-AC159)*12)*P159,0)))))</f>
        <v>0</v>
      </c>
      <c r="X159" s="16">
        <f>W159*T159</f>
        <v>0</v>
      </c>
      <c r="Y159" s="16">
        <v>1</v>
      </c>
      <c r="Z159" s="16">
        <f>X159*Y159</f>
        <v>0</v>
      </c>
      <c r="AA159" s="16">
        <f>IF(N159&gt;0,0,Z159+U159*Y159)*Y159</f>
        <v>0</v>
      </c>
      <c r="AB159" s="16">
        <f>IF(N159&gt;0,(M159-Z159)/2,IF(AC159&gt;=AF159,(((M159*T159)*Y159)-AA159)/2,((((M159*T159)*Y159)-Z159)+(((M159*T159)*Y159)-AA159))/2))</f>
        <v>15865.695</v>
      </c>
      <c r="AC159" s="16">
        <f t="shared" si="78"/>
        <v>2015.4166666666667</v>
      </c>
      <c r="AD159" s="16">
        <f t="shared" si="79"/>
        <v>1</v>
      </c>
      <c r="AE159" s="16">
        <f t="shared" si="80"/>
        <v>2025.4166666666667</v>
      </c>
      <c r="AF159" s="16">
        <f t="shared" si="81"/>
        <v>0</v>
      </c>
      <c r="AG159" s="16">
        <f t="shared" si="82"/>
        <v>-8.3333333333333329E-2</v>
      </c>
    </row>
    <row r="160" spans="1:33">
      <c r="B160" s="26"/>
      <c r="C160" s="27"/>
      <c r="D160" s="26"/>
      <c r="E160" s="26"/>
      <c r="F160" s="58"/>
      <c r="H160" s="26"/>
      <c r="M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</row>
    <row r="161" spans="1:33">
      <c r="A161" s="6">
        <v>167138</v>
      </c>
      <c r="B161" s="26">
        <v>580</v>
      </c>
      <c r="C161" s="27" t="s">
        <v>146</v>
      </c>
      <c r="D161" s="26">
        <v>2016</v>
      </c>
      <c r="E161" s="26">
        <v>8</v>
      </c>
      <c r="F161" s="58"/>
      <c r="H161" s="26" t="s">
        <v>51</v>
      </c>
      <c r="I161" s="26">
        <v>7</v>
      </c>
      <c r="J161" s="26">
        <f>D161+I161</f>
        <v>2023</v>
      </c>
      <c r="M161" s="16">
        <v>19826.36</v>
      </c>
      <c r="O161" s="16">
        <f>M161-M161*F161</f>
        <v>19826.36</v>
      </c>
      <c r="P161" s="16">
        <f>O161/I161/12</f>
        <v>236.02809523809526</v>
      </c>
      <c r="Q161" s="16">
        <f>IF(N161&gt;0,0,IF(OR(AC161&gt;AD161,AE161&lt;AF161),0,IF(AND(AE161&gt;=AF161,AE161&lt;=AD161),P161*((AE161-AF161)*12),IF(AND(AF161&lt;=AC161,AD161&gt;=AC161),((AD161-AC161)*12)*P161,IF(AE161&gt;AD161,12*P161,0)))))</f>
        <v>0</v>
      </c>
      <c r="R161" s="16">
        <f>IF(N161=0,0,IF(AND(AG161&gt;=AF161,AG161&lt;=AE161),((AG161-AF161)*12)*P161,0))</f>
        <v>0</v>
      </c>
      <c r="S161" s="16">
        <f>IF(R161&gt;0,R161,Q161)</f>
        <v>0</v>
      </c>
      <c r="T161" s="16">
        <v>1</v>
      </c>
      <c r="U161" s="16">
        <f>T161*SUM(Q161:R161)</f>
        <v>0</v>
      </c>
      <c r="V161" s="16"/>
      <c r="W161" s="16">
        <f>IF(AC161&gt;AD161,0,IF(AE161&lt;AF161,O161,IF(AND(AE161&gt;=AF161,AE161&lt;=AD161),(O161-S161),IF(AND(AF161&lt;=AC161,AD161&gt;=AC161),0,IF(AE161&gt;AD161,((AF161-AC161)*12)*P161,0)))))</f>
        <v>0</v>
      </c>
      <c r="X161" s="16">
        <f>W161*T161</f>
        <v>0</v>
      </c>
      <c r="Y161" s="16">
        <v>1</v>
      </c>
      <c r="Z161" s="16">
        <f>X161*Y161</f>
        <v>0</v>
      </c>
      <c r="AA161" s="16">
        <f>IF(N161&gt;0,0,Z161+U161*Y161)*Y161</f>
        <v>0</v>
      </c>
      <c r="AB161" s="16">
        <f>IF(N161&gt;0,(M161-Z161)/2,IF(AC161&gt;=AF161,(((M161*T161)*Y161)-AA161)/2,((((M161*T161)*Y161)-Z161)+(((M161*T161)*Y161)-AA161))/2))</f>
        <v>9913.18</v>
      </c>
      <c r="AC161" s="16">
        <f t="shared" si="78"/>
        <v>2016.5833333333333</v>
      </c>
      <c r="AD161" s="16">
        <f t="shared" si="79"/>
        <v>1</v>
      </c>
      <c r="AE161" s="16">
        <f t="shared" si="80"/>
        <v>2023.5833333333333</v>
      </c>
      <c r="AF161" s="16">
        <f t="shared" si="81"/>
        <v>0</v>
      </c>
      <c r="AG161" s="16">
        <f t="shared" si="82"/>
        <v>-8.3333333333333329E-2</v>
      </c>
    </row>
    <row r="162" spans="1:33">
      <c r="A162" s="6">
        <v>173860</v>
      </c>
      <c r="B162" s="26">
        <v>252</v>
      </c>
      <c r="C162" s="27" t="s">
        <v>389</v>
      </c>
      <c r="D162" s="26">
        <v>2016</v>
      </c>
      <c r="E162" s="26">
        <v>9</v>
      </c>
      <c r="F162" s="58"/>
      <c r="H162" s="26"/>
      <c r="M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>
        <f t="shared" si="78"/>
        <v>2016.6666666666667</v>
      </c>
      <c r="AD162" s="16"/>
      <c r="AE162" s="16"/>
      <c r="AF162" s="16"/>
      <c r="AG162" s="16"/>
    </row>
    <row r="163" spans="1:33">
      <c r="A163" s="6">
        <v>173862</v>
      </c>
      <c r="B163" s="26">
        <v>75</v>
      </c>
      <c r="C163" s="27" t="s">
        <v>345</v>
      </c>
      <c r="D163" s="26">
        <v>2016</v>
      </c>
      <c r="E163" s="26">
        <v>12</v>
      </c>
      <c r="F163" s="58"/>
      <c r="H163" s="26" t="s">
        <v>51</v>
      </c>
      <c r="I163" s="26">
        <v>7</v>
      </c>
      <c r="J163" s="26">
        <f t="shared" ref="J163:J171" si="83">D163+I163</f>
        <v>2023</v>
      </c>
      <c r="M163" s="16">
        <v>3873.19</v>
      </c>
      <c r="O163" s="16">
        <f t="shared" ref="O163:O171" si="84">M163-M163*F163</f>
        <v>3873.19</v>
      </c>
      <c r="P163" s="16">
        <f t="shared" ref="P163:P171" si="85">O163/I163/12</f>
        <v>46.109404761904763</v>
      </c>
      <c r="Q163" s="16">
        <f t="shared" ref="Q163:Q171" si="86">IF(N163&gt;0,0,IF(OR(AC163&gt;AD163,AE163&lt;AF163),0,IF(AND(AE163&gt;=AF163,AE163&lt;=AD163),P163*((AE163-AF163)*12),IF(AND(AF163&lt;=AC163,AD163&gt;=AC163),((AD163-AC163)*12)*P163,IF(AE163&gt;AD163,12*P163,0)))))</f>
        <v>0</v>
      </c>
      <c r="R163" s="16">
        <f t="shared" ref="R163:R171" si="87">IF(N163=0,0,IF(AND(AG163&gt;=AF163,AG163&lt;=AE163),((AG163-AF163)*12)*P163,0))</f>
        <v>0</v>
      </c>
      <c r="S163" s="16">
        <f t="shared" ref="S163:S171" si="88">IF(R163&gt;0,R163,Q163)</f>
        <v>0</v>
      </c>
      <c r="T163" s="16">
        <v>1</v>
      </c>
      <c r="U163" s="16">
        <f t="shared" ref="U163:U171" si="89">T163*SUM(Q163:R163)</f>
        <v>0</v>
      </c>
      <c r="V163" s="16"/>
      <c r="W163" s="16">
        <f t="shared" ref="W163:W171" si="90">IF(AC163&gt;AD163,0,IF(AE163&lt;AF163,O163,IF(AND(AE163&gt;=AF163,AE163&lt;=AD163),(O163-S163),IF(AND(AF163&lt;=AC163,AD163&gt;=AC163),0,IF(AE163&gt;AD163,((AF163-AC163)*12)*P163,0)))))</f>
        <v>0</v>
      </c>
      <c r="X163" s="16">
        <f t="shared" ref="X163:X171" si="91">W163*T163</f>
        <v>0</v>
      </c>
      <c r="Y163" s="16">
        <v>1</v>
      </c>
      <c r="Z163" s="16">
        <f t="shared" ref="Z163:Z171" si="92">X163*Y163</f>
        <v>0</v>
      </c>
      <c r="AA163" s="16">
        <f t="shared" ref="AA163:AA171" si="93">IF(N163&gt;0,0,Z163+U163*Y163)*Y163</f>
        <v>0</v>
      </c>
      <c r="AB163" s="16">
        <f t="shared" ref="AB163:AB171" si="94">IF(N163&gt;0,(M163-Z163)/2,IF(AC163&gt;=AF163,(((M163*T163)*Y163)-AA163)/2,((((M163*T163)*Y163)-Z163)+(((M163*T163)*Y163)-AA163))/2))</f>
        <v>1936.595</v>
      </c>
      <c r="AC163" s="16">
        <f t="shared" si="78"/>
        <v>2016.9166666666667</v>
      </c>
      <c r="AD163" s="16">
        <f t="shared" si="79"/>
        <v>1</v>
      </c>
      <c r="AE163" s="16">
        <f t="shared" si="80"/>
        <v>2023.9166666666667</v>
      </c>
      <c r="AF163" s="16">
        <f t="shared" si="81"/>
        <v>0</v>
      </c>
      <c r="AG163" s="16">
        <f t="shared" si="82"/>
        <v>-8.3333333333333329E-2</v>
      </c>
    </row>
    <row r="164" spans="1:33">
      <c r="A164" s="6">
        <v>173863</v>
      </c>
      <c r="B164" s="26">
        <v>401</v>
      </c>
      <c r="C164" s="27" t="s">
        <v>346</v>
      </c>
      <c r="D164" s="26">
        <v>2016</v>
      </c>
      <c r="E164" s="26">
        <v>12</v>
      </c>
      <c r="F164" s="58"/>
      <c r="H164" s="26" t="s">
        <v>51</v>
      </c>
      <c r="I164" s="26">
        <v>7</v>
      </c>
      <c r="J164" s="26">
        <f t="shared" si="83"/>
        <v>2023</v>
      </c>
      <c r="M164" s="16">
        <v>16470.48</v>
      </c>
      <c r="O164" s="16">
        <f t="shared" si="84"/>
        <v>16470.48</v>
      </c>
      <c r="P164" s="16">
        <f t="shared" si="85"/>
        <v>196.07714285714283</v>
      </c>
      <c r="Q164" s="16">
        <f t="shared" si="86"/>
        <v>0</v>
      </c>
      <c r="R164" s="16">
        <f t="shared" si="87"/>
        <v>0</v>
      </c>
      <c r="S164" s="16">
        <f t="shared" si="88"/>
        <v>0</v>
      </c>
      <c r="T164" s="16">
        <v>1</v>
      </c>
      <c r="U164" s="16">
        <f t="shared" si="89"/>
        <v>0</v>
      </c>
      <c r="V164" s="16"/>
      <c r="W164" s="16">
        <f t="shared" si="90"/>
        <v>0</v>
      </c>
      <c r="X164" s="16">
        <f t="shared" si="91"/>
        <v>0</v>
      </c>
      <c r="Y164" s="16">
        <v>1</v>
      </c>
      <c r="Z164" s="16">
        <f t="shared" si="92"/>
        <v>0</v>
      </c>
      <c r="AA164" s="16">
        <f t="shared" si="93"/>
        <v>0</v>
      </c>
      <c r="AB164" s="16">
        <f t="shared" si="94"/>
        <v>8235.24</v>
      </c>
      <c r="AC164" s="16">
        <f t="shared" si="78"/>
        <v>2016.9166666666667</v>
      </c>
      <c r="AD164" s="16">
        <f t="shared" si="79"/>
        <v>1</v>
      </c>
      <c r="AE164" s="16">
        <f t="shared" si="80"/>
        <v>2023.9166666666667</v>
      </c>
      <c r="AF164" s="16">
        <f t="shared" si="81"/>
        <v>0</v>
      </c>
      <c r="AG164" s="16">
        <f t="shared" si="82"/>
        <v>-8.3333333333333329E-2</v>
      </c>
    </row>
    <row r="165" spans="1:33">
      <c r="A165" s="6">
        <v>173864</v>
      </c>
      <c r="B165" s="26">
        <v>335</v>
      </c>
      <c r="C165" s="27" t="s">
        <v>347</v>
      </c>
      <c r="D165" s="26">
        <v>2016</v>
      </c>
      <c r="E165" s="26">
        <v>12</v>
      </c>
      <c r="F165" s="58"/>
      <c r="H165" s="26" t="s">
        <v>51</v>
      </c>
      <c r="I165" s="26">
        <v>7</v>
      </c>
      <c r="J165" s="26">
        <f t="shared" si="83"/>
        <v>2023</v>
      </c>
      <c r="M165" s="16">
        <v>15248.51</v>
      </c>
      <c r="O165" s="16">
        <f t="shared" si="84"/>
        <v>15248.51</v>
      </c>
      <c r="P165" s="16">
        <f t="shared" si="85"/>
        <v>181.52988095238095</v>
      </c>
      <c r="Q165" s="16">
        <f t="shared" si="86"/>
        <v>0</v>
      </c>
      <c r="R165" s="16">
        <f t="shared" si="87"/>
        <v>0</v>
      </c>
      <c r="S165" s="16">
        <f t="shared" si="88"/>
        <v>0</v>
      </c>
      <c r="T165" s="16">
        <v>1</v>
      </c>
      <c r="U165" s="16">
        <f t="shared" si="89"/>
        <v>0</v>
      </c>
      <c r="V165" s="16"/>
      <c r="W165" s="16">
        <f t="shared" si="90"/>
        <v>0</v>
      </c>
      <c r="X165" s="16">
        <f t="shared" si="91"/>
        <v>0</v>
      </c>
      <c r="Y165" s="16">
        <v>1</v>
      </c>
      <c r="Z165" s="16">
        <f t="shared" si="92"/>
        <v>0</v>
      </c>
      <c r="AA165" s="16">
        <f t="shared" si="93"/>
        <v>0</v>
      </c>
      <c r="AB165" s="16">
        <f t="shared" si="94"/>
        <v>7624.2550000000001</v>
      </c>
      <c r="AC165" s="16">
        <f t="shared" si="78"/>
        <v>2016.9166666666667</v>
      </c>
      <c r="AD165" s="16">
        <f t="shared" si="79"/>
        <v>1</v>
      </c>
      <c r="AE165" s="16">
        <f t="shared" si="80"/>
        <v>2023.9166666666667</v>
      </c>
      <c r="AF165" s="16">
        <f t="shared" si="81"/>
        <v>0</v>
      </c>
      <c r="AG165" s="16">
        <f t="shared" si="82"/>
        <v>-8.3333333333333329E-2</v>
      </c>
    </row>
    <row r="166" spans="1:33">
      <c r="B166" s="26"/>
      <c r="C166" s="27"/>
      <c r="D166" s="26"/>
      <c r="E166" s="26"/>
      <c r="F166" s="58"/>
      <c r="H166" s="26"/>
      <c r="M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</row>
    <row r="167" spans="1:33">
      <c r="A167" s="6">
        <v>178883</v>
      </c>
      <c r="B167" s="26">
        <v>510</v>
      </c>
      <c r="C167" s="27" t="s">
        <v>348</v>
      </c>
      <c r="D167" s="26">
        <v>2017</v>
      </c>
      <c r="E167" s="26">
        <v>4</v>
      </c>
      <c r="F167" s="58"/>
      <c r="H167" s="26" t="s">
        <v>51</v>
      </c>
      <c r="I167" s="26">
        <v>7</v>
      </c>
      <c r="J167" s="26">
        <f t="shared" si="83"/>
        <v>2024</v>
      </c>
      <c r="M167" s="16">
        <v>22508.94</v>
      </c>
      <c r="O167" s="16">
        <f t="shared" si="84"/>
        <v>22508.94</v>
      </c>
      <c r="P167" s="16">
        <f t="shared" si="85"/>
        <v>267.96357142857141</v>
      </c>
      <c r="Q167" s="16">
        <f t="shared" si="86"/>
        <v>0</v>
      </c>
      <c r="R167" s="16">
        <f t="shared" si="87"/>
        <v>0</v>
      </c>
      <c r="S167" s="16">
        <f t="shared" si="88"/>
        <v>0</v>
      </c>
      <c r="T167" s="16">
        <v>1</v>
      </c>
      <c r="U167" s="16">
        <f t="shared" si="89"/>
        <v>0</v>
      </c>
      <c r="V167" s="16"/>
      <c r="W167" s="16">
        <f t="shared" si="90"/>
        <v>0</v>
      </c>
      <c r="X167" s="16">
        <f t="shared" si="91"/>
        <v>0</v>
      </c>
      <c r="Y167" s="16">
        <v>1</v>
      </c>
      <c r="Z167" s="16">
        <f t="shared" si="92"/>
        <v>0</v>
      </c>
      <c r="AA167" s="16">
        <f t="shared" si="93"/>
        <v>0</v>
      </c>
      <c r="AB167" s="16">
        <f t="shared" si="94"/>
        <v>11254.47</v>
      </c>
      <c r="AC167" s="16">
        <f t="shared" si="78"/>
        <v>2017.25</v>
      </c>
      <c r="AD167" s="16">
        <f t="shared" si="79"/>
        <v>1</v>
      </c>
      <c r="AE167" s="16">
        <f t="shared" si="80"/>
        <v>2024.25</v>
      </c>
      <c r="AF167" s="16">
        <f t="shared" si="81"/>
        <v>0</v>
      </c>
      <c r="AG167" s="16">
        <f t="shared" si="82"/>
        <v>-8.3333333333333329E-2</v>
      </c>
    </row>
    <row r="168" spans="1:33">
      <c r="A168" s="6">
        <v>178884</v>
      </c>
      <c r="B168" s="26">
        <v>376</v>
      </c>
      <c r="C168" s="27" t="s">
        <v>349</v>
      </c>
      <c r="D168" s="26">
        <v>2017</v>
      </c>
      <c r="E168" s="26">
        <v>4</v>
      </c>
      <c r="F168" s="58"/>
      <c r="H168" s="26" t="s">
        <v>51</v>
      </c>
      <c r="I168" s="26">
        <v>7</v>
      </c>
      <c r="J168" s="26">
        <f t="shared" si="83"/>
        <v>2024</v>
      </c>
      <c r="M168" s="16">
        <v>18938.43</v>
      </c>
      <c r="O168" s="16">
        <f t="shared" si="84"/>
        <v>18938.43</v>
      </c>
      <c r="P168" s="16">
        <f t="shared" si="85"/>
        <v>225.45750000000001</v>
      </c>
      <c r="Q168" s="16">
        <f t="shared" si="86"/>
        <v>0</v>
      </c>
      <c r="R168" s="16">
        <f t="shared" si="87"/>
        <v>0</v>
      </c>
      <c r="S168" s="16">
        <f t="shared" si="88"/>
        <v>0</v>
      </c>
      <c r="T168" s="16">
        <v>1</v>
      </c>
      <c r="U168" s="16">
        <f t="shared" si="89"/>
        <v>0</v>
      </c>
      <c r="V168" s="16"/>
      <c r="W168" s="16">
        <f t="shared" si="90"/>
        <v>0</v>
      </c>
      <c r="X168" s="16">
        <f t="shared" si="91"/>
        <v>0</v>
      </c>
      <c r="Y168" s="16">
        <v>1</v>
      </c>
      <c r="Z168" s="16">
        <f t="shared" si="92"/>
        <v>0</v>
      </c>
      <c r="AA168" s="16">
        <f t="shared" si="93"/>
        <v>0</v>
      </c>
      <c r="AB168" s="16">
        <f t="shared" si="94"/>
        <v>9469.2150000000001</v>
      </c>
      <c r="AC168" s="16">
        <f t="shared" si="78"/>
        <v>2017.25</v>
      </c>
      <c r="AD168" s="16">
        <f t="shared" si="79"/>
        <v>1</v>
      </c>
      <c r="AE168" s="16">
        <f t="shared" si="80"/>
        <v>2024.25</v>
      </c>
      <c r="AF168" s="16">
        <f t="shared" si="81"/>
        <v>0</v>
      </c>
      <c r="AG168" s="16">
        <f t="shared" si="82"/>
        <v>-8.3333333333333329E-2</v>
      </c>
    </row>
    <row r="169" spans="1:33">
      <c r="A169" s="6">
        <v>178885</v>
      </c>
      <c r="B169" s="26">
        <v>840</v>
      </c>
      <c r="C169" s="27" t="s">
        <v>350</v>
      </c>
      <c r="D169" s="26">
        <v>2017</v>
      </c>
      <c r="E169" s="26">
        <v>4</v>
      </c>
      <c r="F169" s="58"/>
      <c r="H169" s="26" t="s">
        <v>51</v>
      </c>
      <c r="I169" s="26">
        <v>7</v>
      </c>
      <c r="J169" s="26">
        <f t="shared" si="83"/>
        <v>2024</v>
      </c>
      <c r="M169" s="16">
        <v>33930.910000000003</v>
      </c>
      <c r="O169" s="16">
        <f t="shared" si="84"/>
        <v>33930.910000000003</v>
      </c>
      <c r="P169" s="16">
        <f t="shared" si="85"/>
        <v>403.93940476190483</v>
      </c>
      <c r="Q169" s="16">
        <f t="shared" si="86"/>
        <v>0</v>
      </c>
      <c r="R169" s="16">
        <f t="shared" si="87"/>
        <v>0</v>
      </c>
      <c r="S169" s="16">
        <f t="shared" si="88"/>
        <v>0</v>
      </c>
      <c r="T169" s="16">
        <v>1</v>
      </c>
      <c r="U169" s="16">
        <f t="shared" si="89"/>
        <v>0</v>
      </c>
      <c r="V169" s="16"/>
      <c r="W169" s="16">
        <f t="shared" si="90"/>
        <v>0</v>
      </c>
      <c r="X169" s="16">
        <f t="shared" si="91"/>
        <v>0</v>
      </c>
      <c r="Y169" s="16">
        <v>1</v>
      </c>
      <c r="Z169" s="16">
        <f t="shared" si="92"/>
        <v>0</v>
      </c>
      <c r="AA169" s="16">
        <f t="shared" si="93"/>
        <v>0</v>
      </c>
      <c r="AB169" s="16">
        <f t="shared" si="94"/>
        <v>16965.455000000002</v>
      </c>
      <c r="AC169" s="16">
        <f t="shared" si="78"/>
        <v>2017.25</v>
      </c>
      <c r="AD169" s="16">
        <f t="shared" si="79"/>
        <v>1</v>
      </c>
      <c r="AE169" s="16">
        <f t="shared" si="80"/>
        <v>2024.25</v>
      </c>
      <c r="AF169" s="16">
        <f t="shared" si="81"/>
        <v>0</v>
      </c>
      <c r="AG169" s="16">
        <f t="shared" si="82"/>
        <v>-8.3333333333333329E-2</v>
      </c>
    </row>
    <row r="170" spans="1:33">
      <c r="A170" s="6">
        <v>178886</v>
      </c>
      <c r="B170" s="26">
        <v>624</v>
      </c>
      <c r="C170" s="27" t="s">
        <v>345</v>
      </c>
      <c r="D170" s="26">
        <v>2017</v>
      </c>
      <c r="E170" s="26">
        <v>4</v>
      </c>
      <c r="F170" s="58"/>
      <c r="H170" s="26" t="s">
        <v>51</v>
      </c>
      <c r="I170" s="26">
        <v>7</v>
      </c>
      <c r="J170" s="26">
        <f t="shared" si="83"/>
        <v>2024</v>
      </c>
      <c r="M170" s="16">
        <v>32539.06</v>
      </c>
      <c r="O170" s="16">
        <f t="shared" si="84"/>
        <v>32539.06</v>
      </c>
      <c r="P170" s="16">
        <f t="shared" si="85"/>
        <v>387.3697619047619</v>
      </c>
      <c r="Q170" s="16">
        <f t="shared" si="86"/>
        <v>0</v>
      </c>
      <c r="R170" s="16">
        <f t="shared" si="87"/>
        <v>0</v>
      </c>
      <c r="S170" s="16">
        <f t="shared" si="88"/>
        <v>0</v>
      </c>
      <c r="T170" s="16">
        <v>1</v>
      </c>
      <c r="U170" s="16">
        <f t="shared" si="89"/>
        <v>0</v>
      </c>
      <c r="V170" s="16"/>
      <c r="W170" s="16">
        <f t="shared" si="90"/>
        <v>0</v>
      </c>
      <c r="X170" s="16">
        <f t="shared" si="91"/>
        <v>0</v>
      </c>
      <c r="Y170" s="16">
        <v>1</v>
      </c>
      <c r="Z170" s="16">
        <f t="shared" si="92"/>
        <v>0</v>
      </c>
      <c r="AA170" s="16">
        <f t="shared" si="93"/>
        <v>0</v>
      </c>
      <c r="AB170" s="16">
        <f t="shared" si="94"/>
        <v>16269.53</v>
      </c>
      <c r="AC170" s="16">
        <f t="shared" si="78"/>
        <v>2017.25</v>
      </c>
      <c r="AD170" s="16">
        <f t="shared" si="79"/>
        <v>1</v>
      </c>
      <c r="AE170" s="16">
        <f t="shared" si="80"/>
        <v>2024.25</v>
      </c>
      <c r="AF170" s="16">
        <f t="shared" si="81"/>
        <v>0</v>
      </c>
      <c r="AG170" s="16">
        <f t="shared" si="82"/>
        <v>-8.3333333333333329E-2</v>
      </c>
    </row>
    <row r="171" spans="1:33">
      <c r="A171" s="6">
        <v>179025</v>
      </c>
      <c r="B171" s="26">
        <v>840</v>
      </c>
      <c r="C171" s="27" t="s">
        <v>346</v>
      </c>
      <c r="D171" s="26">
        <v>2017</v>
      </c>
      <c r="E171" s="26">
        <v>4</v>
      </c>
      <c r="F171" s="58"/>
      <c r="H171" s="26" t="s">
        <v>51</v>
      </c>
      <c r="I171" s="26">
        <v>7</v>
      </c>
      <c r="J171" s="26">
        <f t="shared" si="83"/>
        <v>2024</v>
      </c>
      <c r="M171" s="16">
        <v>33930.910000000003</v>
      </c>
      <c r="O171" s="16">
        <f t="shared" si="84"/>
        <v>33930.910000000003</v>
      </c>
      <c r="P171" s="16">
        <f t="shared" si="85"/>
        <v>403.93940476190483</v>
      </c>
      <c r="Q171" s="16">
        <f t="shared" si="86"/>
        <v>0</v>
      </c>
      <c r="R171" s="16">
        <f t="shared" si="87"/>
        <v>0</v>
      </c>
      <c r="S171" s="16">
        <f t="shared" si="88"/>
        <v>0</v>
      </c>
      <c r="T171" s="16">
        <v>1</v>
      </c>
      <c r="U171" s="16">
        <f t="shared" si="89"/>
        <v>0</v>
      </c>
      <c r="V171" s="16"/>
      <c r="W171" s="16">
        <f t="shared" si="90"/>
        <v>0</v>
      </c>
      <c r="X171" s="16">
        <f t="shared" si="91"/>
        <v>0</v>
      </c>
      <c r="Y171" s="16">
        <v>1</v>
      </c>
      <c r="Z171" s="16">
        <f t="shared" si="92"/>
        <v>0</v>
      </c>
      <c r="AA171" s="16">
        <f t="shared" si="93"/>
        <v>0</v>
      </c>
      <c r="AB171" s="16">
        <f t="shared" si="94"/>
        <v>16965.455000000002</v>
      </c>
      <c r="AC171" s="16">
        <f t="shared" si="78"/>
        <v>2017.25</v>
      </c>
      <c r="AD171" s="16">
        <f t="shared" si="79"/>
        <v>1</v>
      </c>
      <c r="AE171" s="16">
        <f t="shared" si="80"/>
        <v>2024.25</v>
      </c>
      <c r="AF171" s="16">
        <f t="shared" si="81"/>
        <v>0</v>
      </c>
      <c r="AG171" s="16">
        <f t="shared" si="82"/>
        <v>-8.3333333333333329E-2</v>
      </c>
    </row>
    <row r="172" spans="1:33">
      <c r="A172" s="6">
        <v>179132</v>
      </c>
      <c r="B172" s="26">
        <v>450</v>
      </c>
      <c r="C172" s="27" t="s">
        <v>346</v>
      </c>
      <c r="D172" s="26">
        <v>2017</v>
      </c>
      <c r="E172" s="26">
        <v>4</v>
      </c>
      <c r="F172" s="58"/>
      <c r="H172" s="26" t="s">
        <v>51</v>
      </c>
      <c r="I172" s="26">
        <v>7</v>
      </c>
      <c r="J172" s="26">
        <f>D172+I172</f>
        <v>2024</v>
      </c>
      <c r="M172" s="16">
        <v>19387.97</v>
      </c>
      <c r="O172" s="16">
        <f>M172-M172*F172</f>
        <v>19387.97</v>
      </c>
      <c r="P172" s="16">
        <f>O172/I172/12</f>
        <v>230.80916666666667</v>
      </c>
      <c r="Q172" s="16">
        <f>IF(N172&gt;0,0,IF(OR(AC172&gt;AD172,AE172&lt;AF172),0,IF(AND(AE172&gt;=AF172,AE172&lt;=AD172),P172*((AE172-AF172)*12),IF(AND(AF172&lt;=AC172,AD172&gt;=AC172),((AD172-AC172)*12)*P172,IF(AE172&gt;AD172,12*P172,0)))))</f>
        <v>0</v>
      </c>
      <c r="R172" s="16">
        <f>IF(N172=0,0,IF(AND(AG172&gt;=AF172,AG172&lt;=AE172),((AG172-AF172)*12)*P172,0))</f>
        <v>0</v>
      </c>
      <c r="S172" s="16">
        <f>IF(R172&gt;0,R172,Q172)</f>
        <v>0</v>
      </c>
      <c r="T172" s="16">
        <v>1</v>
      </c>
      <c r="U172" s="16">
        <f>T172*SUM(Q172:R172)</f>
        <v>0</v>
      </c>
      <c r="V172" s="16"/>
      <c r="W172" s="16">
        <f>IF(AC172&gt;AD172,0,IF(AE172&lt;AF172,O172,IF(AND(AE172&gt;=AF172,AE172&lt;=AD172),(O172-S172),IF(AND(AF172&lt;=AC172,AD172&gt;=AC172),0,IF(AE172&gt;AD172,((AF172-AC172)*12)*P172,0)))))</f>
        <v>0</v>
      </c>
      <c r="X172" s="16">
        <f>W172*T172</f>
        <v>0</v>
      </c>
      <c r="Y172" s="16">
        <v>1</v>
      </c>
      <c r="Z172" s="16">
        <f>X172*Y172</f>
        <v>0</v>
      </c>
      <c r="AA172" s="16">
        <f>IF(N172&gt;0,0,Z172+U172*Y172)*Y172</f>
        <v>0</v>
      </c>
      <c r="AB172" s="16">
        <f>IF(N172&gt;0,(M172-Z172)/2,IF(AC172&gt;=AF172,(((M172*T172)*Y172)-AA172)/2,((((M172*T172)*Y172)-Z172)+(((M172*T172)*Y172)-AA172))/2))</f>
        <v>9693.9850000000006</v>
      </c>
      <c r="AC172" s="16">
        <f t="shared" si="78"/>
        <v>2017.25</v>
      </c>
      <c r="AD172" s="16">
        <f t="shared" si="79"/>
        <v>1</v>
      </c>
      <c r="AE172" s="16">
        <f t="shared" si="80"/>
        <v>2024.25</v>
      </c>
      <c r="AF172" s="16">
        <f t="shared" si="81"/>
        <v>0</v>
      </c>
      <c r="AG172" s="16">
        <f t="shared" si="82"/>
        <v>-8.3333333333333329E-2</v>
      </c>
    </row>
    <row r="173" spans="1:33">
      <c r="B173" s="26"/>
      <c r="C173" s="27"/>
      <c r="D173" s="26"/>
      <c r="E173" s="26"/>
      <c r="F173" s="58"/>
      <c r="H173" s="26"/>
      <c r="M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</row>
    <row r="174" spans="1:33">
      <c r="B174" s="26"/>
      <c r="C174" s="27"/>
      <c r="D174" s="26"/>
      <c r="E174" s="26"/>
      <c r="F174" s="58"/>
      <c r="H174" s="26"/>
      <c r="M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</row>
    <row r="175" spans="1:33">
      <c r="B175" s="26"/>
      <c r="C175" s="27"/>
      <c r="D175" s="26"/>
      <c r="E175" s="26"/>
      <c r="F175" s="58"/>
      <c r="H175" s="26"/>
      <c r="M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</row>
    <row r="176" spans="1:33">
      <c r="A176" s="31"/>
      <c r="B176" s="31">
        <f>SUM(B134:B175)</f>
        <v>17762</v>
      </c>
      <c r="C176" s="31" t="s">
        <v>256</v>
      </c>
      <c r="D176" s="32"/>
      <c r="E176" s="32"/>
      <c r="F176" s="33"/>
      <c r="H176" s="26"/>
      <c r="I176" s="32"/>
      <c r="J176" s="32"/>
      <c r="M176" s="34">
        <f>SUM(M134:M175)</f>
        <v>710441.01000000024</v>
      </c>
      <c r="O176" s="34">
        <f>SUM(O134:O175)</f>
        <v>710441.01000000024</v>
      </c>
      <c r="P176" s="34">
        <f>SUM(P134:P175)</f>
        <v>7926.9929047619034</v>
      </c>
      <c r="Q176" s="34">
        <f>SUM(Q134:Q175)</f>
        <v>0</v>
      </c>
      <c r="R176" s="34"/>
      <c r="S176" s="34">
        <f>SUM(S134:S175)</f>
        <v>0</v>
      </c>
      <c r="T176" s="34"/>
      <c r="U176" s="34">
        <f>SUM(U134:U175)</f>
        <v>0</v>
      </c>
      <c r="V176" s="34"/>
      <c r="W176" s="34">
        <f>SUM(W134:W175)</f>
        <v>0</v>
      </c>
      <c r="X176" s="34">
        <f>SUM(X134:X175)</f>
        <v>0</v>
      </c>
      <c r="Y176" s="34"/>
      <c r="Z176" s="34">
        <f>SUM(Z134:Z175)</f>
        <v>0</v>
      </c>
      <c r="AA176" s="34">
        <f>SUM(AA134:AA175)</f>
        <v>0</v>
      </c>
      <c r="AB176" s="34">
        <f>SUM(AB134:AB175)</f>
        <v>355220.50500000012</v>
      </c>
    </row>
    <row r="177" spans="1:33">
      <c r="D177" s="26"/>
      <c r="E177" s="26"/>
      <c r="F177" s="58"/>
      <c r="H177" s="26"/>
      <c r="M177" s="30"/>
    </row>
    <row r="178" spans="1:33">
      <c r="D178" s="26"/>
      <c r="E178" s="26"/>
      <c r="F178" s="58"/>
      <c r="H178" s="26"/>
      <c r="M178" s="30"/>
    </row>
    <row r="179" spans="1:33">
      <c r="D179" s="26"/>
      <c r="E179" s="26"/>
      <c r="H179" s="26"/>
      <c r="M179" s="30"/>
    </row>
    <row r="180" spans="1:33">
      <c r="C180" s="31" t="s">
        <v>78</v>
      </c>
      <c r="D180" s="26"/>
      <c r="E180" s="26"/>
      <c r="H180" s="26"/>
      <c r="M180" s="30"/>
    </row>
    <row r="181" spans="1:33">
      <c r="B181" s="6">
        <v>1050</v>
      </c>
      <c r="C181" s="27" t="s">
        <v>155</v>
      </c>
      <c r="D181" s="26">
        <v>2004</v>
      </c>
      <c r="E181" s="26">
        <v>3</v>
      </c>
      <c r="F181" s="58"/>
      <c r="H181" s="26" t="s">
        <v>51</v>
      </c>
      <c r="I181" s="26">
        <v>10</v>
      </c>
      <c r="J181" s="26">
        <f t="shared" ref="J181:J186" si="95">D181+I181</f>
        <v>2014</v>
      </c>
      <c r="M181" s="16">
        <v>5619.43</v>
      </c>
      <c r="O181" s="16">
        <f t="shared" ref="O181:O186" si="96">M181-M181*F181</f>
        <v>5619.43</v>
      </c>
      <c r="P181" s="16">
        <f t="shared" ref="P181:P186" si="97">O181/I181/12</f>
        <v>46.828583333333334</v>
      </c>
      <c r="Q181" s="16">
        <f t="shared" ref="Q181:Q186" si="98">IF(N181&gt;0,0,IF(OR(AC181&gt;AD181,AE181&lt;AF181),0,IF(AND(AE181&gt;=AF181,AE181&lt;=AD181),P181*((AE181-AF181)*12),IF(AND(AF181&lt;=AC181,AD181&gt;=AC181),((AD181-AC181)*12)*P181,IF(AE181&gt;AD181,12*P181,0)))))</f>
        <v>0</v>
      </c>
      <c r="R181" s="16">
        <f t="shared" ref="R181:R186" si="99">IF(N181=0,0,IF(AND(AG181&gt;=AF181,AG181&lt;=AE181),((AG181-AF181)*12)*P181,0))</f>
        <v>0</v>
      </c>
      <c r="S181" s="16">
        <f t="shared" ref="S181:S186" si="100">IF(R181&gt;0,R181,Q181)</f>
        <v>0</v>
      </c>
      <c r="T181" s="16">
        <v>1</v>
      </c>
      <c r="U181" s="16">
        <f t="shared" ref="U181:U186" si="101">T181*SUM(Q181:R181)</f>
        <v>0</v>
      </c>
      <c r="V181" s="16"/>
      <c r="W181" s="16">
        <f t="shared" ref="W181:W186" si="102">IF(AC181&gt;AD181,0,IF(AE181&lt;AF181,O181,IF(AND(AE181&gt;=AF181,AE181&lt;=AD181),(O181-S181),IF(AND(AF181&lt;=AC181,AD181&gt;=AC181),0,IF(AE181&gt;AD181,((AF181-AC181)*12)*P181,0)))))</f>
        <v>0</v>
      </c>
      <c r="X181" s="16">
        <f t="shared" ref="X181:X186" si="103">W181*T181</f>
        <v>0</v>
      </c>
      <c r="Y181" s="16">
        <v>1</v>
      </c>
      <c r="Z181" s="16">
        <f t="shared" ref="Z181:Z186" si="104">X181*Y181</f>
        <v>0</v>
      </c>
      <c r="AA181" s="16">
        <f t="shared" ref="AA181:AA186" si="105">IF(N181&gt;0,0,Z181+U181*Y181)*Y181</f>
        <v>0</v>
      </c>
      <c r="AB181" s="16">
        <f t="shared" ref="AB181:AB186" si="106">IF(N181&gt;0,(M181-Z181)/2,IF(AC181&gt;=AF181,(((M181*T181)*Y181)-AA181)/2,((((M181*T181)*Y181)-Z181)+(((M181*T181)*Y181)-AA181))/2))</f>
        <v>2809.7150000000001</v>
      </c>
      <c r="AC181" s="16">
        <f t="shared" ref="AC181:AC196" si="107">$D181+(($E181-1)/12)</f>
        <v>2004.1666666666667</v>
      </c>
      <c r="AD181" s="16">
        <f t="shared" ref="AD181:AD196" si="108">($O$5+1)-($O$2/12)</f>
        <v>1</v>
      </c>
      <c r="AE181" s="16">
        <f t="shared" ref="AE181:AE196" si="109">$J181+(($E181-1)/12)</f>
        <v>2014.1666666666667</v>
      </c>
      <c r="AF181" s="16">
        <f t="shared" ref="AF181:AF196" si="110">$O$4+($O$3/12)</f>
        <v>0</v>
      </c>
      <c r="AG181" s="16">
        <f t="shared" ref="AG181:AG196" si="111">$K181+(($L181-1)/12)</f>
        <v>-8.3333333333333329E-2</v>
      </c>
    </row>
    <row r="182" spans="1:33">
      <c r="B182" s="6">
        <v>5000</v>
      </c>
      <c r="C182" s="27" t="s">
        <v>212</v>
      </c>
      <c r="D182" s="26">
        <v>2008</v>
      </c>
      <c r="E182" s="26">
        <v>3</v>
      </c>
      <c r="F182" s="58"/>
      <c r="H182" s="26" t="s">
        <v>51</v>
      </c>
      <c r="I182" s="26">
        <v>10</v>
      </c>
      <c r="J182" s="26">
        <f t="shared" si="95"/>
        <v>2018</v>
      </c>
      <c r="M182" s="16">
        <f>25450+2138</f>
        <v>27588</v>
      </c>
      <c r="O182" s="16">
        <f t="shared" si="96"/>
        <v>27588</v>
      </c>
      <c r="P182" s="16">
        <f t="shared" si="97"/>
        <v>229.9</v>
      </c>
      <c r="Q182" s="16">
        <f t="shared" si="98"/>
        <v>0</v>
      </c>
      <c r="R182" s="16">
        <f t="shared" si="99"/>
        <v>0</v>
      </c>
      <c r="S182" s="16">
        <f t="shared" si="100"/>
        <v>0</v>
      </c>
      <c r="T182" s="16">
        <v>1</v>
      </c>
      <c r="U182" s="16">
        <f t="shared" si="101"/>
        <v>0</v>
      </c>
      <c r="V182" s="16"/>
      <c r="W182" s="16">
        <f t="shared" si="102"/>
        <v>0</v>
      </c>
      <c r="X182" s="16">
        <f t="shared" si="103"/>
        <v>0</v>
      </c>
      <c r="Y182" s="16">
        <v>1</v>
      </c>
      <c r="Z182" s="16">
        <f t="shared" si="104"/>
        <v>0</v>
      </c>
      <c r="AA182" s="16">
        <f t="shared" si="105"/>
        <v>0</v>
      </c>
      <c r="AB182" s="16">
        <f t="shared" si="106"/>
        <v>13794</v>
      </c>
      <c r="AC182" s="16">
        <f t="shared" si="107"/>
        <v>2008.1666666666667</v>
      </c>
      <c r="AD182" s="16">
        <f t="shared" si="108"/>
        <v>1</v>
      </c>
      <c r="AE182" s="16">
        <f t="shared" si="109"/>
        <v>2018.1666666666667</v>
      </c>
      <c r="AF182" s="16">
        <f t="shared" si="110"/>
        <v>0</v>
      </c>
      <c r="AG182" s="16">
        <f t="shared" si="111"/>
        <v>-8.3333333333333329E-2</v>
      </c>
    </row>
    <row r="183" spans="1:33">
      <c r="B183" s="6">
        <v>960</v>
      </c>
      <c r="C183" s="27" t="s">
        <v>212</v>
      </c>
      <c r="D183" s="26">
        <v>2011</v>
      </c>
      <c r="E183" s="26">
        <v>5</v>
      </c>
      <c r="F183" s="58"/>
      <c r="H183" s="26" t="s">
        <v>51</v>
      </c>
      <c r="I183" s="26">
        <v>10</v>
      </c>
      <c r="J183" s="26">
        <f t="shared" si="95"/>
        <v>2021</v>
      </c>
      <c r="M183" s="16">
        <v>6929.61</v>
      </c>
      <c r="O183" s="16">
        <f t="shared" si="96"/>
        <v>6929.61</v>
      </c>
      <c r="P183" s="16">
        <f t="shared" si="97"/>
        <v>57.746749999999999</v>
      </c>
      <c r="Q183" s="16">
        <f t="shared" si="98"/>
        <v>0</v>
      </c>
      <c r="R183" s="16">
        <f t="shared" si="99"/>
        <v>0</v>
      </c>
      <c r="S183" s="16">
        <f t="shared" si="100"/>
        <v>0</v>
      </c>
      <c r="T183" s="16">
        <v>1</v>
      </c>
      <c r="U183" s="16">
        <f t="shared" si="101"/>
        <v>0</v>
      </c>
      <c r="V183" s="16"/>
      <c r="W183" s="16">
        <f t="shared" si="102"/>
        <v>0</v>
      </c>
      <c r="X183" s="16">
        <f t="shared" si="103"/>
        <v>0</v>
      </c>
      <c r="Y183" s="16">
        <v>1</v>
      </c>
      <c r="Z183" s="16">
        <f t="shared" si="104"/>
        <v>0</v>
      </c>
      <c r="AA183" s="16">
        <f t="shared" si="105"/>
        <v>0</v>
      </c>
      <c r="AB183" s="16">
        <f t="shared" si="106"/>
        <v>3464.8049999999998</v>
      </c>
      <c r="AC183" s="16">
        <f t="shared" si="107"/>
        <v>2011.3333333333333</v>
      </c>
      <c r="AD183" s="16">
        <f t="shared" si="108"/>
        <v>1</v>
      </c>
      <c r="AE183" s="16">
        <f t="shared" si="109"/>
        <v>2021.3333333333333</v>
      </c>
      <c r="AF183" s="16">
        <f t="shared" si="110"/>
        <v>0</v>
      </c>
      <c r="AG183" s="16">
        <f t="shared" si="111"/>
        <v>-8.3333333333333329E-2</v>
      </c>
    </row>
    <row r="184" spans="1:33">
      <c r="B184" s="6">
        <v>720</v>
      </c>
      <c r="C184" s="27" t="s">
        <v>212</v>
      </c>
      <c r="D184" s="26">
        <v>2013</v>
      </c>
      <c r="E184" s="26">
        <v>12</v>
      </c>
      <c r="F184" s="58"/>
      <c r="H184" s="26" t="s">
        <v>51</v>
      </c>
      <c r="I184" s="26">
        <v>10</v>
      </c>
      <c r="J184" s="26">
        <f t="shared" si="95"/>
        <v>2023</v>
      </c>
      <c r="M184" s="16">
        <v>5853.6</v>
      </c>
      <c r="O184" s="16">
        <f t="shared" si="96"/>
        <v>5853.6</v>
      </c>
      <c r="P184" s="16">
        <f t="shared" si="97"/>
        <v>48.78</v>
      </c>
      <c r="Q184" s="16">
        <f t="shared" si="98"/>
        <v>0</v>
      </c>
      <c r="R184" s="16">
        <f t="shared" si="99"/>
        <v>0</v>
      </c>
      <c r="S184" s="16">
        <f t="shared" si="100"/>
        <v>0</v>
      </c>
      <c r="T184" s="16">
        <v>1</v>
      </c>
      <c r="U184" s="16">
        <f t="shared" si="101"/>
        <v>0</v>
      </c>
      <c r="V184" s="16"/>
      <c r="W184" s="16">
        <f t="shared" si="102"/>
        <v>0</v>
      </c>
      <c r="X184" s="16">
        <f t="shared" si="103"/>
        <v>0</v>
      </c>
      <c r="Y184" s="16">
        <v>1</v>
      </c>
      <c r="Z184" s="16">
        <f t="shared" si="104"/>
        <v>0</v>
      </c>
      <c r="AA184" s="16">
        <f t="shared" si="105"/>
        <v>0</v>
      </c>
      <c r="AB184" s="16">
        <f t="shared" si="106"/>
        <v>2926.8</v>
      </c>
      <c r="AC184" s="16">
        <f t="shared" si="107"/>
        <v>2013.9166666666667</v>
      </c>
      <c r="AD184" s="16">
        <f t="shared" si="108"/>
        <v>1</v>
      </c>
      <c r="AE184" s="16">
        <f t="shared" si="109"/>
        <v>2023.9166666666667</v>
      </c>
      <c r="AF184" s="16">
        <f t="shared" si="110"/>
        <v>0</v>
      </c>
      <c r="AG184" s="16">
        <f t="shared" si="111"/>
        <v>-8.3333333333333329E-2</v>
      </c>
    </row>
    <row r="185" spans="1:33">
      <c r="A185" s="6">
        <v>120257</v>
      </c>
      <c r="B185" s="6">
        <v>720</v>
      </c>
      <c r="C185" s="27" t="s">
        <v>212</v>
      </c>
      <c r="D185" s="26">
        <v>2015</v>
      </c>
      <c r="E185" s="26">
        <v>1</v>
      </c>
      <c r="F185" s="58"/>
      <c r="H185" s="26" t="s">
        <v>51</v>
      </c>
      <c r="I185" s="26">
        <v>10</v>
      </c>
      <c r="J185" s="26">
        <f t="shared" si="95"/>
        <v>2025</v>
      </c>
      <c r="M185" s="16">
        <v>6126.77</v>
      </c>
      <c r="O185" s="16">
        <f t="shared" si="96"/>
        <v>6126.77</v>
      </c>
      <c r="P185" s="16">
        <f t="shared" si="97"/>
        <v>51.056416666666671</v>
      </c>
      <c r="Q185" s="16">
        <f t="shared" si="98"/>
        <v>0</v>
      </c>
      <c r="R185" s="16">
        <f t="shared" si="99"/>
        <v>0</v>
      </c>
      <c r="S185" s="16">
        <f t="shared" si="100"/>
        <v>0</v>
      </c>
      <c r="T185" s="16">
        <v>1</v>
      </c>
      <c r="U185" s="16">
        <f t="shared" si="101"/>
        <v>0</v>
      </c>
      <c r="V185" s="16"/>
      <c r="W185" s="16">
        <f t="shared" si="102"/>
        <v>0</v>
      </c>
      <c r="X185" s="16">
        <f t="shared" si="103"/>
        <v>0</v>
      </c>
      <c r="Y185" s="16">
        <v>1</v>
      </c>
      <c r="Z185" s="16">
        <f t="shared" si="104"/>
        <v>0</v>
      </c>
      <c r="AA185" s="16">
        <f t="shared" si="105"/>
        <v>0</v>
      </c>
      <c r="AB185" s="16">
        <f t="shared" si="106"/>
        <v>3063.3850000000002</v>
      </c>
      <c r="AC185" s="16">
        <f t="shared" si="107"/>
        <v>2015</v>
      </c>
      <c r="AD185" s="16">
        <f t="shared" si="108"/>
        <v>1</v>
      </c>
      <c r="AE185" s="16">
        <f t="shared" si="109"/>
        <v>2025</v>
      </c>
      <c r="AF185" s="16">
        <f t="shared" si="110"/>
        <v>0</v>
      </c>
      <c r="AG185" s="16">
        <f t="shared" si="111"/>
        <v>-8.3333333333333329E-2</v>
      </c>
    </row>
    <row r="186" spans="1:33">
      <c r="A186" s="6">
        <v>128144</v>
      </c>
      <c r="B186" s="6">
        <v>720</v>
      </c>
      <c r="C186" s="27" t="s">
        <v>212</v>
      </c>
      <c r="D186" s="26">
        <v>2015</v>
      </c>
      <c r="E186" s="26">
        <v>11</v>
      </c>
      <c r="F186" s="58"/>
      <c r="H186" s="26" t="s">
        <v>51</v>
      </c>
      <c r="I186" s="26">
        <v>10</v>
      </c>
      <c r="J186" s="26">
        <f t="shared" si="95"/>
        <v>2025</v>
      </c>
      <c r="M186" s="16">
        <v>6126.77</v>
      </c>
      <c r="O186" s="16">
        <f t="shared" si="96"/>
        <v>6126.77</v>
      </c>
      <c r="P186" s="16">
        <f t="shared" si="97"/>
        <v>51.056416666666671</v>
      </c>
      <c r="Q186" s="16">
        <f t="shared" si="98"/>
        <v>0</v>
      </c>
      <c r="R186" s="16">
        <f t="shared" si="99"/>
        <v>0</v>
      </c>
      <c r="S186" s="16">
        <f t="shared" si="100"/>
        <v>0</v>
      </c>
      <c r="T186" s="16">
        <v>1</v>
      </c>
      <c r="U186" s="16">
        <f t="shared" si="101"/>
        <v>0</v>
      </c>
      <c r="V186" s="16"/>
      <c r="W186" s="16">
        <f t="shared" si="102"/>
        <v>0</v>
      </c>
      <c r="X186" s="16">
        <f t="shared" si="103"/>
        <v>0</v>
      </c>
      <c r="Y186" s="16">
        <v>1</v>
      </c>
      <c r="Z186" s="16">
        <f t="shared" si="104"/>
        <v>0</v>
      </c>
      <c r="AA186" s="16">
        <f t="shared" si="105"/>
        <v>0</v>
      </c>
      <c r="AB186" s="16">
        <f t="shared" si="106"/>
        <v>3063.3850000000002</v>
      </c>
      <c r="AC186" s="16">
        <f t="shared" si="107"/>
        <v>2015.8333333333333</v>
      </c>
      <c r="AD186" s="16">
        <f t="shared" si="108"/>
        <v>1</v>
      </c>
      <c r="AE186" s="16">
        <f t="shared" si="109"/>
        <v>2025.8333333333333</v>
      </c>
      <c r="AF186" s="16">
        <f t="shared" si="110"/>
        <v>0</v>
      </c>
      <c r="AG186" s="16">
        <f t="shared" si="111"/>
        <v>-8.3333333333333329E-2</v>
      </c>
    </row>
    <row r="187" spans="1:33">
      <c r="C187" s="27"/>
      <c r="D187" s="26"/>
      <c r="E187" s="26"/>
      <c r="F187" s="58"/>
      <c r="H187" s="26"/>
      <c r="M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</row>
    <row r="188" spans="1:33">
      <c r="A188" s="6">
        <v>132477</v>
      </c>
      <c r="B188" s="6">
        <v>1800</v>
      </c>
      <c r="C188" s="27" t="s">
        <v>212</v>
      </c>
      <c r="D188" s="26">
        <v>2016</v>
      </c>
      <c r="E188" s="26">
        <v>4</v>
      </c>
      <c r="F188" s="58"/>
      <c r="H188" s="26" t="s">
        <v>51</v>
      </c>
      <c r="I188" s="26">
        <v>10</v>
      </c>
      <c r="J188" s="26">
        <f>D188+I188</f>
        <v>2026</v>
      </c>
      <c r="M188" s="16">
        <v>15181</v>
      </c>
      <c r="O188" s="16">
        <f>M188-M188*F188</f>
        <v>15181</v>
      </c>
      <c r="P188" s="16">
        <f>O188/I188/12</f>
        <v>126.50833333333333</v>
      </c>
      <c r="Q188" s="16">
        <f>IF(N188&gt;0,0,IF(OR(AC188&gt;AD188,AE188&lt;AF188),0,IF(AND(AE188&gt;=AF188,AE188&lt;=AD188),P188*((AE188-AF188)*12),IF(AND(AF188&lt;=AC188,AD188&gt;=AC188),((AD188-AC188)*12)*P188,IF(AE188&gt;AD188,12*P188,0)))))</f>
        <v>0</v>
      </c>
      <c r="R188" s="16">
        <f>IF(N188=0,0,IF(AND(AG188&gt;=AF188,AG188&lt;=AE188),((AG188-AF188)*12)*P188,0))</f>
        <v>0</v>
      </c>
      <c r="S188" s="16">
        <f>IF(R188&gt;0,R188,Q188)</f>
        <v>0</v>
      </c>
      <c r="T188" s="16">
        <v>1</v>
      </c>
      <c r="U188" s="16">
        <f>T188*SUM(Q188:R188)</f>
        <v>0</v>
      </c>
      <c r="V188" s="16"/>
      <c r="W188" s="16">
        <f>IF(AC188&gt;AD188,0,IF(AE188&lt;AF188,O188,IF(AND(AE188&gt;=AF188,AE188&lt;=AD188),(O188-S188),IF(AND(AF188&lt;=AC188,AD188&gt;=AC188),0,IF(AE188&gt;AD188,((AF188-AC188)*12)*P188,0)))))</f>
        <v>0</v>
      </c>
      <c r="X188" s="16">
        <f>W188*T188</f>
        <v>0</v>
      </c>
      <c r="Y188" s="16">
        <v>1</v>
      </c>
      <c r="Z188" s="16">
        <f>X188*Y188</f>
        <v>0</v>
      </c>
      <c r="AA188" s="16">
        <f>IF(N188&gt;0,0,Z188+U188*Y188)*Y188</f>
        <v>0</v>
      </c>
      <c r="AB188" s="16">
        <f>IF(N188&gt;0,(M188-Z188)/2,IF(AC188&gt;=AF188,(((M188*T188)*Y188)-AA188)/2,((((M188*T188)*Y188)-Z188)+(((M188*T188)*Y188)-AA188))/2))</f>
        <v>7590.5</v>
      </c>
      <c r="AC188" s="16">
        <f t="shared" si="107"/>
        <v>2016.25</v>
      </c>
      <c r="AD188" s="16">
        <f t="shared" si="108"/>
        <v>1</v>
      </c>
      <c r="AE188" s="16">
        <f t="shared" si="109"/>
        <v>2026.25</v>
      </c>
      <c r="AF188" s="16">
        <f t="shared" si="110"/>
        <v>0</v>
      </c>
      <c r="AG188" s="16">
        <f t="shared" si="111"/>
        <v>-8.3333333333333329E-2</v>
      </c>
    </row>
    <row r="189" spans="1:33">
      <c r="C189" s="27"/>
      <c r="D189" s="26"/>
      <c r="E189" s="26"/>
      <c r="F189" s="58"/>
      <c r="H189" s="26"/>
      <c r="M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3">
      <c r="A190" s="6">
        <v>179887</v>
      </c>
      <c r="B190" s="6">
        <v>624</v>
      </c>
      <c r="C190" s="27" t="s">
        <v>357</v>
      </c>
      <c r="D190" s="26">
        <v>2017</v>
      </c>
      <c r="E190" s="26">
        <v>4</v>
      </c>
      <c r="F190" s="58"/>
      <c r="H190" s="26" t="s">
        <v>51</v>
      </c>
      <c r="I190" s="26">
        <v>7</v>
      </c>
      <c r="J190" s="26">
        <f t="shared" ref="J190:J196" si="112">D190+I190</f>
        <v>2024</v>
      </c>
      <c r="M190" s="16">
        <v>32539.06</v>
      </c>
      <c r="O190" s="16">
        <f t="shared" ref="O190:O196" si="113">M190-M190*F190</f>
        <v>32539.06</v>
      </c>
      <c r="P190" s="16">
        <f t="shared" ref="P190:P196" si="114">O190/I190/12</f>
        <v>387.3697619047619</v>
      </c>
      <c r="Q190" s="16">
        <f t="shared" ref="Q190:Q196" si="115">IF(N190&gt;0,0,IF(OR(AC190&gt;AD190,AE190&lt;AF190),0,IF(AND(AE190&gt;=AF190,AE190&lt;=AD190),P190*((AE190-AF190)*12),IF(AND(AF190&lt;=AC190,AD190&gt;=AC190),((AD190-AC190)*12)*P190,IF(AE190&gt;AD190,12*P190,0)))))</f>
        <v>0</v>
      </c>
      <c r="R190" s="16">
        <f t="shared" ref="R190:R196" si="116">IF(N190=0,0,IF(AND(AG190&gt;=AF190,AG190&lt;=AE190),((AG190-AF190)*12)*P190,0))</f>
        <v>0</v>
      </c>
      <c r="S190" s="16">
        <f t="shared" ref="S190:S196" si="117">IF(R190&gt;0,R190,Q190)</f>
        <v>0</v>
      </c>
      <c r="T190" s="16">
        <v>1</v>
      </c>
      <c r="U190" s="16">
        <f t="shared" ref="U190:U196" si="118">T190*SUM(Q190:R190)</f>
        <v>0</v>
      </c>
      <c r="V190" s="16"/>
      <c r="W190" s="16">
        <f t="shared" ref="W190:W196" si="119">IF(AC190&gt;AD190,0,IF(AE190&lt;AF190,O190,IF(AND(AE190&gt;=AF190,AE190&lt;=AD190),(O190-S190),IF(AND(AF190&lt;=AC190,AD190&gt;=AC190),0,IF(AE190&gt;AD190,((AF190-AC190)*12)*P190,0)))))</f>
        <v>0</v>
      </c>
      <c r="X190" s="16">
        <f t="shared" ref="X190:X196" si="120">W190*T190</f>
        <v>0</v>
      </c>
      <c r="Y190" s="16">
        <v>1</v>
      </c>
      <c r="Z190" s="16">
        <f t="shared" ref="Z190:Z196" si="121">X190*Y190</f>
        <v>0</v>
      </c>
      <c r="AA190" s="16">
        <f t="shared" ref="AA190:AA196" si="122">IF(N190&gt;0,0,Z190+U190*Y190)*Y190</f>
        <v>0</v>
      </c>
      <c r="AB190" s="16">
        <f t="shared" ref="AB190:AB196" si="123">IF(N190&gt;0,(M190-Z190)/2,IF(AC190&gt;=AF190,(((M190*T190)*Y190)-AA190)/2,((((M190*T190)*Y190)-Z190)+(((M190*T190)*Y190)-AA190))/2))</f>
        <v>16269.53</v>
      </c>
      <c r="AC190" s="16">
        <f t="shared" si="107"/>
        <v>2017.25</v>
      </c>
      <c r="AD190" s="16">
        <f t="shared" si="108"/>
        <v>1</v>
      </c>
      <c r="AE190" s="16">
        <f t="shared" si="109"/>
        <v>2024.25</v>
      </c>
      <c r="AF190" s="16">
        <f t="shared" si="110"/>
        <v>0</v>
      </c>
      <c r="AG190" s="16">
        <f t="shared" si="111"/>
        <v>-8.3333333333333329E-2</v>
      </c>
    </row>
    <row r="191" spans="1:33">
      <c r="A191" s="6">
        <v>179932</v>
      </c>
      <c r="B191" s="6">
        <v>624</v>
      </c>
      <c r="C191" s="27" t="s">
        <v>357</v>
      </c>
      <c r="D191" s="26">
        <v>2017</v>
      </c>
      <c r="E191" s="26">
        <v>4</v>
      </c>
      <c r="F191" s="58"/>
      <c r="H191" s="26" t="s">
        <v>51</v>
      </c>
      <c r="I191" s="26">
        <v>7</v>
      </c>
      <c r="J191" s="26">
        <f t="shared" si="112"/>
        <v>2024</v>
      </c>
      <c r="M191" s="16">
        <v>32539.06</v>
      </c>
      <c r="O191" s="16">
        <f t="shared" si="113"/>
        <v>32539.06</v>
      </c>
      <c r="P191" s="16">
        <f t="shared" si="114"/>
        <v>387.3697619047619</v>
      </c>
      <c r="Q191" s="16">
        <f t="shared" si="115"/>
        <v>0</v>
      </c>
      <c r="R191" s="16">
        <f t="shared" si="116"/>
        <v>0</v>
      </c>
      <c r="S191" s="16">
        <f t="shared" si="117"/>
        <v>0</v>
      </c>
      <c r="T191" s="16">
        <v>1</v>
      </c>
      <c r="U191" s="16">
        <f t="shared" si="118"/>
        <v>0</v>
      </c>
      <c r="V191" s="16"/>
      <c r="W191" s="16">
        <f t="shared" si="119"/>
        <v>0</v>
      </c>
      <c r="X191" s="16">
        <f t="shared" si="120"/>
        <v>0</v>
      </c>
      <c r="Y191" s="16">
        <v>1</v>
      </c>
      <c r="Z191" s="16">
        <f t="shared" si="121"/>
        <v>0</v>
      </c>
      <c r="AA191" s="16">
        <f t="shared" si="122"/>
        <v>0</v>
      </c>
      <c r="AB191" s="16">
        <f t="shared" si="123"/>
        <v>16269.53</v>
      </c>
      <c r="AC191" s="16">
        <f t="shared" si="107"/>
        <v>2017.25</v>
      </c>
      <c r="AD191" s="16">
        <f t="shared" si="108"/>
        <v>1</v>
      </c>
      <c r="AE191" s="16">
        <f t="shared" si="109"/>
        <v>2024.25</v>
      </c>
      <c r="AF191" s="16">
        <f t="shared" si="110"/>
        <v>0</v>
      </c>
      <c r="AG191" s="16">
        <f t="shared" si="111"/>
        <v>-8.3333333333333329E-2</v>
      </c>
    </row>
    <row r="192" spans="1:33">
      <c r="A192" s="6">
        <v>179933</v>
      </c>
      <c r="B192" s="6">
        <v>624</v>
      </c>
      <c r="C192" s="27" t="s">
        <v>357</v>
      </c>
      <c r="D192" s="26">
        <v>2017</v>
      </c>
      <c r="E192" s="26">
        <v>4</v>
      </c>
      <c r="F192" s="58"/>
      <c r="H192" s="26" t="s">
        <v>51</v>
      </c>
      <c r="I192" s="26">
        <v>7</v>
      </c>
      <c r="J192" s="26">
        <f t="shared" si="112"/>
        <v>2024</v>
      </c>
      <c r="M192" s="16">
        <v>32539.06</v>
      </c>
      <c r="O192" s="16">
        <f t="shared" si="113"/>
        <v>32539.06</v>
      </c>
      <c r="P192" s="16">
        <f t="shared" si="114"/>
        <v>387.3697619047619</v>
      </c>
      <c r="Q192" s="16">
        <f t="shared" si="115"/>
        <v>0</v>
      </c>
      <c r="R192" s="16">
        <f t="shared" si="116"/>
        <v>0</v>
      </c>
      <c r="S192" s="16">
        <f t="shared" si="117"/>
        <v>0</v>
      </c>
      <c r="T192" s="16">
        <v>1</v>
      </c>
      <c r="U192" s="16">
        <f t="shared" si="118"/>
        <v>0</v>
      </c>
      <c r="V192" s="16"/>
      <c r="W192" s="16">
        <f t="shared" si="119"/>
        <v>0</v>
      </c>
      <c r="X192" s="16">
        <f t="shared" si="120"/>
        <v>0</v>
      </c>
      <c r="Y192" s="16">
        <v>1</v>
      </c>
      <c r="Z192" s="16">
        <f t="shared" si="121"/>
        <v>0</v>
      </c>
      <c r="AA192" s="16">
        <f t="shared" si="122"/>
        <v>0</v>
      </c>
      <c r="AB192" s="16">
        <f t="shared" si="123"/>
        <v>16269.53</v>
      </c>
      <c r="AC192" s="16">
        <f t="shared" si="107"/>
        <v>2017.25</v>
      </c>
      <c r="AD192" s="16">
        <f t="shared" si="108"/>
        <v>1</v>
      </c>
      <c r="AE192" s="16">
        <f t="shared" si="109"/>
        <v>2024.25</v>
      </c>
      <c r="AF192" s="16">
        <f t="shared" si="110"/>
        <v>0</v>
      </c>
      <c r="AG192" s="16">
        <f t="shared" si="111"/>
        <v>-8.3333333333333329E-2</v>
      </c>
    </row>
    <row r="193" spans="1:33">
      <c r="A193" s="6">
        <v>180264</v>
      </c>
      <c r="B193" s="6">
        <v>380</v>
      </c>
      <c r="C193" s="27" t="s">
        <v>358</v>
      </c>
      <c r="D193" s="26">
        <v>2017</v>
      </c>
      <c r="E193" s="26">
        <v>4</v>
      </c>
      <c r="F193" s="58"/>
      <c r="H193" s="26" t="s">
        <v>51</v>
      </c>
      <c r="I193" s="26">
        <v>7</v>
      </c>
      <c r="J193" s="26">
        <f t="shared" si="112"/>
        <v>2024</v>
      </c>
      <c r="M193" s="16">
        <v>20835.12</v>
      </c>
      <c r="O193" s="16">
        <f t="shared" si="113"/>
        <v>20835.12</v>
      </c>
      <c r="P193" s="16">
        <f t="shared" si="114"/>
        <v>248.03714285714284</v>
      </c>
      <c r="Q193" s="16">
        <f t="shared" si="115"/>
        <v>0</v>
      </c>
      <c r="R193" s="16">
        <f t="shared" si="116"/>
        <v>0</v>
      </c>
      <c r="S193" s="16">
        <f t="shared" si="117"/>
        <v>0</v>
      </c>
      <c r="T193" s="16">
        <v>1</v>
      </c>
      <c r="U193" s="16">
        <f t="shared" si="118"/>
        <v>0</v>
      </c>
      <c r="V193" s="16"/>
      <c r="W193" s="16">
        <f t="shared" si="119"/>
        <v>0</v>
      </c>
      <c r="X193" s="16">
        <f t="shared" si="120"/>
        <v>0</v>
      </c>
      <c r="Y193" s="16">
        <v>1</v>
      </c>
      <c r="Z193" s="16">
        <f t="shared" si="121"/>
        <v>0</v>
      </c>
      <c r="AA193" s="16">
        <f t="shared" si="122"/>
        <v>0</v>
      </c>
      <c r="AB193" s="16">
        <f t="shared" si="123"/>
        <v>10417.56</v>
      </c>
      <c r="AC193" s="16">
        <f t="shared" si="107"/>
        <v>2017.25</v>
      </c>
      <c r="AD193" s="16">
        <f t="shared" si="108"/>
        <v>1</v>
      </c>
      <c r="AE193" s="16">
        <f t="shared" si="109"/>
        <v>2024.25</v>
      </c>
      <c r="AF193" s="16">
        <f t="shared" si="110"/>
        <v>0</v>
      </c>
      <c r="AG193" s="16">
        <f t="shared" si="111"/>
        <v>-8.3333333333333329E-2</v>
      </c>
    </row>
    <row r="194" spans="1:33">
      <c r="A194" s="6">
        <v>181057</v>
      </c>
      <c r="B194" s="6">
        <v>624</v>
      </c>
      <c r="C194" s="27" t="s">
        <v>357</v>
      </c>
      <c r="D194" s="26">
        <v>2017</v>
      </c>
      <c r="E194" s="26">
        <v>4</v>
      </c>
      <c r="F194" s="58"/>
      <c r="H194" s="26" t="s">
        <v>51</v>
      </c>
      <c r="I194" s="26">
        <v>7</v>
      </c>
      <c r="J194" s="26">
        <f t="shared" si="112"/>
        <v>2024</v>
      </c>
      <c r="M194" s="16">
        <v>32539.06</v>
      </c>
      <c r="O194" s="16">
        <f t="shared" si="113"/>
        <v>32539.06</v>
      </c>
      <c r="P194" s="16">
        <f t="shared" si="114"/>
        <v>387.3697619047619</v>
      </c>
      <c r="Q194" s="16">
        <f t="shared" si="115"/>
        <v>0</v>
      </c>
      <c r="R194" s="16">
        <f t="shared" si="116"/>
        <v>0</v>
      </c>
      <c r="S194" s="16">
        <f t="shared" si="117"/>
        <v>0</v>
      </c>
      <c r="T194" s="16">
        <v>1</v>
      </c>
      <c r="U194" s="16">
        <f t="shared" si="118"/>
        <v>0</v>
      </c>
      <c r="V194" s="16"/>
      <c r="W194" s="16">
        <f t="shared" si="119"/>
        <v>0</v>
      </c>
      <c r="X194" s="16">
        <f t="shared" si="120"/>
        <v>0</v>
      </c>
      <c r="Y194" s="16">
        <v>1</v>
      </c>
      <c r="Z194" s="16">
        <f t="shared" si="121"/>
        <v>0</v>
      </c>
      <c r="AA194" s="16">
        <f t="shared" si="122"/>
        <v>0</v>
      </c>
      <c r="AB194" s="16">
        <f t="shared" si="123"/>
        <v>16269.53</v>
      </c>
      <c r="AC194" s="16">
        <f t="shared" si="107"/>
        <v>2017.25</v>
      </c>
      <c r="AD194" s="16">
        <f t="shared" si="108"/>
        <v>1</v>
      </c>
      <c r="AE194" s="16">
        <f t="shared" si="109"/>
        <v>2024.25</v>
      </c>
      <c r="AF194" s="16">
        <f t="shared" si="110"/>
        <v>0</v>
      </c>
      <c r="AG194" s="16">
        <f t="shared" si="111"/>
        <v>-8.3333333333333329E-2</v>
      </c>
    </row>
    <row r="195" spans="1:33">
      <c r="A195" s="6">
        <v>183526</v>
      </c>
      <c r="B195" s="6">
        <v>624</v>
      </c>
      <c r="C195" s="27" t="s">
        <v>359</v>
      </c>
      <c r="D195" s="26">
        <v>2017</v>
      </c>
      <c r="E195" s="26">
        <v>6</v>
      </c>
      <c r="F195" s="58"/>
      <c r="H195" s="26" t="s">
        <v>51</v>
      </c>
      <c r="I195" s="26">
        <v>7</v>
      </c>
      <c r="J195" s="26">
        <f t="shared" si="112"/>
        <v>2024</v>
      </c>
      <c r="M195" s="16">
        <v>32732.59</v>
      </c>
      <c r="O195" s="16">
        <f t="shared" si="113"/>
        <v>32732.59</v>
      </c>
      <c r="P195" s="16">
        <f t="shared" si="114"/>
        <v>389.67369047619053</v>
      </c>
      <c r="Q195" s="16">
        <f t="shared" si="115"/>
        <v>0</v>
      </c>
      <c r="R195" s="16">
        <f t="shared" si="116"/>
        <v>0</v>
      </c>
      <c r="S195" s="16">
        <f t="shared" si="117"/>
        <v>0</v>
      </c>
      <c r="T195" s="16">
        <v>1</v>
      </c>
      <c r="U195" s="16">
        <f t="shared" si="118"/>
        <v>0</v>
      </c>
      <c r="V195" s="16"/>
      <c r="W195" s="16">
        <f t="shared" si="119"/>
        <v>0</v>
      </c>
      <c r="X195" s="16">
        <f t="shared" si="120"/>
        <v>0</v>
      </c>
      <c r="Y195" s="16">
        <v>1</v>
      </c>
      <c r="Z195" s="16">
        <f t="shared" si="121"/>
        <v>0</v>
      </c>
      <c r="AA195" s="16">
        <f t="shared" si="122"/>
        <v>0</v>
      </c>
      <c r="AB195" s="16">
        <f t="shared" si="123"/>
        <v>16366.295</v>
      </c>
      <c r="AC195" s="16">
        <f t="shared" si="107"/>
        <v>2017.4166666666667</v>
      </c>
      <c r="AD195" s="16">
        <f t="shared" si="108"/>
        <v>1</v>
      </c>
      <c r="AE195" s="16">
        <f t="shared" si="109"/>
        <v>2024.4166666666667</v>
      </c>
      <c r="AF195" s="16">
        <f t="shared" si="110"/>
        <v>0</v>
      </c>
      <c r="AG195" s="16">
        <f t="shared" si="111"/>
        <v>-8.3333333333333329E-2</v>
      </c>
    </row>
    <row r="196" spans="1:33">
      <c r="A196" s="6">
        <v>183527</v>
      </c>
      <c r="B196" s="6">
        <v>624</v>
      </c>
      <c r="C196" s="27" t="s">
        <v>359</v>
      </c>
      <c r="D196" s="26">
        <v>2017</v>
      </c>
      <c r="E196" s="26">
        <v>6</v>
      </c>
      <c r="F196" s="58"/>
      <c r="H196" s="26" t="s">
        <v>51</v>
      </c>
      <c r="I196" s="26">
        <v>7</v>
      </c>
      <c r="J196" s="26">
        <f t="shared" si="112"/>
        <v>2024</v>
      </c>
      <c r="M196" s="16">
        <v>32732.59</v>
      </c>
      <c r="O196" s="16">
        <f t="shared" si="113"/>
        <v>32732.59</v>
      </c>
      <c r="P196" s="16">
        <f t="shared" si="114"/>
        <v>389.67369047619053</v>
      </c>
      <c r="Q196" s="16">
        <f t="shared" si="115"/>
        <v>0</v>
      </c>
      <c r="R196" s="16">
        <f t="shared" si="116"/>
        <v>0</v>
      </c>
      <c r="S196" s="16">
        <f t="shared" si="117"/>
        <v>0</v>
      </c>
      <c r="T196" s="16">
        <v>1</v>
      </c>
      <c r="U196" s="16">
        <f t="shared" si="118"/>
        <v>0</v>
      </c>
      <c r="V196" s="16"/>
      <c r="W196" s="16">
        <f t="shared" si="119"/>
        <v>0</v>
      </c>
      <c r="X196" s="16">
        <f t="shared" si="120"/>
        <v>0</v>
      </c>
      <c r="Y196" s="16">
        <v>1</v>
      </c>
      <c r="Z196" s="16">
        <f t="shared" si="121"/>
        <v>0</v>
      </c>
      <c r="AA196" s="16">
        <f t="shared" si="122"/>
        <v>0</v>
      </c>
      <c r="AB196" s="16">
        <f t="shared" si="123"/>
        <v>16366.295</v>
      </c>
      <c r="AC196" s="16">
        <f t="shared" si="107"/>
        <v>2017.4166666666667</v>
      </c>
      <c r="AD196" s="16">
        <f t="shared" si="108"/>
        <v>1</v>
      </c>
      <c r="AE196" s="16">
        <f t="shared" si="109"/>
        <v>2024.4166666666667</v>
      </c>
      <c r="AF196" s="16">
        <f t="shared" si="110"/>
        <v>0</v>
      </c>
      <c r="AG196" s="16">
        <f t="shared" si="111"/>
        <v>-8.3333333333333329E-2</v>
      </c>
    </row>
    <row r="197" spans="1:33">
      <c r="B197" s="26"/>
      <c r="C197" s="27"/>
      <c r="D197" s="26"/>
      <c r="E197" s="26"/>
      <c r="F197" s="58"/>
      <c r="H197" s="26"/>
      <c r="M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</row>
    <row r="198" spans="1:33">
      <c r="A198" s="31"/>
      <c r="B198" s="31">
        <f>SUM(B181:B197)</f>
        <v>15094</v>
      </c>
      <c r="C198" s="31" t="s">
        <v>177</v>
      </c>
      <c r="D198" s="32"/>
      <c r="E198" s="32"/>
      <c r="F198" s="33"/>
      <c r="H198" s="26"/>
      <c r="I198" s="32"/>
      <c r="J198" s="32"/>
      <c r="M198" s="34">
        <f>SUM(M181:M197)</f>
        <v>289881.72000000003</v>
      </c>
      <c r="O198" s="34">
        <f>SUM(O181:O197)</f>
        <v>289881.72000000003</v>
      </c>
      <c r="P198" s="34">
        <f>SUM(P181:P197)</f>
        <v>3188.7400714285718</v>
      </c>
      <c r="Q198" s="34">
        <f>SUM(Q181:Q197)</f>
        <v>0</v>
      </c>
      <c r="R198" s="34"/>
      <c r="S198" s="34">
        <f>SUM(S181:S197)</f>
        <v>0</v>
      </c>
      <c r="T198" s="34"/>
      <c r="U198" s="34">
        <f>SUM(U181:U197)</f>
        <v>0</v>
      </c>
      <c r="V198" s="34"/>
      <c r="W198" s="34">
        <f>SUM(W181:W197)</f>
        <v>0</v>
      </c>
      <c r="X198" s="34">
        <f>SUM(X181:X197)</f>
        <v>0</v>
      </c>
      <c r="Y198" s="34"/>
      <c r="Z198" s="34">
        <f>SUM(Z181:Z197)</f>
        <v>0</v>
      </c>
      <c r="AA198" s="34">
        <f>SUM(AA181:AA197)</f>
        <v>0</v>
      </c>
      <c r="AB198" s="34">
        <f>SUM(AB181:AB197)</f>
        <v>144940.86000000002</v>
      </c>
    </row>
    <row r="199" spans="1:33">
      <c r="D199" s="26"/>
      <c r="E199" s="26"/>
      <c r="F199" s="58"/>
      <c r="H199" s="26"/>
      <c r="M199" s="30"/>
    </row>
    <row r="200" spans="1:33" s="31" customFormat="1">
      <c r="C200" s="31" t="s">
        <v>268</v>
      </c>
      <c r="D200" s="32"/>
      <c r="E200" s="32"/>
      <c r="F200" s="33"/>
      <c r="H200" s="32"/>
      <c r="I200" s="32"/>
      <c r="J200" s="32"/>
      <c r="M200" s="34">
        <f>M198+M131+M176+M98</f>
        <v>2379121.8742105262</v>
      </c>
      <c r="O200" s="34">
        <f>O198+O131+O176+O98</f>
        <v>2379121.8742105262</v>
      </c>
      <c r="P200" s="34">
        <f>P198+P131+P176+P98</f>
        <v>24315.241517439434</v>
      </c>
      <c r="Q200" s="34">
        <f>Q198+Q131+Q176+Q98</f>
        <v>0</v>
      </c>
      <c r="R200" s="34"/>
      <c r="S200" s="34">
        <f>S198+S131+S176+S98</f>
        <v>0</v>
      </c>
      <c r="T200" s="34"/>
      <c r="U200" s="34">
        <f>U198+U131+U176+U98</f>
        <v>0</v>
      </c>
      <c r="V200" s="34"/>
      <c r="W200" s="34">
        <f>W198+W131+W176+W98</f>
        <v>0</v>
      </c>
      <c r="X200" s="34">
        <f>X198+X131+X176+X98</f>
        <v>0</v>
      </c>
      <c r="Y200" s="34"/>
      <c r="Z200" s="34">
        <f>Z198+Z131+Z176+Z98</f>
        <v>0</v>
      </c>
      <c r="AA200" s="34">
        <f>AA198+AA131+AA176+AA98</f>
        <v>0</v>
      </c>
      <c r="AB200" s="34">
        <f>AB198+AB131+AB176+AB98</f>
        <v>1189560.9371052631</v>
      </c>
    </row>
    <row r="201" spans="1:33" s="31" customFormat="1">
      <c r="H201" s="32"/>
      <c r="I201" s="32"/>
      <c r="J201" s="32"/>
    </row>
    <row r="202" spans="1:33">
      <c r="C202" s="27"/>
      <c r="H202" s="26"/>
    </row>
    <row r="203" spans="1:33">
      <c r="C203" s="27"/>
      <c r="H203" s="26"/>
      <c r="O203" s="59"/>
    </row>
    <row r="204" spans="1:33">
      <c r="C204" s="50"/>
      <c r="H204" s="26"/>
      <c r="M204" s="30"/>
    </row>
    <row r="205" spans="1:33">
      <c r="H205" s="28"/>
      <c r="I205" s="28"/>
      <c r="M205" s="30"/>
    </row>
    <row r="206" spans="1:33">
      <c r="H206" s="28"/>
      <c r="I206" s="28"/>
      <c r="M206" s="30"/>
    </row>
    <row r="207" spans="1:33">
      <c r="H207" s="28"/>
      <c r="I207" s="28"/>
      <c r="M207" s="30"/>
    </row>
    <row r="208" spans="1:33">
      <c r="H208" s="28"/>
      <c r="I208" s="28"/>
      <c r="M208" s="30"/>
    </row>
    <row r="209" spans="2:33" s="60" customFormat="1">
      <c r="C209" s="61" t="s">
        <v>238</v>
      </c>
      <c r="H209" s="62"/>
      <c r="I209" s="62"/>
      <c r="J209" s="63"/>
      <c r="M209" s="64"/>
    </row>
    <row r="210" spans="2:33" s="60" customFormat="1">
      <c r="B210" s="63">
        <v>10</v>
      </c>
      <c r="C210" s="61" t="s">
        <v>170</v>
      </c>
      <c r="D210" s="63">
        <v>2009</v>
      </c>
      <c r="E210" s="63">
        <v>12</v>
      </c>
      <c r="F210" s="65"/>
      <c r="H210" s="63" t="s">
        <v>51</v>
      </c>
      <c r="I210" s="63">
        <v>10</v>
      </c>
      <c r="J210" s="63">
        <f>D210+I210</f>
        <v>2019</v>
      </c>
      <c r="M210" s="66">
        <f>4890+710.7+470.46</f>
        <v>6071.16</v>
      </c>
      <c r="O210" s="66">
        <f>M210-M210*F210</f>
        <v>6071.16</v>
      </c>
      <c r="P210" s="66">
        <f>O210/I210/12</f>
        <v>50.592999999999996</v>
      </c>
      <c r="Q210" s="66">
        <f>IF(N210&gt;0,0,IF(OR(AC210&gt;AD210,AE210&lt;AF210),0,IF(AND(AE210&gt;=AF210,AE210&lt;=AD210),P210*((AE210-AF210)*12),IF(AND(AF210&lt;=AC210,AD210&gt;=AC210),((AD210-AC210)*12)*P210,IF(AE210&gt;AD210,12*P210,0)))))</f>
        <v>0</v>
      </c>
      <c r="R210" s="66">
        <f>IF(N210=0,0,IF(AND(AG210&gt;=AF210,AG210&lt;=AE210),((AG210-AF210)*12)*P210,0))</f>
        <v>0</v>
      </c>
      <c r="S210" s="66">
        <f>IF(R210&gt;0,R210,Q210)</f>
        <v>0</v>
      </c>
      <c r="T210" s="66">
        <v>1</v>
      </c>
      <c r="U210" s="66">
        <f>T210*SUM(Q210:R210)</f>
        <v>0</v>
      </c>
      <c r="V210" s="66"/>
      <c r="W210" s="66">
        <f>IF(AC210&gt;AD210,0,IF(AE210&lt;AF210,O210,IF(AND(AE210&gt;=AF210,AE210&lt;=AD210),(O210-S210),IF(AND(AF210&lt;=AC210,AD210&gt;=AC210),0,IF(AE210&gt;AD210,((AF210-AC210)*12)*P210,0)))))</f>
        <v>0</v>
      </c>
      <c r="X210" s="66">
        <f>W210*T210</f>
        <v>0</v>
      </c>
      <c r="Y210" s="66">
        <v>1</v>
      </c>
      <c r="Z210" s="66">
        <f>X210*Y210</f>
        <v>0</v>
      </c>
      <c r="AA210" s="66">
        <f>IF(N210&gt;0,0,Z210+U210*Y210)*Y210</f>
        <v>0</v>
      </c>
      <c r="AB210" s="66">
        <f>IF(N210&gt;0,(M210-Z210)/2,IF(AC210&gt;=AF210,(((M210*T210)*Y210)-AA210)/2,((((M210*T210)*Y210)-Z210)+(((M210*T210)*Y210)-AA210))/2))</f>
        <v>3035.58</v>
      </c>
      <c r="AC210" s="66">
        <f>$D210+(($E210-1)/12)</f>
        <v>2009.9166666666667</v>
      </c>
      <c r="AD210" s="66">
        <f>($O$5+1)-($O$2/12)</f>
        <v>1</v>
      </c>
      <c r="AE210" s="66">
        <f>$J210+(($E210-1)/12)</f>
        <v>2019.9166666666667</v>
      </c>
      <c r="AF210" s="66">
        <f>$O$4+($O$3/12)</f>
        <v>0</v>
      </c>
      <c r="AG210" s="66">
        <f>$K210+(($L210-1)/12)</f>
        <v>-8.3333333333333329E-2</v>
      </c>
    </row>
    <row r="211" spans="2:33" s="60" customFormat="1">
      <c r="B211" s="63">
        <v>10</v>
      </c>
      <c r="C211" s="61" t="s">
        <v>230</v>
      </c>
      <c r="D211" s="63">
        <v>2009</v>
      </c>
      <c r="E211" s="63">
        <v>12</v>
      </c>
      <c r="F211" s="65"/>
      <c r="H211" s="63" t="s">
        <v>51</v>
      </c>
      <c r="I211" s="63">
        <v>10</v>
      </c>
      <c r="J211" s="63">
        <f>D211+I211</f>
        <v>2019</v>
      </c>
      <c r="M211" s="66">
        <v>6569.8</v>
      </c>
      <c r="O211" s="66">
        <f>M211-M211*F211</f>
        <v>6569.8</v>
      </c>
      <c r="P211" s="66">
        <f>O211/I211/12</f>
        <v>54.748333333333335</v>
      </c>
      <c r="Q211" s="66">
        <f>IF(N211&gt;0,0,IF(OR(AC211&gt;AD211,AE211&lt;AF211),0,IF(AND(AE211&gt;=AF211,AE211&lt;=AD211),P211*((AE211-AF211)*12),IF(AND(AF211&lt;=AC211,AD211&gt;=AC211),((AD211-AC211)*12)*P211,IF(AE211&gt;AD211,12*P211,0)))))</f>
        <v>0</v>
      </c>
      <c r="R211" s="66">
        <f>IF(N211=0,0,IF(AND(AG211&gt;=AF211,AG211&lt;=AE211),((AG211-AF211)*12)*P211,0))</f>
        <v>0</v>
      </c>
      <c r="S211" s="66">
        <f>IF(R211&gt;0,R211,Q211)</f>
        <v>0</v>
      </c>
      <c r="T211" s="66">
        <v>1</v>
      </c>
      <c r="U211" s="66">
        <f>T211*SUM(Q211:R211)</f>
        <v>0</v>
      </c>
      <c r="V211" s="66"/>
      <c r="W211" s="66">
        <f>IF(AC211&gt;AD211,0,IF(AE211&lt;AF211,O211,IF(AND(AE211&gt;=AF211,AE211&lt;=AD211),(O211-S211),IF(AND(AF211&lt;=AC211,AD211&gt;=AC211),0,IF(AE211&gt;AD211,((AF211-AC211)*12)*P211,0)))))</f>
        <v>0</v>
      </c>
      <c r="X211" s="66">
        <f>W211*T211</f>
        <v>0</v>
      </c>
      <c r="Y211" s="66">
        <v>1</v>
      </c>
      <c r="Z211" s="66">
        <f>X211*Y211</f>
        <v>0</v>
      </c>
      <c r="AA211" s="66">
        <f>IF(N211&gt;0,0,Z211+U211*Y211)*Y211</f>
        <v>0</v>
      </c>
      <c r="AB211" s="66">
        <f>IF(N211&gt;0,(M211-Z211)/2,IF(AC211&gt;=AF211,(((M211*T211)*Y211)-AA211)/2,((((M211*T211)*Y211)-Z211)+(((M211*T211)*Y211)-AA211))/2))</f>
        <v>3284.9</v>
      </c>
      <c r="AC211" s="66">
        <f>$D211+(($E211-1)/12)</f>
        <v>2009.9166666666667</v>
      </c>
      <c r="AD211" s="66">
        <f>($O$5+1)-($O$2/12)</f>
        <v>1</v>
      </c>
      <c r="AE211" s="66">
        <f>$J211+(($E211-1)/12)</f>
        <v>2019.9166666666667</v>
      </c>
      <c r="AF211" s="66">
        <f>$O$4+($O$3/12)</f>
        <v>0</v>
      </c>
      <c r="AG211" s="66">
        <f>$K211+(($L211-1)/12)</f>
        <v>-8.3333333333333329E-2</v>
      </c>
    </row>
    <row r="212" spans="2:33" s="60" customFormat="1">
      <c r="B212" s="63">
        <v>10</v>
      </c>
      <c r="C212" s="61" t="s">
        <v>231</v>
      </c>
      <c r="D212" s="63">
        <v>2009</v>
      </c>
      <c r="E212" s="63">
        <v>12</v>
      </c>
      <c r="F212" s="65"/>
      <c r="H212" s="63" t="s">
        <v>51</v>
      </c>
      <c r="I212" s="63">
        <v>10</v>
      </c>
      <c r="J212" s="63">
        <f>D212+I212</f>
        <v>2019</v>
      </c>
      <c r="M212" s="66">
        <v>6645.57</v>
      </c>
      <c r="O212" s="66">
        <f>M212-M212*F212</f>
        <v>6645.57</v>
      </c>
      <c r="P212" s="66">
        <f>O212/I212/12</f>
        <v>55.379750000000001</v>
      </c>
      <c r="Q212" s="66">
        <f>IF(N212&gt;0,0,IF(OR(AC212&gt;AD212,AE212&lt;AF212),0,IF(AND(AE212&gt;=AF212,AE212&lt;=AD212),P212*((AE212-AF212)*12),IF(AND(AF212&lt;=AC212,AD212&gt;=AC212),((AD212-AC212)*12)*P212,IF(AE212&gt;AD212,12*P212,0)))))</f>
        <v>0</v>
      </c>
      <c r="R212" s="66">
        <f>IF(N212=0,0,IF(AND(AG212&gt;=AF212,AG212&lt;=AE212),((AG212-AF212)*12)*P212,0))</f>
        <v>0</v>
      </c>
      <c r="S212" s="66">
        <f>IF(R212&gt;0,R212,Q212)</f>
        <v>0</v>
      </c>
      <c r="T212" s="66">
        <v>1</v>
      </c>
      <c r="U212" s="66">
        <f>T212*SUM(Q212:R212)</f>
        <v>0</v>
      </c>
      <c r="V212" s="66"/>
      <c r="W212" s="66">
        <f>IF(AC212&gt;AD212,0,IF(AE212&lt;AF212,O212,IF(AND(AE212&gt;=AF212,AE212&lt;=AD212),(O212-S212),IF(AND(AF212&lt;=AC212,AD212&gt;=AC212),0,IF(AE212&gt;AD212,((AF212-AC212)*12)*P212,0)))))</f>
        <v>0</v>
      </c>
      <c r="X212" s="66">
        <f>W212*T212</f>
        <v>0</v>
      </c>
      <c r="Y212" s="66">
        <v>1</v>
      </c>
      <c r="Z212" s="66">
        <f>X212*Y212</f>
        <v>0</v>
      </c>
      <c r="AA212" s="66">
        <f>IF(N212&gt;0,0,Z212+U212*Y212)*Y212</f>
        <v>0</v>
      </c>
      <c r="AB212" s="66">
        <f>IF(N212&gt;0,(M212-Z212)/2,IF(AC212&gt;=AF212,(((M212*T212)*Y212)-AA212)/2,((((M212*T212)*Y212)-Z212)+(((M212*T212)*Y212)-AA212))/2))</f>
        <v>3322.7849999999999</v>
      </c>
      <c r="AC212" s="66">
        <f>$D212+(($E212-1)/12)</f>
        <v>2009.9166666666667</v>
      </c>
      <c r="AD212" s="66">
        <f>($O$5+1)-($O$2/12)</f>
        <v>1</v>
      </c>
      <c r="AE212" s="66">
        <f>$J212+(($E212-1)/12)</f>
        <v>2019.9166666666667</v>
      </c>
      <c r="AF212" s="66">
        <f>$O$4+($O$3/12)</f>
        <v>0</v>
      </c>
      <c r="AG212" s="66">
        <f>$K212+(($L212-1)/12)</f>
        <v>-8.3333333333333329E-2</v>
      </c>
    </row>
    <row r="213" spans="2:33" s="60" customFormat="1">
      <c r="B213" s="63"/>
      <c r="C213" s="61"/>
      <c r="D213" s="63"/>
      <c r="E213" s="63"/>
      <c r="F213" s="65"/>
      <c r="H213" s="63"/>
      <c r="I213" s="63"/>
      <c r="J213" s="63"/>
      <c r="M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</row>
    <row r="214" spans="2:33" s="60" customFormat="1">
      <c r="C214" s="60" t="s">
        <v>241</v>
      </c>
      <c r="H214" s="63"/>
      <c r="I214" s="63"/>
      <c r="J214" s="63"/>
      <c r="M214" s="64"/>
    </row>
    <row r="215" spans="2:33" s="60" customFormat="1">
      <c r="H215" s="63"/>
      <c r="I215" s="63"/>
      <c r="J215" s="63"/>
      <c r="M215" s="64"/>
    </row>
    <row r="216" spans="2:33">
      <c r="C216" s="113" t="s">
        <v>279</v>
      </c>
      <c r="H216" s="26"/>
      <c r="M216" s="30"/>
    </row>
    <row r="217" spans="2:33" s="60" customFormat="1">
      <c r="B217" s="60">
        <v>115</v>
      </c>
      <c r="C217" s="61" t="s">
        <v>139</v>
      </c>
      <c r="D217" s="63">
        <v>2001</v>
      </c>
      <c r="E217" s="63">
        <v>8</v>
      </c>
      <c r="F217" s="65"/>
      <c r="H217" s="63" t="s">
        <v>51</v>
      </c>
      <c r="I217" s="63">
        <v>5</v>
      </c>
      <c r="J217" s="63">
        <f>D217+I217</f>
        <v>2006</v>
      </c>
      <c r="M217" s="66">
        <v>935.82</v>
      </c>
      <c r="O217" s="66">
        <f>M217-M217*F217</f>
        <v>935.82</v>
      </c>
      <c r="P217" s="66">
        <f>O217/I217/12</f>
        <v>15.597000000000001</v>
      </c>
      <c r="Q217" s="66">
        <f>IF(N217&gt;0,0,IF(OR(AC217&gt;AD217,AE217&lt;AF217),0,IF(AND(AE217&gt;=AF217,AE217&lt;=AD217),P217*((AE217-AF217)*12),IF(AND(AF217&lt;=AC217,AD217&gt;=AC217),((AD217-AC217)*12)*P217,IF(AE217&gt;AD217,12*P217,0)))))</f>
        <v>0</v>
      </c>
      <c r="R217" s="66">
        <f>IF(N217=0,0,IF(AND(AG217&gt;=AF217,AG217&lt;=AE217),((AG217-AF217)*12)*P217,0))</f>
        <v>0</v>
      </c>
      <c r="S217" s="66">
        <f>IF(R217&gt;0,R217,Q217)</f>
        <v>0</v>
      </c>
      <c r="T217" s="66">
        <v>1</v>
      </c>
      <c r="U217" s="66">
        <f>T217*SUM(Q217:R217)</f>
        <v>0</v>
      </c>
      <c r="V217" s="66"/>
      <c r="W217" s="66">
        <f>IF(AC217&gt;AD217,0,IF(AE217&lt;AF217,O217,IF(AND(AE217&gt;=AF217,AE217&lt;=AD217),(O217-S217),IF(AND(AF217&lt;=AC217,AD217&gt;=AC217),0,IF(AE217&gt;AD217,((AF217-AC217)*12)*P217,0)))))</f>
        <v>0</v>
      </c>
      <c r="X217" s="66">
        <f>W217*T217</f>
        <v>0</v>
      </c>
      <c r="Y217" s="66">
        <v>1</v>
      </c>
      <c r="Z217" s="66">
        <f>X217*Y217</f>
        <v>0</v>
      </c>
      <c r="AA217" s="66">
        <f>IF(N217&gt;0,0,Z217+U217*Y217)*Y217</f>
        <v>0</v>
      </c>
      <c r="AB217" s="66">
        <f>IF(N217&gt;0,(M217-Z217)/2,IF(AC217&gt;=AF217,(((M217*T217)*Y217)-AA217)/2,((((M217*T217)*Y217)-Z217)+(((M217*T217)*Y217)-AA217))/2))</f>
        <v>467.91</v>
      </c>
      <c r="AC217" s="66">
        <f>$D217+(($E217-1)/12)</f>
        <v>2001.5833333333333</v>
      </c>
      <c r="AD217" s="66">
        <f>($O$5+1)-($O$2/12)</f>
        <v>1</v>
      </c>
      <c r="AE217" s="66">
        <f>$J217+(($E217-1)/12)</f>
        <v>2006.5833333333333</v>
      </c>
      <c r="AF217" s="66">
        <f>$O$4+($O$3/12)</f>
        <v>0</v>
      </c>
      <c r="AG217" s="66">
        <f>$K217+(($L217-1)/12)</f>
        <v>-8.3333333333333329E-2</v>
      </c>
    </row>
    <row r="218" spans="2:33" s="60" customFormat="1">
      <c r="B218" s="60">
        <v>400</v>
      </c>
      <c r="C218" s="61" t="s">
        <v>141</v>
      </c>
      <c r="D218" s="63">
        <v>2002</v>
      </c>
      <c r="E218" s="63">
        <v>8</v>
      </c>
      <c r="F218" s="65"/>
      <c r="H218" s="63" t="s">
        <v>51</v>
      </c>
      <c r="I218" s="63">
        <v>10</v>
      </c>
      <c r="J218" s="63">
        <f>D218+I218</f>
        <v>2012</v>
      </c>
      <c r="M218" s="66">
        <v>1950.66</v>
      </c>
      <c r="O218" s="66">
        <f>M218-M218*F218</f>
        <v>1950.66</v>
      </c>
      <c r="P218" s="66">
        <f>O218/I218/12</f>
        <v>16.255500000000001</v>
      </c>
      <c r="Q218" s="66">
        <f>IF(N218&gt;0,0,IF(OR(AC218&gt;AD218,AE218&lt;AF218),0,IF(AND(AE218&gt;=AF218,AE218&lt;=AD218),P218*((AE218-AF218)*12),IF(AND(AF218&lt;=AC218,AD218&gt;=AC218),((AD218-AC218)*12)*P218,IF(AE218&gt;AD218,12*P218,0)))))</f>
        <v>0</v>
      </c>
      <c r="R218" s="66">
        <f>IF(N218=0,0,IF(AND(AG218&gt;=AF218,AG218&lt;=AE218),((AG218-AF218)*12)*P218,0))</f>
        <v>0</v>
      </c>
      <c r="S218" s="66">
        <f>IF(R218&gt;0,R218,Q218)</f>
        <v>0</v>
      </c>
      <c r="T218" s="66">
        <v>1</v>
      </c>
      <c r="U218" s="66">
        <f>T218*SUM(Q218:R218)</f>
        <v>0</v>
      </c>
      <c r="V218" s="66"/>
      <c r="W218" s="66">
        <f>IF(AC218&gt;AD218,0,IF(AE218&lt;AF218,O218,IF(AND(AE218&gt;=AF218,AE218&lt;=AD218),(O218-S218),IF(AND(AF218&lt;=AC218,AD218&gt;=AC218),0,IF(AE218&gt;AD218,((AF218-AC218)*12)*P218,0)))))</f>
        <v>0</v>
      </c>
      <c r="X218" s="66">
        <f>W218*T218</f>
        <v>0</v>
      </c>
      <c r="Y218" s="66">
        <v>1</v>
      </c>
      <c r="Z218" s="66">
        <f>X218*Y218</f>
        <v>0</v>
      </c>
      <c r="AA218" s="66">
        <f>IF(N218&gt;0,0,Z218+U218*Y218)*Y218</f>
        <v>0</v>
      </c>
      <c r="AB218" s="66">
        <f>IF(N218&gt;0,(M218-Z218)/2,IF(AC218&gt;=AF218,(((M218*T218)*Y218)-AA218)/2,((((M218*T218)*Y218)-Z218)+(((M218*T218)*Y218)-AA218))/2))</f>
        <v>975.33</v>
      </c>
      <c r="AC218" s="66">
        <f>$D218+(($E218-1)/12)</f>
        <v>2002.5833333333333</v>
      </c>
      <c r="AD218" s="66">
        <f>($O$5+1)-($O$2/12)</f>
        <v>1</v>
      </c>
      <c r="AE218" s="66">
        <f>$J218+(($E218-1)/12)</f>
        <v>2012.5833333333333</v>
      </c>
      <c r="AF218" s="66">
        <f>$O$4+($O$3/12)</f>
        <v>0</v>
      </c>
      <c r="AG218" s="66">
        <f>$K218+(($L218-1)/12)</f>
        <v>-8.3333333333333329E-2</v>
      </c>
    </row>
    <row r="219" spans="2:33" s="60" customFormat="1">
      <c r="B219" s="60">
        <v>500</v>
      </c>
      <c r="C219" s="61" t="s">
        <v>144</v>
      </c>
      <c r="D219" s="63">
        <v>2003</v>
      </c>
      <c r="E219" s="63">
        <v>3</v>
      </c>
      <c r="F219" s="65"/>
      <c r="H219" s="63" t="s">
        <v>51</v>
      </c>
      <c r="I219" s="63">
        <v>5</v>
      </c>
      <c r="J219" s="63">
        <f>D219+I219</f>
        <v>2008</v>
      </c>
      <c r="M219" s="66">
        <v>6138.47</v>
      </c>
      <c r="O219" s="66">
        <f>M219-M219*F219</f>
        <v>6138.47</v>
      </c>
      <c r="P219" s="66">
        <f>O219/I219/12</f>
        <v>102.30783333333333</v>
      </c>
      <c r="Q219" s="66">
        <f>IF(N219&gt;0,0,IF(OR(AC219&gt;AD219,AE219&lt;AF219),0,IF(AND(AE219&gt;=AF219,AE219&lt;=AD219),P219*((AE219-AF219)*12),IF(AND(AF219&lt;=AC219,AD219&gt;=AC219),((AD219-AC219)*12)*P219,IF(AE219&gt;AD219,12*P219,0)))))</f>
        <v>0</v>
      </c>
      <c r="R219" s="66">
        <f>IF(N219=0,0,IF(AND(AG219&gt;=AF219,AG219&lt;=AE219),((AG219-AF219)*12)*P219,0))</f>
        <v>0</v>
      </c>
      <c r="S219" s="66">
        <f>IF(R219&gt;0,R219,Q219)</f>
        <v>0</v>
      </c>
      <c r="T219" s="66">
        <v>1</v>
      </c>
      <c r="U219" s="66">
        <f>T219*SUM(Q219:R219)</f>
        <v>0</v>
      </c>
      <c r="V219" s="66"/>
      <c r="W219" s="66">
        <f>IF(AC219&gt;AD219,0,IF(AE219&lt;AF219,O219,IF(AND(AE219&gt;=AF219,AE219&lt;=AD219),(O219-S219),IF(AND(AF219&lt;=AC219,AD219&gt;=AC219),0,IF(AE219&gt;AD219,((AF219-AC219)*12)*P219,0)))))</f>
        <v>0</v>
      </c>
      <c r="X219" s="66">
        <f>W219*T219</f>
        <v>0</v>
      </c>
      <c r="Y219" s="66">
        <v>1</v>
      </c>
      <c r="Z219" s="66">
        <f>X219*Y219</f>
        <v>0</v>
      </c>
      <c r="AA219" s="66">
        <f>IF(N219&gt;0,0,Z219+U219*Y219)*Y219</f>
        <v>0</v>
      </c>
      <c r="AB219" s="66">
        <f>IF(N219&gt;0,(M219-Z219)/2,IF(AC219&gt;=AF219,(((M219*T219)*Y219)-AA219)/2,((((M219*T219)*Y219)-Z219)+(((M219*T219)*Y219)-AA219))/2))</f>
        <v>3069.2350000000001</v>
      </c>
      <c r="AC219" s="66">
        <f>$D219+(($E219-1)/12)</f>
        <v>2003.1666666666667</v>
      </c>
      <c r="AD219" s="66">
        <f>($O$5+1)-($O$2/12)</f>
        <v>1</v>
      </c>
      <c r="AE219" s="66">
        <f>$J219+(($E219-1)/12)</f>
        <v>2008.1666666666667</v>
      </c>
      <c r="AF219" s="66">
        <f>$O$4+($O$3/12)</f>
        <v>0</v>
      </c>
      <c r="AG219" s="66">
        <f>$K219+(($L219-1)/12)</f>
        <v>-8.3333333333333329E-2</v>
      </c>
    </row>
    <row r="220" spans="2:33">
      <c r="H220" s="26"/>
      <c r="M220" s="30"/>
    </row>
    <row r="221" spans="2:33">
      <c r="H221" s="26"/>
      <c r="M221" s="30"/>
    </row>
    <row r="222" spans="2:33">
      <c r="H222" s="26"/>
      <c r="M222" s="30"/>
    </row>
    <row r="223" spans="2:33">
      <c r="H223" s="26"/>
      <c r="M223" s="30"/>
    </row>
    <row r="224" spans="2:33">
      <c r="C224" s="113" t="s">
        <v>302</v>
      </c>
      <c r="H224" s="26"/>
      <c r="M224" s="30"/>
    </row>
    <row r="225" spans="1:33">
      <c r="B225" s="26">
        <v>10</v>
      </c>
      <c r="C225" s="27" t="s">
        <v>121</v>
      </c>
      <c r="D225" s="26">
        <v>1997</v>
      </c>
      <c r="E225" s="26">
        <v>12</v>
      </c>
      <c r="F225" s="58"/>
      <c r="H225" s="26" t="s">
        <v>51</v>
      </c>
      <c r="I225" s="26">
        <v>5</v>
      </c>
      <c r="J225" s="26">
        <f t="shared" ref="J225:J233" si="124">D225+I225</f>
        <v>2002</v>
      </c>
      <c r="M225" s="16">
        <f>51619/19*10</f>
        <v>27167.894736842103</v>
      </c>
      <c r="O225" s="16">
        <f t="shared" ref="O225:O233" si="125">M225-M225*F225</f>
        <v>27167.894736842103</v>
      </c>
      <c r="P225" s="16">
        <f t="shared" ref="P225:P233" si="126">O225/I225/12</f>
        <v>452.79824561403507</v>
      </c>
      <c r="Q225" s="16">
        <f t="shared" ref="Q225:Q233" si="127">IF(N225&gt;0,0,IF(OR(AC225&gt;AD225,AE225&lt;AF225),0,IF(AND(AE225&gt;=AF225,AE225&lt;=AD225),P225*((AE225-AF225)*12),IF(AND(AF225&lt;=AC225,AD225&gt;=AC225),((AD225-AC225)*12)*P225,IF(AE225&gt;AD225,12*P225,0)))))</f>
        <v>0</v>
      </c>
      <c r="R225" s="16">
        <f t="shared" ref="R225:R233" si="128">IF(N225=0,0,IF(AND(AG225&gt;=AF225,AG225&lt;=AE225),((AG225-AF225)*12)*P225,0))</f>
        <v>0</v>
      </c>
      <c r="S225" s="16">
        <f t="shared" ref="S225:S233" si="129">IF(R225&gt;0,R225,Q225)</f>
        <v>0</v>
      </c>
      <c r="T225" s="16">
        <v>1</v>
      </c>
      <c r="U225" s="16">
        <f t="shared" ref="U225:U233" si="130">T225*SUM(Q225:R225)</f>
        <v>0</v>
      </c>
      <c r="V225" s="16"/>
      <c r="W225" s="16">
        <f t="shared" ref="W225:W233" si="131">IF(AC225&gt;AD225,0,IF(AE225&lt;AF225,O225,IF(AND(AE225&gt;=AF225,AE225&lt;=AD225),(O225-S225),IF(AND(AF225&lt;=AC225,AD225&gt;=AC225),0,IF(AE225&gt;AD225,((AF225-AC225)*12)*P225,0)))))</f>
        <v>0</v>
      </c>
      <c r="X225" s="16">
        <f t="shared" ref="X225:X233" si="132">W225*T225</f>
        <v>0</v>
      </c>
      <c r="Y225" s="16">
        <v>1</v>
      </c>
      <c r="Z225" s="16">
        <f t="shared" ref="Z225:Z233" si="133">X225*Y225</f>
        <v>0</v>
      </c>
      <c r="AA225" s="16">
        <f t="shared" ref="AA225:AA233" si="134">IF(N225&gt;0,0,Z225+U225*Y225)*Y225</f>
        <v>0</v>
      </c>
      <c r="AB225" s="16">
        <f t="shared" ref="AB225:AB233" si="135">IF(N225&gt;0,(M225-Z225)/2,IF(AC225&gt;=AF225,(((M225*T225)*Y225)-AA225)/2,((((M225*T225)*Y225)-Z225)+(((M225*T225)*Y225)-AA225))/2))</f>
        <v>13583.947368421052</v>
      </c>
      <c r="AC225" s="16">
        <f t="shared" ref="AC225:AC233" si="136">$D225+(($E225-1)/12)</f>
        <v>1997.9166666666667</v>
      </c>
      <c r="AD225" s="16">
        <f t="shared" ref="AD225:AD233" si="137">($O$5+1)-($O$2/12)</f>
        <v>1</v>
      </c>
      <c r="AE225" s="16">
        <f t="shared" ref="AE225:AE233" si="138">$J225+(($E225-1)/12)</f>
        <v>2002.9166666666667</v>
      </c>
      <c r="AF225" s="16">
        <f t="shared" ref="AF225:AF233" si="139">$O$4+($O$3/12)</f>
        <v>0</v>
      </c>
      <c r="AG225" s="16">
        <f t="shared" ref="AG225:AG233" si="140">$K225+(($L225-1)/12)</f>
        <v>-8.3333333333333329E-2</v>
      </c>
    </row>
    <row r="226" spans="1:33">
      <c r="B226" s="26">
        <v>17</v>
      </c>
      <c r="C226" s="27" t="s">
        <v>149</v>
      </c>
      <c r="D226" s="26">
        <v>2003</v>
      </c>
      <c r="E226" s="26">
        <v>9</v>
      </c>
      <c r="F226" s="58"/>
      <c r="H226" s="26" t="s">
        <v>51</v>
      </c>
      <c r="I226" s="26">
        <v>10</v>
      </c>
      <c r="J226" s="26">
        <f t="shared" si="124"/>
        <v>2013</v>
      </c>
      <c r="M226" s="16">
        <v>8906.3700000000008</v>
      </c>
      <c r="O226" s="16">
        <f t="shared" si="125"/>
        <v>8906.3700000000008</v>
      </c>
      <c r="P226" s="16">
        <f t="shared" si="126"/>
        <v>74.219750000000005</v>
      </c>
      <c r="Q226" s="16">
        <f t="shared" si="127"/>
        <v>0</v>
      </c>
      <c r="R226" s="16">
        <f t="shared" si="128"/>
        <v>0</v>
      </c>
      <c r="S226" s="16">
        <f t="shared" si="129"/>
        <v>0</v>
      </c>
      <c r="T226" s="16">
        <v>1</v>
      </c>
      <c r="U226" s="16">
        <f t="shared" si="130"/>
        <v>0</v>
      </c>
      <c r="V226" s="16"/>
      <c r="W226" s="16">
        <f t="shared" si="131"/>
        <v>0</v>
      </c>
      <c r="X226" s="16">
        <f t="shared" si="132"/>
        <v>0</v>
      </c>
      <c r="Y226" s="16">
        <v>1</v>
      </c>
      <c r="Z226" s="16">
        <f t="shared" si="133"/>
        <v>0</v>
      </c>
      <c r="AA226" s="16">
        <f t="shared" si="134"/>
        <v>0</v>
      </c>
      <c r="AB226" s="16">
        <f t="shared" si="135"/>
        <v>4453.1850000000004</v>
      </c>
      <c r="AC226" s="16">
        <f t="shared" si="136"/>
        <v>2003.6666666666667</v>
      </c>
      <c r="AD226" s="16">
        <f t="shared" si="137"/>
        <v>1</v>
      </c>
      <c r="AE226" s="16">
        <f t="shared" si="138"/>
        <v>2013.6666666666667</v>
      </c>
      <c r="AF226" s="16">
        <f t="shared" si="139"/>
        <v>0</v>
      </c>
      <c r="AG226" s="16">
        <f t="shared" si="140"/>
        <v>-8.3333333333333329E-2</v>
      </c>
    </row>
    <row r="227" spans="1:33">
      <c r="B227" s="26">
        <v>30</v>
      </c>
      <c r="C227" s="27" t="s">
        <v>126</v>
      </c>
      <c r="D227" s="26">
        <v>1997</v>
      </c>
      <c r="E227" s="26">
        <v>12</v>
      </c>
      <c r="F227" s="58"/>
      <c r="H227" s="26" t="s">
        <v>51</v>
      </c>
      <c r="I227" s="26">
        <v>10</v>
      </c>
      <c r="J227" s="26">
        <f t="shared" si="124"/>
        <v>2007</v>
      </c>
      <c r="M227" s="16">
        <v>9306.4</v>
      </c>
      <c r="O227" s="16">
        <f t="shared" si="125"/>
        <v>9306.4</v>
      </c>
      <c r="P227" s="16">
        <f t="shared" si="126"/>
        <v>77.553333333333327</v>
      </c>
      <c r="Q227" s="16">
        <f t="shared" si="127"/>
        <v>0</v>
      </c>
      <c r="R227" s="16">
        <f t="shared" si="128"/>
        <v>0</v>
      </c>
      <c r="S227" s="16">
        <f t="shared" si="129"/>
        <v>0</v>
      </c>
      <c r="T227" s="16">
        <v>1</v>
      </c>
      <c r="U227" s="16">
        <f t="shared" si="130"/>
        <v>0</v>
      </c>
      <c r="V227" s="16"/>
      <c r="W227" s="16">
        <f t="shared" si="131"/>
        <v>0</v>
      </c>
      <c r="X227" s="16">
        <f t="shared" si="132"/>
        <v>0</v>
      </c>
      <c r="Y227" s="16">
        <v>1</v>
      </c>
      <c r="Z227" s="16">
        <f t="shared" si="133"/>
        <v>0</v>
      </c>
      <c r="AA227" s="16">
        <f t="shared" si="134"/>
        <v>0</v>
      </c>
      <c r="AB227" s="16">
        <f t="shared" si="135"/>
        <v>4653.2</v>
      </c>
      <c r="AC227" s="16">
        <f t="shared" si="136"/>
        <v>1997.9166666666667</v>
      </c>
      <c r="AD227" s="16">
        <f t="shared" si="137"/>
        <v>1</v>
      </c>
      <c r="AE227" s="16">
        <f t="shared" si="138"/>
        <v>2007.9166666666667</v>
      </c>
      <c r="AF227" s="16">
        <f t="shared" si="139"/>
        <v>0</v>
      </c>
      <c r="AG227" s="16">
        <f t="shared" si="140"/>
        <v>-8.3333333333333329E-2</v>
      </c>
    </row>
    <row r="228" spans="1:33">
      <c r="B228" s="26">
        <v>125</v>
      </c>
      <c r="C228" s="27" t="s">
        <v>69</v>
      </c>
      <c r="D228" s="26">
        <v>1998</v>
      </c>
      <c r="E228" s="26">
        <v>2</v>
      </c>
      <c r="F228" s="58"/>
      <c r="H228" s="26" t="s">
        <v>51</v>
      </c>
      <c r="I228" s="26">
        <v>10</v>
      </c>
      <c r="J228" s="26">
        <f t="shared" si="124"/>
        <v>2008</v>
      </c>
      <c r="M228" s="16">
        <v>35899.9</v>
      </c>
      <c r="O228" s="16">
        <f t="shared" si="125"/>
        <v>35899.9</v>
      </c>
      <c r="P228" s="16">
        <f t="shared" si="126"/>
        <v>299.16583333333335</v>
      </c>
      <c r="Q228" s="16">
        <f t="shared" si="127"/>
        <v>0</v>
      </c>
      <c r="R228" s="16">
        <f t="shared" si="128"/>
        <v>0</v>
      </c>
      <c r="S228" s="16">
        <f t="shared" si="129"/>
        <v>0</v>
      </c>
      <c r="T228" s="16">
        <v>1</v>
      </c>
      <c r="U228" s="16">
        <f t="shared" si="130"/>
        <v>0</v>
      </c>
      <c r="V228" s="16"/>
      <c r="W228" s="16">
        <f t="shared" si="131"/>
        <v>0</v>
      </c>
      <c r="X228" s="16">
        <f t="shared" si="132"/>
        <v>0</v>
      </c>
      <c r="Y228" s="16">
        <v>1</v>
      </c>
      <c r="Z228" s="16">
        <f t="shared" si="133"/>
        <v>0</v>
      </c>
      <c r="AA228" s="16">
        <f t="shared" si="134"/>
        <v>0</v>
      </c>
      <c r="AB228" s="16">
        <f t="shared" si="135"/>
        <v>17949.95</v>
      </c>
      <c r="AC228" s="16">
        <f t="shared" si="136"/>
        <v>1998.0833333333333</v>
      </c>
      <c r="AD228" s="16">
        <f t="shared" si="137"/>
        <v>1</v>
      </c>
      <c r="AE228" s="16">
        <f t="shared" si="138"/>
        <v>2008.0833333333333</v>
      </c>
      <c r="AF228" s="16">
        <f t="shared" si="139"/>
        <v>0</v>
      </c>
      <c r="AG228" s="16">
        <f t="shared" si="140"/>
        <v>-8.3333333333333329E-2</v>
      </c>
    </row>
    <row r="229" spans="1:33">
      <c r="B229" s="26">
        <v>30</v>
      </c>
      <c r="C229" s="27" t="s">
        <v>131</v>
      </c>
      <c r="D229" s="26">
        <v>1998</v>
      </c>
      <c r="E229" s="26">
        <v>6</v>
      </c>
      <c r="F229" s="58"/>
      <c r="H229" s="26" t="s">
        <v>51</v>
      </c>
      <c r="I229" s="26">
        <v>10</v>
      </c>
      <c r="J229" s="26">
        <f t="shared" si="124"/>
        <v>2008</v>
      </c>
      <c r="M229" s="16">
        <v>9243.86</v>
      </c>
      <c r="O229" s="16">
        <f t="shared" si="125"/>
        <v>9243.86</v>
      </c>
      <c r="P229" s="16">
        <f t="shared" si="126"/>
        <v>77.032166666666669</v>
      </c>
      <c r="Q229" s="16">
        <f t="shared" si="127"/>
        <v>0</v>
      </c>
      <c r="R229" s="16">
        <f t="shared" si="128"/>
        <v>0</v>
      </c>
      <c r="S229" s="16">
        <f t="shared" si="129"/>
        <v>0</v>
      </c>
      <c r="T229" s="16">
        <v>1</v>
      </c>
      <c r="U229" s="16">
        <f t="shared" si="130"/>
        <v>0</v>
      </c>
      <c r="V229" s="16"/>
      <c r="W229" s="16">
        <f t="shared" si="131"/>
        <v>0</v>
      </c>
      <c r="X229" s="16">
        <f t="shared" si="132"/>
        <v>0</v>
      </c>
      <c r="Y229" s="16">
        <v>1</v>
      </c>
      <c r="Z229" s="16">
        <f t="shared" si="133"/>
        <v>0</v>
      </c>
      <c r="AA229" s="16">
        <f t="shared" si="134"/>
        <v>0</v>
      </c>
      <c r="AB229" s="16">
        <f t="shared" si="135"/>
        <v>4621.93</v>
      </c>
      <c r="AC229" s="16">
        <f t="shared" si="136"/>
        <v>1998.4166666666667</v>
      </c>
      <c r="AD229" s="16">
        <f t="shared" si="137"/>
        <v>1</v>
      </c>
      <c r="AE229" s="16">
        <f t="shared" si="138"/>
        <v>2008.4166666666667</v>
      </c>
      <c r="AF229" s="16">
        <f t="shared" si="139"/>
        <v>0</v>
      </c>
      <c r="AG229" s="16">
        <f t="shared" si="140"/>
        <v>-8.3333333333333329E-2</v>
      </c>
    </row>
    <row r="230" spans="1:33">
      <c r="B230" s="26">
        <v>8</v>
      </c>
      <c r="C230" s="27" t="s">
        <v>137</v>
      </c>
      <c r="D230" s="26">
        <v>2001</v>
      </c>
      <c r="E230" s="26">
        <v>7</v>
      </c>
      <c r="F230" s="58"/>
      <c r="H230" s="26" t="s">
        <v>51</v>
      </c>
      <c r="I230" s="26">
        <v>10</v>
      </c>
      <c r="J230" s="26">
        <f t="shared" si="124"/>
        <v>2011</v>
      </c>
      <c r="M230" s="16">
        <f>7473.51/19*8</f>
        <v>3146.7410526315789</v>
      </c>
      <c r="O230" s="16">
        <f t="shared" si="125"/>
        <v>3146.7410526315789</v>
      </c>
      <c r="P230" s="16">
        <f t="shared" si="126"/>
        <v>26.222842105263158</v>
      </c>
      <c r="Q230" s="16">
        <f t="shared" si="127"/>
        <v>0</v>
      </c>
      <c r="R230" s="16">
        <f t="shared" si="128"/>
        <v>0</v>
      </c>
      <c r="S230" s="16">
        <f t="shared" si="129"/>
        <v>0</v>
      </c>
      <c r="T230" s="16">
        <v>1</v>
      </c>
      <c r="U230" s="16">
        <f t="shared" si="130"/>
        <v>0</v>
      </c>
      <c r="V230" s="16"/>
      <c r="W230" s="16">
        <f t="shared" si="131"/>
        <v>0</v>
      </c>
      <c r="X230" s="16">
        <f t="shared" si="132"/>
        <v>0</v>
      </c>
      <c r="Y230" s="16">
        <v>1</v>
      </c>
      <c r="Z230" s="16">
        <f t="shared" si="133"/>
        <v>0</v>
      </c>
      <c r="AA230" s="16">
        <f t="shared" si="134"/>
        <v>0</v>
      </c>
      <c r="AB230" s="16">
        <f t="shared" si="135"/>
        <v>1573.3705263157894</v>
      </c>
      <c r="AC230" s="16">
        <f t="shared" si="136"/>
        <v>2001.5</v>
      </c>
      <c r="AD230" s="16">
        <f t="shared" si="137"/>
        <v>1</v>
      </c>
      <c r="AE230" s="16">
        <f t="shared" si="138"/>
        <v>2011.5</v>
      </c>
      <c r="AF230" s="16">
        <f t="shared" si="139"/>
        <v>0</v>
      </c>
      <c r="AG230" s="16">
        <f t="shared" si="140"/>
        <v>-8.3333333333333329E-2</v>
      </c>
    </row>
    <row r="231" spans="1:33">
      <c r="B231" s="26">
        <v>10</v>
      </c>
      <c r="C231" s="27" t="s">
        <v>151</v>
      </c>
      <c r="D231" s="26">
        <v>2003</v>
      </c>
      <c r="E231" s="26">
        <v>9</v>
      </c>
      <c r="F231" s="58"/>
      <c r="H231" s="26" t="s">
        <v>51</v>
      </c>
      <c r="I231" s="26">
        <v>10</v>
      </c>
      <c r="J231" s="26">
        <f t="shared" si="124"/>
        <v>2013</v>
      </c>
      <c r="M231" s="16">
        <v>3622.39</v>
      </c>
      <c r="O231" s="16">
        <f t="shared" si="125"/>
        <v>3622.39</v>
      </c>
      <c r="P231" s="16">
        <f t="shared" si="126"/>
        <v>30.186583333333331</v>
      </c>
      <c r="Q231" s="16">
        <f t="shared" si="127"/>
        <v>0</v>
      </c>
      <c r="R231" s="16">
        <f t="shared" si="128"/>
        <v>0</v>
      </c>
      <c r="S231" s="16">
        <f t="shared" si="129"/>
        <v>0</v>
      </c>
      <c r="T231" s="16">
        <v>1</v>
      </c>
      <c r="U231" s="16">
        <f t="shared" si="130"/>
        <v>0</v>
      </c>
      <c r="V231" s="16"/>
      <c r="W231" s="16">
        <f t="shared" si="131"/>
        <v>0</v>
      </c>
      <c r="X231" s="16">
        <f t="shared" si="132"/>
        <v>0</v>
      </c>
      <c r="Y231" s="16">
        <v>1</v>
      </c>
      <c r="Z231" s="16">
        <f t="shared" si="133"/>
        <v>0</v>
      </c>
      <c r="AA231" s="16">
        <f t="shared" si="134"/>
        <v>0</v>
      </c>
      <c r="AB231" s="16">
        <f t="shared" si="135"/>
        <v>1811.1949999999999</v>
      </c>
      <c r="AC231" s="16">
        <f t="shared" si="136"/>
        <v>2003.6666666666667</v>
      </c>
      <c r="AD231" s="16">
        <f t="shared" si="137"/>
        <v>1</v>
      </c>
      <c r="AE231" s="16">
        <f t="shared" si="138"/>
        <v>2013.6666666666667</v>
      </c>
      <c r="AF231" s="16">
        <f t="shared" si="139"/>
        <v>0</v>
      </c>
      <c r="AG231" s="16">
        <f t="shared" si="140"/>
        <v>-8.3333333333333329E-2</v>
      </c>
    </row>
    <row r="232" spans="1:33">
      <c r="B232" s="6">
        <v>1050</v>
      </c>
      <c r="C232" s="27" t="s">
        <v>155</v>
      </c>
      <c r="D232" s="26">
        <v>2004</v>
      </c>
      <c r="E232" s="26">
        <v>3</v>
      </c>
      <c r="F232" s="58"/>
      <c r="H232" s="26" t="s">
        <v>51</v>
      </c>
      <c r="I232" s="26">
        <v>10</v>
      </c>
      <c r="J232" s="26">
        <f t="shared" si="124"/>
        <v>2014</v>
      </c>
      <c r="M232" s="16">
        <v>5619.43</v>
      </c>
      <c r="O232" s="16">
        <f t="shared" si="125"/>
        <v>5619.43</v>
      </c>
      <c r="P232" s="16">
        <f t="shared" si="126"/>
        <v>46.828583333333334</v>
      </c>
      <c r="Q232" s="16">
        <f t="shared" si="127"/>
        <v>0</v>
      </c>
      <c r="R232" s="16">
        <f t="shared" si="128"/>
        <v>0</v>
      </c>
      <c r="S232" s="16">
        <f t="shared" si="129"/>
        <v>0</v>
      </c>
      <c r="T232" s="16">
        <v>1</v>
      </c>
      <c r="U232" s="16">
        <f t="shared" si="130"/>
        <v>0</v>
      </c>
      <c r="V232" s="16"/>
      <c r="W232" s="16">
        <f t="shared" si="131"/>
        <v>0</v>
      </c>
      <c r="X232" s="16">
        <f t="shared" si="132"/>
        <v>0</v>
      </c>
      <c r="Y232" s="16">
        <v>1</v>
      </c>
      <c r="Z232" s="16">
        <f t="shared" si="133"/>
        <v>0</v>
      </c>
      <c r="AA232" s="16">
        <f t="shared" si="134"/>
        <v>0</v>
      </c>
      <c r="AB232" s="16">
        <f t="shared" si="135"/>
        <v>2809.7150000000001</v>
      </c>
      <c r="AC232" s="16">
        <f t="shared" si="136"/>
        <v>2004.1666666666667</v>
      </c>
      <c r="AD232" s="16">
        <f t="shared" si="137"/>
        <v>1</v>
      </c>
      <c r="AE232" s="16">
        <f t="shared" si="138"/>
        <v>2014.1666666666667</v>
      </c>
      <c r="AF232" s="16">
        <f t="shared" si="139"/>
        <v>0</v>
      </c>
      <c r="AG232" s="16">
        <f t="shared" si="140"/>
        <v>-8.3333333333333329E-2</v>
      </c>
    </row>
    <row r="233" spans="1:33">
      <c r="B233" s="26">
        <v>10</v>
      </c>
      <c r="C233" s="27" t="s">
        <v>124</v>
      </c>
      <c r="D233" s="26">
        <v>1997</v>
      </c>
      <c r="E233" s="26">
        <v>12</v>
      </c>
      <c r="F233" s="58"/>
      <c r="H233" s="26" t="s">
        <v>51</v>
      </c>
      <c r="I233" s="26">
        <v>7</v>
      </c>
      <c r="J233" s="26">
        <f t="shared" si="124"/>
        <v>2004</v>
      </c>
      <c r="M233" s="16">
        <v>3203</v>
      </c>
      <c r="O233" s="16">
        <f t="shared" si="125"/>
        <v>3203</v>
      </c>
      <c r="P233" s="16">
        <f t="shared" si="126"/>
        <v>38.13095238095238</v>
      </c>
      <c r="Q233" s="16">
        <f t="shared" si="127"/>
        <v>0</v>
      </c>
      <c r="R233" s="16">
        <f t="shared" si="128"/>
        <v>0</v>
      </c>
      <c r="S233" s="16">
        <f t="shared" si="129"/>
        <v>0</v>
      </c>
      <c r="T233" s="16">
        <v>1</v>
      </c>
      <c r="U233" s="16">
        <f t="shared" si="130"/>
        <v>0</v>
      </c>
      <c r="V233" s="16"/>
      <c r="W233" s="16">
        <f t="shared" si="131"/>
        <v>0</v>
      </c>
      <c r="X233" s="16">
        <f t="shared" si="132"/>
        <v>0</v>
      </c>
      <c r="Y233" s="16">
        <v>1</v>
      </c>
      <c r="Z233" s="16">
        <f t="shared" si="133"/>
        <v>0</v>
      </c>
      <c r="AA233" s="16">
        <f t="shared" si="134"/>
        <v>0</v>
      </c>
      <c r="AB233" s="16">
        <f t="shared" si="135"/>
        <v>1601.5</v>
      </c>
      <c r="AC233" s="16">
        <f t="shared" si="136"/>
        <v>1997.9166666666667</v>
      </c>
      <c r="AD233" s="16">
        <f t="shared" si="137"/>
        <v>1</v>
      </c>
      <c r="AE233" s="16">
        <f t="shared" si="138"/>
        <v>2004.9166666666667</v>
      </c>
      <c r="AF233" s="16">
        <f t="shared" si="139"/>
        <v>0</v>
      </c>
      <c r="AG233" s="16">
        <f t="shared" si="140"/>
        <v>-8.3333333333333329E-2</v>
      </c>
    </row>
    <row r="234" spans="1:33">
      <c r="H234" s="26"/>
    </row>
    <row r="235" spans="1:33">
      <c r="H235" s="26"/>
    </row>
    <row r="236" spans="1:33">
      <c r="C236" s="113" t="s">
        <v>318</v>
      </c>
      <c r="H236" s="26"/>
    </row>
    <row r="237" spans="1:33">
      <c r="A237" s="6">
        <v>27469</v>
      </c>
      <c r="B237" s="26">
        <v>4</v>
      </c>
      <c r="C237" s="27" t="s">
        <v>163</v>
      </c>
      <c r="D237" s="26">
        <v>2004</v>
      </c>
      <c r="E237" s="26">
        <v>5</v>
      </c>
      <c r="F237" s="58"/>
      <c r="H237" s="26" t="s">
        <v>51</v>
      </c>
      <c r="I237" s="26">
        <v>10</v>
      </c>
      <c r="J237" s="26">
        <f>D237+I237</f>
        <v>2014</v>
      </c>
      <c r="M237" s="16">
        <v>2319.62</v>
      </c>
      <c r="O237" s="16">
        <f>M237-M237*F237</f>
        <v>2319.62</v>
      </c>
      <c r="P237" s="16">
        <f>O237/I237/12</f>
        <v>19.330166666666667</v>
      </c>
      <c r="Q237" s="16">
        <f>IF(N237&gt;0,0,IF(OR(AC237&gt;AD237,AE237&lt;AF237),0,IF(AND(AE237&gt;=AF237,AE237&lt;=AD237),P237*((AE237-AF237)*12),IF(AND(AF237&lt;=AC237,AD237&gt;=AC237),((AD237-AC237)*12)*P237,IF(AE237&gt;AD237,12*P237,0)))))</f>
        <v>0</v>
      </c>
      <c r="R237" s="16">
        <f>IF(N237=0,0,IF(AND(AG237&gt;=AF237,AG237&lt;=AE237),((AG237-AF237)*12)*P237,0))</f>
        <v>0</v>
      </c>
      <c r="S237" s="16">
        <f>IF(R237&gt;0,R237,Q237)</f>
        <v>0</v>
      </c>
      <c r="T237" s="16">
        <v>1</v>
      </c>
      <c r="U237" s="16">
        <f>T237*SUM(Q237:R237)</f>
        <v>0</v>
      </c>
      <c r="V237" s="16"/>
      <c r="W237" s="16">
        <f>IF(AC237&gt;AD237,0,IF(AE237&lt;AF237,O237,IF(AND(AE237&gt;=AF237,AE237&lt;=AD237),(O237-S237),IF(AND(AF237&lt;=AC237,AD237&gt;=AC237),0,IF(AE237&gt;AD237,((AF237-AC237)*12)*P237,0)))))</f>
        <v>0</v>
      </c>
      <c r="X237" s="16">
        <f>W237*T237</f>
        <v>0</v>
      </c>
      <c r="Y237" s="16">
        <v>1</v>
      </c>
      <c r="Z237" s="16">
        <f>X237*Y237</f>
        <v>0</v>
      </c>
      <c r="AA237" s="16">
        <f>IF(N237&gt;0,0,Z237+U237*Y237)*Y237</f>
        <v>0</v>
      </c>
      <c r="AB237" s="16">
        <f>IF(N237&gt;0,(M237-Z237)/2,IF(AC237&gt;=AF237,(((M237*T237)*Y237)-AA237)/2,((((M237*T237)*Y237)-Z237)+(((M237*T237)*Y237)-AA237))/2))</f>
        <v>1159.81</v>
      </c>
      <c r="AC237" s="16">
        <f>$D237+(($E237-1)/12)</f>
        <v>2004.3333333333333</v>
      </c>
      <c r="AD237" s="16">
        <f>($O$5+1)-($O$2/12)</f>
        <v>1</v>
      </c>
      <c r="AE237" s="16">
        <f>$J237+(($E237-1)/12)</f>
        <v>2014.3333333333333</v>
      </c>
      <c r="AF237" s="16">
        <f>$O$4+($O$3/12)</f>
        <v>0</v>
      </c>
      <c r="AG237" s="16">
        <f>$K237+(($L237-1)/12)</f>
        <v>-8.3333333333333329E-2</v>
      </c>
    </row>
    <row r="238" spans="1:33">
      <c r="A238" s="6">
        <v>26303</v>
      </c>
      <c r="B238" s="26">
        <v>28</v>
      </c>
      <c r="C238" s="27" t="s">
        <v>165</v>
      </c>
      <c r="D238" s="26">
        <v>2004</v>
      </c>
      <c r="E238" s="26">
        <v>6</v>
      </c>
      <c r="F238" s="58"/>
      <c r="H238" s="26" t="s">
        <v>51</v>
      </c>
      <c r="I238" s="26">
        <v>10</v>
      </c>
      <c r="J238" s="26">
        <f>D238+I238</f>
        <v>2014</v>
      </c>
      <c r="M238" s="16">
        <v>11119.36</v>
      </c>
      <c r="O238" s="16">
        <f>M238-M238*F238</f>
        <v>11119.36</v>
      </c>
      <c r="P238" s="16">
        <f>O238/I238/12</f>
        <v>92.661333333333346</v>
      </c>
      <c r="Q238" s="16">
        <f>IF(N238&gt;0,0,IF(OR(AC238&gt;AD238,AE238&lt;AF238),0,IF(AND(AE238&gt;=AF238,AE238&lt;=AD238),P238*((AE238-AF238)*12),IF(AND(AF238&lt;=AC238,AD238&gt;=AC238),((AD238-AC238)*12)*P238,IF(AE238&gt;AD238,12*P238,0)))))</f>
        <v>0</v>
      </c>
      <c r="R238" s="16">
        <f>IF(N238=0,0,IF(AND(AG238&gt;=AF238,AG238&lt;=AE238),((AG238-AF238)*12)*P238,0))</f>
        <v>0</v>
      </c>
      <c r="S238" s="16">
        <f>IF(R238&gt;0,R238,Q238)</f>
        <v>0</v>
      </c>
      <c r="T238" s="16">
        <v>1</v>
      </c>
      <c r="U238" s="16">
        <f>T238*SUM(Q238:R238)</f>
        <v>0</v>
      </c>
      <c r="V238" s="16"/>
      <c r="W238" s="16">
        <f>IF(AC238&gt;AD238,0,IF(AE238&lt;AF238,O238,IF(AND(AE238&gt;=AF238,AE238&lt;=AD238),(O238-S238),IF(AND(AF238&lt;=AC238,AD238&gt;=AC238),0,IF(AE238&gt;AD238,((AF238-AC238)*12)*P238,0)))))</f>
        <v>0</v>
      </c>
      <c r="X238" s="16">
        <f>W238*T238</f>
        <v>0</v>
      </c>
      <c r="Y238" s="16">
        <v>1</v>
      </c>
      <c r="Z238" s="16">
        <f>X238*Y238</f>
        <v>0</v>
      </c>
      <c r="AA238" s="16">
        <f>IF(N238&gt;0,0,Z238+U238*Y238)*Y238</f>
        <v>0</v>
      </c>
      <c r="AB238" s="16">
        <f>IF(N238&gt;0,(M238-Z238)/2,IF(AC238&gt;=AF238,(((M238*T238)*Y238)-AA238)/2,((((M238*T238)*Y238)-Z238)+(((M238*T238)*Y238)-AA238))/2))</f>
        <v>5559.68</v>
      </c>
      <c r="AC238" s="16">
        <f>$D238+(($E238-1)/12)</f>
        <v>2004.4166666666667</v>
      </c>
      <c r="AD238" s="16">
        <f>($O$5+1)-($O$2/12)</f>
        <v>1</v>
      </c>
      <c r="AE238" s="16">
        <f>$J238+(($E238-1)/12)</f>
        <v>2014.4166666666667</v>
      </c>
      <c r="AF238" s="16">
        <f>$O$4+($O$3/12)</f>
        <v>0</v>
      </c>
      <c r="AG238" s="16">
        <f>$K238+(($L238-1)/12)</f>
        <v>-8.3333333333333329E-2</v>
      </c>
    </row>
    <row r="239" spans="1:33">
      <c r="A239" s="6">
        <v>6882</v>
      </c>
      <c r="B239" s="26">
        <v>4</v>
      </c>
      <c r="C239" s="27" t="s">
        <v>122</v>
      </c>
      <c r="H239" s="26"/>
    </row>
    <row r="240" spans="1:33">
      <c r="H240" s="26"/>
    </row>
    <row r="241" spans="8:8">
      <c r="H241" s="26"/>
    </row>
    <row r="242" spans="8:8">
      <c r="H242" s="26"/>
    </row>
    <row r="243" spans="8:8">
      <c r="H243" s="26"/>
    </row>
    <row r="244" spans="8:8">
      <c r="H244" s="26"/>
    </row>
    <row r="245" spans="8:8">
      <c r="H245" s="26"/>
    </row>
    <row r="246" spans="8:8">
      <c r="H246" s="26"/>
    </row>
    <row r="247" spans="8:8">
      <c r="H247" s="26"/>
    </row>
    <row r="248" spans="8:8">
      <c r="H248" s="26"/>
    </row>
    <row r="249" spans="8:8">
      <c r="H249" s="26"/>
    </row>
    <row r="250" spans="8:8">
      <c r="H250" s="26"/>
    </row>
    <row r="251" spans="8:8">
      <c r="H251" s="26"/>
    </row>
    <row r="252" spans="8:8">
      <c r="H252" s="26"/>
    </row>
    <row r="253" spans="8:8">
      <c r="H253" s="26"/>
    </row>
    <row r="254" spans="8:8">
      <c r="H254" s="26"/>
    </row>
    <row r="255" spans="8:8">
      <c r="H255" s="26"/>
    </row>
    <row r="256" spans="8:8">
      <c r="H256" s="26"/>
    </row>
    <row r="257" spans="8:8">
      <c r="H257" s="26"/>
    </row>
    <row r="258" spans="8:8">
      <c r="H258" s="26"/>
    </row>
    <row r="259" spans="8:8">
      <c r="H259" s="26"/>
    </row>
    <row r="260" spans="8:8">
      <c r="H260" s="26"/>
    </row>
    <row r="261" spans="8:8">
      <c r="H261" s="26"/>
    </row>
    <row r="262" spans="8:8">
      <c r="H262" s="26"/>
    </row>
    <row r="263" spans="8:8">
      <c r="H263" s="26"/>
    </row>
    <row r="264" spans="8:8">
      <c r="H264" s="26"/>
    </row>
    <row r="265" spans="8:8">
      <c r="H265" s="26"/>
    </row>
    <row r="266" spans="8:8">
      <c r="H266" s="26"/>
    </row>
    <row r="267" spans="8:8">
      <c r="H267" s="26"/>
    </row>
    <row r="268" spans="8:8">
      <c r="H268" s="26"/>
    </row>
    <row r="269" spans="8:8">
      <c r="H269" s="26"/>
    </row>
    <row r="270" spans="8:8">
      <c r="H270" s="26"/>
    </row>
    <row r="271" spans="8:8">
      <c r="H271" s="26"/>
    </row>
    <row r="272" spans="8:8">
      <c r="H272" s="26"/>
    </row>
    <row r="273" spans="8:8">
      <c r="H273" s="26"/>
    </row>
    <row r="274" spans="8:8">
      <c r="H274" s="26"/>
    </row>
    <row r="275" spans="8:8">
      <c r="H275" s="26"/>
    </row>
    <row r="276" spans="8:8">
      <c r="H276" s="26"/>
    </row>
    <row r="277" spans="8:8">
      <c r="H277" s="26"/>
    </row>
    <row r="278" spans="8:8">
      <c r="H278" s="26"/>
    </row>
    <row r="279" spans="8:8">
      <c r="H279" s="26"/>
    </row>
    <row r="280" spans="8:8">
      <c r="H280" s="26"/>
    </row>
    <row r="281" spans="8:8">
      <c r="H281" s="26"/>
    </row>
    <row r="282" spans="8:8">
      <c r="H282" s="26"/>
    </row>
    <row r="283" spans="8:8">
      <c r="H283" s="26"/>
    </row>
    <row r="284" spans="8:8">
      <c r="H284" s="26"/>
    </row>
    <row r="285" spans="8:8">
      <c r="H285" s="26"/>
    </row>
    <row r="286" spans="8:8">
      <c r="H286" s="26"/>
    </row>
    <row r="287" spans="8:8">
      <c r="H287" s="26"/>
    </row>
    <row r="288" spans="8:8">
      <c r="H288" s="26"/>
    </row>
    <row r="289" spans="8:8">
      <c r="H289" s="26"/>
    </row>
    <row r="290" spans="8:8">
      <c r="H290" s="26"/>
    </row>
    <row r="291" spans="8:8">
      <c r="H291" s="26"/>
    </row>
    <row r="292" spans="8:8">
      <c r="H292" s="26"/>
    </row>
    <row r="293" spans="8:8">
      <c r="H293" s="26"/>
    </row>
    <row r="294" spans="8:8">
      <c r="H294" s="26"/>
    </row>
    <row r="295" spans="8:8">
      <c r="H295" s="26"/>
    </row>
    <row r="296" spans="8:8">
      <c r="H296" s="26"/>
    </row>
    <row r="297" spans="8:8">
      <c r="H297" s="26"/>
    </row>
    <row r="298" spans="8:8">
      <c r="H298" s="26"/>
    </row>
    <row r="299" spans="8:8">
      <c r="H299" s="26"/>
    </row>
    <row r="300" spans="8:8">
      <c r="H300" s="26"/>
    </row>
    <row r="301" spans="8:8">
      <c r="H301" s="26"/>
    </row>
    <row r="302" spans="8:8">
      <c r="H302" s="26"/>
    </row>
    <row r="303" spans="8:8">
      <c r="H303" s="26"/>
    </row>
    <row r="304" spans="8:8">
      <c r="H304" s="26"/>
    </row>
    <row r="305" spans="8:8">
      <c r="H305" s="26"/>
    </row>
    <row r="306" spans="8:8">
      <c r="H306" s="26"/>
    </row>
    <row r="307" spans="8:8">
      <c r="H307" s="26"/>
    </row>
    <row r="308" spans="8:8">
      <c r="H308" s="26"/>
    </row>
    <row r="309" spans="8:8">
      <c r="H309" s="26"/>
    </row>
    <row r="310" spans="8:8">
      <c r="H310" s="26"/>
    </row>
    <row r="311" spans="8:8">
      <c r="H311" s="26"/>
    </row>
    <row r="312" spans="8:8">
      <c r="H312" s="26"/>
    </row>
    <row r="313" spans="8:8">
      <c r="H313" s="26"/>
    </row>
    <row r="314" spans="8:8">
      <c r="H314" s="26"/>
    </row>
    <row r="315" spans="8:8">
      <c r="H315" s="26"/>
    </row>
    <row r="316" spans="8:8">
      <c r="H316" s="26"/>
    </row>
    <row r="317" spans="8:8">
      <c r="H317" s="26"/>
    </row>
    <row r="318" spans="8:8">
      <c r="H318" s="26"/>
    </row>
    <row r="319" spans="8:8">
      <c r="H319" s="26"/>
    </row>
    <row r="320" spans="8:8">
      <c r="H320" s="26"/>
    </row>
    <row r="321" spans="8:8">
      <c r="H321" s="26"/>
    </row>
    <row r="322" spans="8:8">
      <c r="H322" s="26"/>
    </row>
    <row r="323" spans="8:8">
      <c r="H323" s="26"/>
    </row>
    <row r="324" spans="8:8">
      <c r="H324" s="26"/>
    </row>
    <row r="325" spans="8:8">
      <c r="H325" s="26"/>
    </row>
    <row r="326" spans="8:8">
      <c r="H326" s="26"/>
    </row>
    <row r="327" spans="8:8">
      <c r="H327" s="26"/>
    </row>
    <row r="328" spans="8:8">
      <c r="H328" s="26"/>
    </row>
    <row r="329" spans="8:8">
      <c r="H329" s="26"/>
    </row>
    <row r="330" spans="8:8">
      <c r="H330" s="26"/>
    </row>
    <row r="331" spans="8:8">
      <c r="H331" s="26"/>
    </row>
    <row r="332" spans="8:8">
      <c r="H332" s="26"/>
    </row>
    <row r="333" spans="8:8">
      <c r="H333" s="26"/>
    </row>
    <row r="334" spans="8:8">
      <c r="H334" s="26"/>
    </row>
    <row r="335" spans="8:8">
      <c r="H335" s="26"/>
    </row>
    <row r="336" spans="8:8">
      <c r="H336" s="26"/>
    </row>
    <row r="337" spans="8:8">
      <c r="H337" s="26"/>
    </row>
    <row r="338" spans="8:8">
      <c r="H338" s="26"/>
    </row>
    <row r="339" spans="8:8">
      <c r="H339" s="26"/>
    </row>
    <row r="340" spans="8:8">
      <c r="H340" s="26"/>
    </row>
    <row r="341" spans="8:8">
      <c r="H341" s="26"/>
    </row>
    <row r="342" spans="8:8">
      <c r="H342" s="26"/>
    </row>
    <row r="343" spans="8:8">
      <c r="H343" s="26"/>
    </row>
    <row r="344" spans="8:8">
      <c r="H344" s="26"/>
    </row>
    <row r="345" spans="8:8">
      <c r="H345" s="26"/>
    </row>
    <row r="346" spans="8:8">
      <c r="H346" s="26"/>
    </row>
    <row r="347" spans="8:8">
      <c r="H347" s="26"/>
    </row>
    <row r="348" spans="8:8">
      <c r="H348" s="26"/>
    </row>
    <row r="349" spans="8:8">
      <c r="H349" s="26"/>
    </row>
    <row r="350" spans="8:8">
      <c r="H350" s="26"/>
    </row>
    <row r="351" spans="8:8">
      <c r="H351" s="26"/>
    </row>
    <row r="352" spans="8:8">
      <c r="H352" s="26"/>
    </row>
    <row r="353" spans="8:8">
      <c r="H353" s="26"/>
    </row>
    <row r="354" spans="8:8">
      <c r="H354" s="26"/>
    </row>
    <row r="355" spans="8:8">
      <c r="H355" s="26"/>
    </row>
    <row r="356" spans="8:8">
      <c r="H356" s="26"/>
    </row>
    <row r="357" spans="8:8">
      <c r="H357" s="26"/>
    </row>
    <row r="358" spans="8:8">
      <c r="H358" s="26"/>
    </row>
    <row r="359" spans="8:8">
      <c r="H359" s="26"/>
    </row>
    <row r="360" spans="8:8">
      <c r="H360" s="26"/>
    </row>
    <row r="361" spans="8:8">
      <c r="H361" s="26"/>
    </row>
    <row r="362" spans="8:8">
      <c r="H362" s="26"/>
    </row>
    <row r="363" spans="8:8">
      <c r="H363" s="26"/>
    </row>
    <row r="364" spans="8:8">
      <c r="H364" s="26"/>
    </row>
    <row r="365" spans="8:8">
      <c r="H365" s="26"/>
    </row>
    <row r="366" spans="8:8">
      <c r="H366" s="26"/>
    </row>
    <row r="367" spans="8:8">
      <c r="H367" s="26"/>
    </row>
    <row r="368" spans="8:8">
      <c r="H368" s="26"/>
    </row>
    <row r="369" spans="8:8">
      <c r="H369" s="26"/>
    </row>
    <row r="370" spans="8:8">
      <c r="H370" s="26"/>
    </row>
    <row r="371" spans="8:8">
      <c r="H371" s="26"/>
    </row>
    <row r="372" spans="8:8">
      <c r="H372" s="26"/>
    </row>
    <row r="373" spans="8:8">
      <c r="H373" s="26"/>
    </row>
    <row r="374" spans="8:8">
      <c r="H374" s="26"/>
    </row>
    <row r="375" spans="8:8">
      <c r="H375" s="26"/>
    </row>
    <row r="376" spans="8:8">
      <c r="H376" s="26"/>
    </row>
    <row r="377" spans="8:8">
      <c r="H377" s="26"/>
    </row>
    <row r="378" spans="8:8">
      <c r="H378" s="26"/>
    </row>
    <row r="379" spans="8:8">
      <c r="H379" s="26"/>
    </row>
    <row r="380" spans="8:8">
      <c r="H380" s="26"/>
    </row>
    <row r="381" spans="8:8">
      <c r="H381" s="26"/>
    </row>
    <row r="382" spans="8:8">
      <c r="H382" s="26"/>
    </row>
    <row r="383" spans="8:8">
      <c r="H383" s="26"/>
    </row>
    <row r="384" spans="8:8">
      <c r="H384" s="26"/>
    </row>
    <row r="385" spans="8:8">
      <c r="H385" s="26"/>
    </row>
    <row r="386" spans="8:8">
      <c r="H386" s="26"/>
    </row>
    <row r="387" spans="8:8">
      <c r="H387" s="26"/>
    </row>
    <row r="388" spans="8:8">
      <c r="H388" s="26"/>
    </row>
    <row r="389" spans="8:8">
      <c r="H389" s="26"/>
    </row>
    <row r="390" spans="8:8">
      <c r="H390" s="26"/>
    </row>
    <row r="391" spans="8:8">
      <c r="H391" s="26"/>
    </row>
    <row r="392" spans="8:8">
      <c r="H392" s="26"/>
    </row>
    <row r="393" spans="8:8">
      <c r="H393" s="26"/>
    </row>
    <row r="394" spans="8:8">
      <c r="H394" s="26"/>
    </row>
    <row r="395" spans="8:8">
      <c r="H395" s="26"/>
    </row>
    <row r="396" spans="8:8">
      <c r="H396" s="26"/>
    </row>
    <row r="397" spans="8:8">
      <c r="H397" s="26"/>
    </row>
    <row r="398" spans="8:8">
      <c r="H398" s="26"/>
    </row>
    <row r="399" spans="8:8">
      <c r="H399" s="26"/>
    </row>
    <row r="400" spans="8:8">
      <c r="H400" s="26"/>
    </row>
    <row r="401" spans="8:8">
      <c r="H401" s="26"/>
    </row>
    <row r="402" spans="8:8">
      <c r="H402" s="26"/>
    </row>
    <row r="403" spans="8:8">
      <c r="H403" s="26"/>
    </row>
    <row r="404" spans="8:8">
      <c r="H404" s="26"/>
    </row>
    <row r="405" spans="8:8">
      <c r="H405" s="26"/>
    </row>
    <row r="406" spans="8:8">
      <c r="H406" s="26"/>
    </row>
    <row r="407" spans="8:8">
      <c r="H407" s="26"/>
    </row>
    <row r="408" spans="8:8">
      <c r="H408" s="26"/>
    </row>
    <row r="409" spans="8:8">
      <c r="H409" s="26"/>
    </row>
    <row r="410" spans="8:8">
      <c r="H410" s="26"/>
    </row>
    <row r="411" spans="8:8">
      <c r="H411" s="26"/>
    </row>
    <row r="412" spans="8:8">
      <c r="H412" s="26"/>
    </row>
    <row r="413" spans="8:8">
      <c r="H413" s="26"/>
    </row>
    <row r="414" spans="8:8">
      <c r="H414" s="26"/>
    </row>
    <row r="415" spans="8:8">
      <c r="H415" s="26"/>
    </row>
    <row r="416" spans="8:8">
      <c r="H416" s="26"/>
    </row>
    <row r="417" spans="8:8">
      <c r="H417" s="26"/>
    </row>
    <row r="418" spans="8:8">
      <c r="H418" s="26"/>
    </row>
    <row r="419" spans="8:8">
      <c r="H419" s="26"/>
    </row>
    <row r="420" spans="8:8">
      <c r="H420" s="26"/>
    </row>
    <row r="421" spans="8:8">
      <c r="H421" s="26"/>
    </row>
    <row r="422" spans="8:8">
      <c r="H422" s="26"/>
    </row>
    <row r="423" spans="8:8">
      <c r="H423" s="26"/>
    </row>
    <row r="424" spans="8:8">
      <c r="H424" s="26"/>
    </row>
    <row r="425" spans="8:8">
      <c r="H425" s="26"/>
    </row>
    <row r="426" spans="8:8">
      <c r="H426" s="26"/>
    </row>
    <row r="427" spans="8:8">
      <c r="H427" s="26"/>
    </row>
    <row r="428" spans="8:8">
      <c r="H428" s="26"/>
    </row>
    <row r="429" spans="8:8">
      <c r="H429" s="26"/>
    </row>
    <row r="430" spans="8:8">
      <c r="H430" s="26"/>
    </row>
    <row r="431" spans="8:8">
      <c r="H431" s="26"/>
    </row>
    <row r="432" spans="8:8">
      <c r="H432" s="26"/>
    </row>
    <row r="433" spans="8:8">
      <c r="H433" s="26"/>
    </row>
    <row r="434" spans="8:8">
      <c r="H434" s="26"/>
    </row>
    <row r="435" spans="8:8">
      <c r="H435" s="26"/>
    </row>
    <row r="436" spans="8:8">
      <c r="H436" s="26"/>
    </row>
    <row r="437" spans="8:8">
      <c r="H437" s="26"/>
    </row>
    <row r="438" spans="8:8">
      <c r="H438" s="26"/>
    </row>
    <row r="439" spans="8:8">
      <c r="H439" s="26"/>
    </row>
    <row r="440" spans="8:8">
      <c r="H440" s="26"/>
    </row>
    <row r="441" spans="8:8">
      <c r="H441" s="26"/>
    </row>
    <row r="442" spans="8:8">
      <c r="H442" s="26"/>
    </row>
    <row r="443" spans="8:8">
      <c r="H443" s="26"/>
    </row>
    <row r="444" spans="8:8">
      <c r="H444" s="26"/>
    </row>
    <row r="445" spans="8:8">
      <c r="H445" s="26"/>
    </row>
    <row r="446" spans="8:8">
      <c r="H446" s="26"/>
    </row>
    <row r="447" spans="8:8">
      <c r="H447" s="26"/>
    </row>
    <row r="448" spans="8:8">
      <c r="H448" s="26"/>
    </row>
    <row r="449" spans="8:8">
      <c r="H449" s="26"/>
    </row>
    <row r="450" spans="8:8">
      <c r="H450" s="26"/>
    </row>
    <row r="451" spans="8:8">
      <c r="H451" s="26"/>
    </row>
    <row r="452" spans="8:8">
      <c r="H452" s="26"/>
    </row>
    <row r="453" spans="8:8">
      <c r="H453" s="26"/>
    </row>
    <row r="454" spans="8:8">
      <c r="H454" s="26"/>
    </row>
    <row r="455" spans="8:8">
      <c r="H455" s="26"/>
    </row>
    <row r="456" spans="8:8">
      <c r="H456" s="26"/>
    </row>
    <row r="457" spans="8:8">
      <c r="H457" s="26"/>
    </row>
    <row r="458" spans="8:8">
      <c r="H458" s="26"/>
    </row>
    <row r="459" spans="8:8">
      <c r="H459" s="26"/>
    </row>
    <row r="460" spans="8:8">
      <c r="H460" s="26"/>
    </row>
    <row r="461" spans="8:8">
      <c r="H461" s="26"/>
    </row>
    <row r="462" spans="8:8">
      <c r="H462" s="26"/>
    </row>
    <row r="463" spans="8:8">
      <c r="H463" s="26"/>
    </row>
    <row r="464" spans="8:8">
      <c r="H464" s="26"/>
    </row>
    <row r="465" spans="8:8">
      <c r="H465" s="26"/>
    </row>
    <row r="466" spans="8:8">
      <c r="H466" s="26"/>
    </row>
    <row r="467" spans="8:8">
      <c r="H467" s="26"/>
    </row>
    <row r="468" spans="8:8">
      <c r="H468" s="26"/>
    </row>
    <row r="469" spans="8:8">
      <c r="H469" s="26"/>
    </row>
    <row r="470" spans="8:8">
      <c r="H470" s="26"/>
    </row>
    <row r="471" spans="8:8">
      <c r="H471" s="26"/>
    </row>
    <row r="472" spans="8:8">
      <c r="H472" s="26"/>
    </row>
    <row r="473" spans="8:8">
      <c r="H473" s="26"/>
    </row>
    <row r="474" spans="8:8">
      <c r="H474" s="26"/>
    </row>
    <row r="475" spans="8:8">
      <c r="H475" s="26"/>
    </row>
    <row r="476" spans="8:8">
      <c r="H476" s="26"/>
    </row>
    <row r="477" spans="8:8">
      <c r="H477" s="26"/>
    </row>
    <row r="478" spans="8:8">
      <c r="H478" s="26"/>
    </row>
    <row r="479" spans="8:8">
      <c r="H479" s="26"/>
    </row>
    <row r="480" spans="8:8">
      <c r="H480" s="26"/>
    </row>
    <row r="481" spans="8:8">
      <c r="H481" s="26"/>
    </row>
    <row r="482" spans="8:8">
      <c r="H482" s="26"/>
    </row>
    <row r="483" spans="8:8">
      <c r="H483" s="26"/>
    </row>
    <row r="484" spans="8:8">
      <c r="H484" s="26"/>
    </row>
    <row r="485" spans="8:8">
      <c r="H485" s="26"/>
    </row>
    <row r="486" spans="8:8">
      <c r="H486" s="26"/>
    </row>
    <row r="487" spans="8:8">
      <c r="H487" s="26"/>
    </row>
    <row r="488" spans="8:8">
      <c r="H488" s="26"/>
    </row>
    <row r="489" spans="8:8">
      <c r="H489" s="26"/>
    </row>
    <row r="490" spans="8:8">
      <c r="H490" s="26"/>
    </row>
    <row r="491" spans="8:8">
      <c r="H491" s="26"/>
    </row>
    <row r="492" spans="8:8">
      <c r="H492" s="26"/>
    </row>
    <row r="493" spans="8:8">
      <c r="H493" s="26"/>
    </row>
    <row r="494" spans="8:8">
      <c r="H494" s="26"/>
    </row>
    <row r="495" spans="8:8">
      <c r="H495" s="26"/>
    </row>
    <row r="496" spans="8:8">
      <c r="H496" s="26"/>
    </row>
    <row r="497" spans="8:8">
      <c r="H497" s="26"/>
    </row>
    <row r="498" spans="8:8">
      <c r="H498" s="26"/>
    </row>
    <row r="499" spans="8:8">
      <c r="H499" s="26"/>
    </row>
    <row r="500" spans="8:8">
      <c r="H500" s="26"/>
    </row>
    <row r="501" spans="8:8">
      <c r="H501" s="26"/>
    </row>
    <row r="502" spans="8:8">
      <c r="H502" s="26"/>
    </row>
    <row r="503" spans="8:8">
      <c r="H503" s="26"/>
    </row>
    <row r="504" spans="8:8">
      <c r="H504" s="26"/>
    </row>
    <row r="505" spans="8:8">
      <c r="H505" s="26"/>
    </row>
    <row r="506" spans="8:8">
      <c r="H506" s="26"/>
    </row>
    <row r="507" spans="8:8">
      <c r="H507" s="26"/>
    </row>
    <row r="508" spans="8:8">
      <c r="H508" s="26"/>
    </row>
    <row r="509" spans="8:8">
      <c r="H509" s="26"/>
    </row>
    <row r="510" spans="8:8">
      <c r="H510" s="26"/>
    </row>
    <row r="511" spans="8:8">
      <c r="H511" s="26"/>
    </row>
    <row r="512" spans="8:8">
      <c r="H512" s="26"/>
    </row>
    <row r="513" spans="8:8">
      <c r="H513" s="26"/>
    </row>
    <row r="514" spans="8:8">
      <c r="H514" s="26"/>
    </row>
    <row r="515" spans="8:8">
      <c r="H515" s="26"/>
    </row>
    <row r="516" spans="8:8">
      <c r="H516" s="26"/>
    </row>
    <row r="517" spans="8:8">
      <c r="H517" s="26"/>
    </row>
    <row r="518" spans="8:8">
      <c r="H518" s="26"/>
    </row>
    <row r="519" spans="8:8">
      <c r="H519" s="26"/>
    </row>
    <row r="520" spans="8:8">
      <c r="H520" s="26"/>
    </row>
    <row r="521" spans="8:8">
      <c r="H521" s="26"/>
    </row>
    <row r="522" spans="8:8">
      <c r="H522" s="26"/>
    </row>
    <row r="523" spans="8:8">
      <c r="H523" s="26"/>
    </row>
    <row r="524" spans="8:8">
      <c r="H524" s="26"/>
    </row>
    <row r="525" spans="8:8">
      <c r="H525" s="26"/>
    </row>
    <row r="526" spans="8:8">
      <c r="H526" s="26"/>
    </row>
    <row r="527" spans="8:8">
      <c r="H527" s="26"/>
    </row>
    <row r="528" spans="8:8">
      <c r="H528" s="26"/>
    </row>
    <row r="529" spans="8:8">
      <c r="H529" s="26"/>
    </row>
    <row r="530" spans="8:8">
      <c r="H530" s="26"/>
    </row>
    <row r="531" spans="8:8">
      <c r="H531" s="26"/>
    </row>
    <row r="532" spans="8:8">
      <c r="H532" s="26"/>
    </row>
    <row r="533" spans="8:8">
      <c r="H533" s="26"/>
    </row>
    <row r="534" spans="8:8">
      <c r="H534" s="26"/>
    </row>
    <row r="535" spans="8:8">
      <c r="H535" s="26"/>
    </row>
    <row r="536" spans="8:8">
      <c r="H536" s="26"/>
    </row>
    <row r="537" spans="8:8">
      <c r="H537" s="26"/>
    </row>
    <row r="538" spans="8:8">
      <c r="H538" s="26"/>
    </row>
    <row r="539" spans="8:8">
      <c r="H539" s="26"/>
    </row>
  </sheetData>
  <pageMargins left="0.5" right="0.5" top="0.5" bottom="0.55000000000000004" header="0.5" footer="0.5"/>
  <pageSetup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184"/>
  <sheetViews>
    <sheetView tabSelected="1" zoomScale="40" zoomScaleNormal="40" workbookViewId="0">
      <selection activeCell="F37" sqref="F37"/>
    </sheetView>
  </sheetViews>
  <sheetFormatPr defaultColWidth="15.21875" defaultRowHeight="11.25"/>
  <cols>
    <col min="1" max="1" width="9.109375" style="6" bestFit="1" customWidth="1"/>
    <col min="2" max="2" width="5.21875" style="26" customWidth="1"/>
    <col min="3" max="3" width="19.21875" style="6" customWidth="1"/>
    <col min="4" max="4" width="6.109375" style="6" customWidth="1"/>
    <col min="5" max="5" width="4.109375" style="6" customWidth="1"/>
    <col min="6" max="6" width="5.33203125" style="6" customWidth="1"/>
    <col min="7" max="7" width="1.33203125" style="6" customWidth="1"/>
    <col min="8" max="8" width="5.44140625" style="6" customWidth="1"/>
    <col min="9" max="9" width="4.77734375" style="6" customWidth="1"/>
    <col min="10" max="10" width="6.109375" style="6" customWidth="1"/>
    <col min="11" max="11" width="4.44140625" style="6" bestFit="1" customWidth="1"/>
    <col min="12" max="12" width="3.109375" style="6" bestFit="1" customWidth="1"/>
    <col min="13" max="13" width="7.21875" style="6" customWidth="1"/>
    <col min="14" max="14" width="5.21875" style="6" bestFit="1" customWidth="1"/>
    <col min="15" max="15" width="7.77734375" style="6" customWidth="1"/>
    <col min="16" max="16" width="7.88671875" style="6" customWidth="1"/>
    <col min="17" max="17" width="6.88671875" style="6" customWidth="1"/>
    <col min="18" max="18" width="5.21875" style="6" bestFit="1" customWidth="1"/>
    <col min="19" max="19" width="8" style="6" customWidth="1"/>
    <col min="20" max="20" width="4.6640625" style="6" customWidth="1"/>
    <col min="21" max="21" width="6.77734375" style="6" customWidth="1"/>
    <col min="22" max="22" width="1" style="6" customWidth="1"/>
    <col min="23" max="23" width="6.88671875" style="6" bestFit="1" customWidth="1"/>
    <col min="24" max="24" width="6.109375" style="6" bestFit="1" customWidth="1"/>
    <col min="25" max="25" width="4.5546875" style="6" bestFit="1" customWidth="1"/>
    <col min="26" max="27" width="6.44140625" style="6" bestFit="1" customWidth="1"/>
    <col min="28" max="28" width="7.77734375" style="6" bestFit="1" customWidth="1"/>
    <col min="29" max="29" width="5.44140625" style="6" bestFit="1" customWidth="1"/>
    <col min="30" max="30" width="5.88671875" style="6" bestFit="1" customWidth="1"/>
    <col min="31" max="31" width="10.5546875" style="6" bestFit="1" customWidth="1"/>
    <col min="32" max="32" width="5.44140625" style="6" bestFit="1" customWidth="1"/>
    <col min="33" max="33" width="3.5546875" style="6" bestFit="1" customWidth="1"/>
    <col min="34" max="34" width="15.21875" style="6"/>
    <col min="35" max="35" width="15.21875" style="104"/>
    <col min="36" max="36" width="2.77734375" style="104" customWidth="1"/>
    <col min="37" max="37" width="15.21875" style="104"/>
    <col min="38" max="38" width="2.44140625" style="104" customWidth="1"/>
    <col min="39" max="39" width="15.21875" style="104"/>
    <col min="40" max="40" width="2" style="104" customWidth="1"/>
    <col min="41" max="41" width="15.21875" style="104"/>
    <col min="42" max="42" width="2.6640625" style="104" customWidth="1"/>
    <col min="43" max="43" width="15.21875" style="104"/>
    <col min="44" max="16384" width="15.21875" style="6"/>
  </cols>
  <sheetData>
    <row r="1" spans="1:43">
      <c r="C1" s="43" t="s">
        <v>178</v>
      </c>
      <c r="J1" s="26"/>
      <c r="O1" s="16"/>
      <c r="P1" s="16"/>
      <c r="AD1" s="67">
        <v>40909</v>
      </c>
    </row>
    <row r="2" spans="1:43">
      <c r="C2" s="43" t="s">
        <v>0</v>
      </c>
      <c r="J2" s="26"/>
      <c r="O2" s="45">
        <f>+'2112 Trks'!M2</f>
        <v>0</v>
      </c>
      <c r="P2" s="46" t="s">
        <v>1</v>
      </c>
    </row>
    <row r="3" spans="1:43">
      <c r="C3" s="47">
        <f>Summary!H8</f>
        <v>45138</v>
      </c>
      <c r="J3" s="26"/>
      <c r="O3" s="45">
        <f>+'2112 Trks'!M3</f>
        <v>0</v>
      </c>
      <c r="P3" s="46" t="s">
        <v>3</v>
      </c>
      <c r="AD3" s="6" t="s">
        <v>4</v>
      </c>
      <c r="AE3" s="6" t="s">
        <v>5</v>
      </c>
    </row>
    <row r="4" spans="1:43">
      <c r="J4" s="26"/>
      <c r="O4" s="48">
        <f>+'2112 Trks'!M4</f>
        <v>0</v>
      </c>
      <c r="P4" s="46" t="s">
        <v>6</v>
      </c>
      <c r="AD4" s="6" t="s">
        <v>7</v>
      </c>
      <c r="AE4" s="6" t="s">
        <v>8</v>
      </c>
    </row>
    <row r="5" spans="1:43">
      <c r="J5" s="26"/>
      <c r="O5" s="48">
        <f>+'2112 Trks'!M5</f>
        <v>0</v>
      </c>
      <c r="P5" s="46" t="s">
        <v>11</v>
      </c>
      <c r="AD5" s="6" t="s">
        <v>12</v>
      </c>
      <c r="AE5" s="6" t="s">
        <v>13</v>
      </c>
      <c r="AI5" s="578" t="s">
        <v>379</v>
      </c>
      <c r="AJ5" s="578"/>
      <c r="AK5" s="578"/>
      <c r="AL5" s="578"/>
      <c r="AM5" s="578"/>
      <c r="AN5" s="578"/>
      <c r="AO5" s="578"/>
      <c r="AP5" s="578"/>
      <c r="AQ5" s="578"/>
    </row>
    <row r="6" spans="1:43">
      <c r="J6" s="26"/>
      <c r="AD6" s="6" t="s">
        <v>15</v>
      </c>
      <c r="AE6" s="6" t="s">
        <v>16</v>
      </c>
      <c r="AI6" s="578"/>
      <c r="AJ6" s="578"/>
      <c r="AK6" s="578"/>
      <c r="AL6" s="578"/>
      <c r="AM6" s="578"/>
      <c r="AN6" s="578"/>
      <c r="AO6" s="578"/>
      <c r="AP6" s="578"/>
      <c r="AQ6" s="578"/>
    </row>
    <row r="7" spans="1:43" ht="12.75">
      <c r="J7" s="26"/>
      <c r="AD7" s="6" t="s">
        <v>20</v>
      </c>
      <c r="AE7" s="6" t="s">
        <v>21</v>
      </c>
      <c r="AI7" s="93"/>
      <c r="AJ7" s="93"/>
      <c r="AK7" s="93"/>
      <c r="AL7" s="93"/>
      <c r="AM7" s="93"/>
      <c r="AN7" s="93"/>
      <c r="AO7" s="93"/>
      <c r="AP7" s="93"/>
      <c r="AQ7" s="93"/>
    </row>
    <row r="8" spans="1:43" ht="15">
      <c r="B8" s="49"/>
      <c r="C8" s="16"/>
      <c r="D8" s="16"/>
      <c r="E8" s="16"/>
      <c r="F8" s="16"/>
      <c r="G8" s="16"/>
      <c r="H8" s="16"/>
      <c r="I8" s="16"/>
      <c r="J8" s="26"/>
      <c r="R8" s="26" t="s">
        <v>25</v>
      </c>
      <c r="U8" s="32" t="s">
        <v>17</v>
      </c>
      <c r="W8" s="32" t="s">
        <v>18</v>
      </c>
      <c r="X8" s="32" t="s">
        <v>73</v>
      </c>
      <c r="Z8" s="32" t="s">
        <v>19</v>
      </c>
      <c r="AA8" s="32" t="s">
        <v>19</v>
      </c>
      <c r="AB8" s="32"/>
      <c r="AI8" s="93"/>
      <c r="AJ8" s="93"/>
      <c r="AK8" s="93"/>
      <c r="AL8" s="93"/>
      <c r="AM8" s="94" t="s">
        <v>380</v>
      </c>
      <c r="AN8" s="93"/>
      <c r="AO8" s="94" t="s">
        <v>380</v>
      </c>
      <c r="AP8" s="93"/>
      <c r="AQ8" s="93"/>
    </row>
    <row r="9" spans="1:43" ht="15">
      <c r="A9" s="32"/>
      <c r="B9" s="32" t="s">
        <v>54</v>
      </c>
      <c r="C9" s="50"/>
      <c r="D9" s="32" t="s">
        <v>56</v>
      </c>
      <c r="E9" s="32"/>
      <c r="F9" s="51" t="s">
        <v>23</v>
      </c>
      <c r="G9" s="16"/>
      <c r="H9" s="32" t="s">
        <v>54</v>
      </c>
      <c r="I9" s="32"/>
      <c r="J9" s="32" t="s">
        <v>24</v>
      </c>
      <c r="K9" s="32" t="s">
        <v>54</v>
      </c>
      <c r="M9" s="32" t="s">
        <v>54</v>
      </c>
      <c r="N9" s="26" t="s">
        <v>31</v>
      </c>
      <c r="O9" s="50" t="s">
        <v>54</v>
      </c>
      <c r="P9" s="50"/>
      <c r="Q9" s="32" t="s">
        <v>65</v>
      </c>
      <c r="R9" s="26" t="s">
        <v>24</v>
      </c>
      <c r="S9" s="32" t="s">
        <v>17</v>
      </c>
      <c r="T9" s="32" t="s">
        <v>34</v>
      </c>
      <c r="U9" s="32" t="s">
        <v>19</v>
      </c>
      <c r="W9" s="32" t="s">
        <v>72</v>
      </c>
      <c r="X9" s="32" t="s">
        <v>72</v>
      </c>
      <c r="Y9" s="26" t="s">
        <v>27</v>
      </c>
      <c r="Z9" s="32" t="s">
        <v>28</v>
      </c>
      <c r="AA9" s="32" t="s">
        <v>28</v>
      </c>
      <c r="AB9" s="32" t="s">
        <v>38</v>
      </c>
      <c r="AI9" s="95" t="s">
        <v>381</v>
      </c>
      <c r="AJ9" s="96"/>
      <c r="AK9" s="95" t="s">
        <v>382</v>
      </c>
      <c r="AL9" s="96"/>
      <c r="AM9" s="95" t="s">
        <v>383</v>
      </c>
      <c r="AN9" s="96"/>
      <c r="AO9" s="95" t="s">
        <v>383</v>
      </c>
      <c r="AP9" s="96"/>
      <c r="AQ9" s="95" t="s">
        <v>384</v>
      </c>
    </row>
    <row r="10" spans="1:43" ht="15">
      <c r="A10" s="32"/>
      <c r="B10" s="32"/>
      <c r="C10" s="50"/>
      <c r="D10" s="32" t="s">
        <v>58</v>
      </c>
      <c r="E10" s="32"/>
      <c r="F10" s="51" t="s">
        <v>29</v>
      </c>
      <c r="G10" s="16"/>
      <c r="H10" s="32" t="s">
        <v>30</v>
      </c>
      <c r="I10" s="32" t="s">
        <v>61</v>
      </c>
      <c r="J10" s="32" t="s">
        <v>62</v>
      </c>
      <c r="K10" s="32" t="s">
        <v>31</v>
      </c>
      <c r="L10" s="6" t="s">
        <v>41</v>
      </c>
      <c r="M10" s="32" t="s">
        <v>31</v>
      </c>
      <c r="N10" s="26" t="s">
        <v>25</v>
      </c>
      <c r="O10" s="32" t="s">
        <v>64</v>
      </c>
      <c r="P10" s="32" t="s">
        <v>66</v>
      </c>
      <c r="Q10" s="32" t="s">
        <v>24</v>
      </c>
      <c r="R10" s="26" t="s">
        <v>43</v>
      </c>
      <c r="S10" s="32" t="s">
        <v>33</v>
      </c>
      <c r="T10" s="32" t="s">
        <v>36</v>
      </c>
      <c r="U10" s="32" t="s">
        <v>32</v>
      </c>
      <c r="V10" s="32"/>
      <c r="W10" s="32" t="s">
        <v>64</v>
      </c>
      <c r="X10" s="32" t="s">
        <v>64</v>
      </c>
      <c r="Y10" s="32" t="s">
        <v>36</v>
      </c>
      <c r="Z10" s="32" t="s">
        <v>37</v>
      </c>
      <c r="AA10" s="32" t="s">
        <v>37</v>
      </c>
      <c r="AB10" s="32" t="s">
        <v>45</v>
      </c>
      <c r="AC10" s="26" t="s">
        <v>4</v>
      </c>
      <c r="AD10" s="26" t="s">
        <v>46</v>
      </c>
      <c r="AE10" s="26" t="s">
        <v>47</v>
      </c>
      <c r="AF10" s="26" t="s">
        <v>15</v>
      </c>
      <c r="AG10" s="26" t="s">
        <v>20</v>
      </c>
      <c r="AI10" s="95" t="s">
        <v>385</v>
      </c>
      <c r="AJ10" s="96"/>
      <c r="AK10" s="95" t="s">
        <v>386</v>
      </c>
      <c r="AL10" s="96"/>
      <c r="AM10" s="97" t="s">
        <v>387</v>
      </c>
      <c r="AN10" s="96"/>
      <c r="AO10" s="95" t="s">
        <v>388</v>
      </c>
      <c r="AP10" s="96"/>
      <c r="AQ10" s="95" t="s">
        <v>45</v>
      </c>
    </row>
    <row r="11" spans="1:43">
      <c r="A11" s="52" t="s">
        <v>52</v>
      </c>
      <c r="B11" s="52" t="s">
        <v>59</v>
      </c>
      <c r="C11" s="53" t="s">
        <v>60</v>
      </c>
      <c r="D11" s="52" t="s">
        <v>24</v>
      </c>
      <c r="E11" s="52" t="s">
        <v>39</v>
      </c>
      <c r="F11" s="54" t="s">
        <v>34</v>
      </c>
      <c r="G11" s="16" t="s">
        <v>49</v>
      </c>
      <c r="H11" s="52" t="s">
        <v>40</v>
      </c>
      <c r="I11" s="52" t="s">
        <v>63</v>
      </c>
      <c r="J11" s="52" t="s">
        <v>64</v>
      </c>
      <c r="K11" s="52" t="s">
        <v>42</v>
      </c>
      <c r="L11" s="55" t="s">
        <v>49</v>
      </c>
      <c r="M11" s="52" t="s">
        <v>42</v>
      </c>
      <c r="N11" s="55" t="s">
        <v>49</v>
      </c>
      <c r="O11" s="52" t="s">
        <v>42</v>
      </c>
      <c r="P11" s="52" t="s">
        <v>64</v>
      </c>
      <c r="Q11" s="52" t="s">
        <v>64</v>
      </c>
      <c r="R11" s="55" t="s">
        <v>49</v>
      </c>
      <c r="S11" s="32" t="s">
        <v>44</v>
      </c>
      <c r="T11" s="52" t="s">
        <v>49</v>
      </c>
      <c r="U11" s="32" t="s">
        <v>37</v>
      </c>
      <c r="V11" s="32"/>
      <c r="W11" s="56">
        <f>Summary!F8</f>
        <v>44774</v>
      </c>
      <c r="X11" s="56">
        <f>+C3</f>
        <v>45138</v>
      </c>
      <c r="Y11" s="32" t="s">
        <v>34</v>
      </c>
      <c r="Z11" s="112">
        <f>+W11</f>
        <v>44774</v>
      </c>
      <c r="AA11" s="112">
        <f>+C3</f>
        <v>45138</v>
      </c>
      <c r="AB11" s="57">
        <f>C3</f>
        <v>45138</v>
      </c>
    </row>
    <row r="12" spans="1:43">
      <c r="A12" s="52"/>
      <c r="B12" s="52"/>
      <c r="C12" s="53" t="s">
        <v>243</v>
      </c>
      <c r="D12" s="52"/>
      <c r="E12" s="52"/>
      <c r="F12" s="54"/>
      <c r="G12" s="16"/>
      <c r="H12" s="52"/>
      <c r="I12" s="52"/>
      <c r="J12" s="52"/>
      <c r="K12" s="52"/>
      <c r="L12" s="55"/>
      <c r="M12" s="52"/>
      <c r="N12" s="55"/>
      <c r="O12" s="52"/>
      <c r="P12" s="52"/>
      <c r="Q12" s="52"/>
      <c r="R12" s="55"/>
      <c r="S12" s="32"/>
      <c r="T12" s="52"/>
      <c r="U12" s="32"/>
      <c r="V12" s="32"/>
      <c r="W12" s="56"/>
      <c r="X12" s="56"/>
      <c r="Y12" s="32"/>
      <c r="Z12" s="112"/>
      <c r="AA12" s="112"/>
      <c r="AB12" s="57"/>
    </row>
    <row r="13" spans="1:43" s="68" customFormat="1">
      <c r="B13" s="69">
        <v>8</v>
      </c>
      <c r="C13" s="70" t="s">
        <v>301</v>
      </c>
      <c r="D13" s="71">
        <v>2014</v>
      </c>
      <c r="E13" s="69">
        <v>8</v>
      </c>
      <c r="F13" s="72">
        <v>0.33</v>
      </c>
      <c r="H13" s="26" t="s">
        <v>51</v>
      </c>
      <c r="I13" s="69">
        <v>5</v>
      </c>
      <c r="J13" s="28">
        <f>D13+I13</f>
        <v>2019</v>
      </c>
      <c r="M13" s="70">
        <f>19000*0.33</f>
        <v>6270</v>
      </c>
      <c r="N13" s="73">
        <v>0</v>
      </c>
      <c r="O13" s="16">
        <f>M13-M13*F13</f>
        <v>4200.8999999999996</v>
      </c>
      <c r="P13" s="16">
        <f>O13/I13/12</f>
        <v>70.015000000000001</v>
      </c>
      <c r="Q13" s="16">
        <f>IF(N13&gt;0,0,IF(OR(AC13&gt;AD13,AE13&lt;AF13),0,IF(AND(AE13&gt;=AF13,AE13&lt;=AD13),P13*((AE13-AF13)*12),IF(AND(AF13&lt;=AC13,AD13&gt;=AC13),((AD13-AC13)*12)*P13,IF(AE13&gt;AD13,12*P13,0)))))</f>
        <v>0</v>
      </c>
      <c r="R13" s="16">
        <f>IF(N13=0,0,IF(AND(AG13&gt;=AF13,AG13&lt;=AE13),((AG13-AF13)*12)*P13,0))</f>
        <v>0</v>
      </c>
      <c r="S13" s="16">
        <f>IF(R13&gt;0,R13,Q13)</f>
        <v>0</v>
      </c>
      <c r="T13" s="16">
        <v>1</v>
      </c>
      <c r="U13" s="16">
        <f>T13*SUM(Q13:R13)</f>
        <v>0</v>
      </c>
      <c r="V13" s="16"/>
      <c r="W13" s="16">
        <f>IF(AC13&gt;AD13,0,IF(AE13&lt;AF13,O13,IF(AND(AE13&gt;=AF13,AE13&lt;=AD13),(O13-S13),IF(AND(AF13&lt;=AC13,AD13&gt;=AC13),0,IF(AE13&gt;AD13,((AF13-AC13)*12)*P13,0)))))</f>
        <v>0</v>
      </c>
      <c r="X13" s="16">
        <f>W13*T13</f>
        <v>0</v>
      </c>
      <c r="Y13" s="16">
        <v>1</v>
      </c>
      <c r="Z13" s="16">
        <f>X13*Y13</f>
        <v>0</v>
      </c>
      <c r="AA13" s="16">
        <f>IF(N13&gt;0,0,Z13+U13*Y13)*Y13</f>
        <v>0</v>
      </c>
      <c r="AB13" s="16">
        <f>IF(N13&gt;0,(M13-Z13)/2,IF(AC13&gt;=AF13,(((M13*T13)*Y13)-AA13)/2,((((M13*T13)*Y13)-Z13)+(((M13*T13)*Y13)-AA13))/2))</f>
        <v>3135</v>
      </c>
      <c r="AC13" s="16">
        <f>$D13+(($E13-1)/12)</f>
        <v>2014.5833333333333</v>
      </c>
      <c r="AD13" s="16">
        <f>($O$5+1)-($O$2/12)</f>
        <v>1</v>
      </c>
      <c r="AE13" s="16">
        <f>$J13+(($E13-1)/12)</f>
        <v>2019.5833333333333</v>
      </c>
      <c r="AF13" s="16">
        <f>$O$4+($O$3/12)</f>
        <v>0</v>
      </c>
      <c r="AG13" s="16">
        <f>$K13+(($L13-1)/12)</f>
        <v>-8.3333333333333329E-2</v>
      </c>
      <c r="AI13" s="116">
        <f t="shared" ref="AI13:AI18" si="0">+IF((AE13-AF13)&gt;3,((M13-O13)/(AE13-AF13)),(M13-O13)/3)</f>
        <v>1.0245182587167323</v>
      </c>
      <c r="AJ13" s="116"/>
      <c r="AK13" s="116">
        <f t="shared" ref="AK13:AK18" si="1">+AI13+U13</f>
        <v>1.0245182587167323</v>
      </c>
      <c r="AL13" s="116"/>
      <c r="AM13" s="116">
        <f t="shared" ref="AM13:AM18" si="2">+IF(AE13&lt;AF13,-AB13,0)</f>
        <v>0</v>
      </c>
      <c r="AN13" s="116"/>
      <c r="AO13" s="116">
        <f t="shared" ref="AO13:AO18" si="3">IF(AE13&gt;AF13,IF(AI13&gt;0,IF(N13&gt;0,(M13-Z13)/2,IF(AC13&gt;=AF13,(((M13*T13)*Y13)-(AA13+AI13))/2,((((M13*T13)*Y13)-Z13)+(((M13*T13)*Y13)-(AA13+AI13)))/2)),0),0)</f>
        <v>3134.4877408706416</v>
      </c>
      <c r="AP13" s="116"/>
      <c r="AQ13" s="116">
        <f t="shared" ref="AQ13:AQ18" si="4">+AB13+AM13+(IF(AO13&gt;0,(AO13-AB13),0))</f>
        <v>3134.4877408706416</v>
      </c>
    </row>
    <row r="14" spans="1:43" s="68" customFormat="1">
      <c r="A14" s="26">
        <v>28502</v>
      </c>
      <c r="B14" s="26">
        <v>1</v>
      </c>
      <c r="C14" s="74" t="s">
        <v>331</v>
      </c>
      <c r="D14" s="71">
        <v>2004</v>
      </c>
      <c r="E14" s="69">
        <v>1</v>
      </c>
      <c r="F14" s="72">
        <v>0.33</v>
      </c>
      <c r="H14" s="26" t="s">
        <v>51</v>
      </c>
      <c r="I14" s="69">
        <v>5</v>
      </c>
      <c r="J14" s="28">
        <f>D14+I14</f>
        <v>2009</v>
      </c>
      <c r="M14" s="70">
        <v>0</v>
      </c>
      <c r="N14" s="73"/>
      <c r="O14" s="16">
        <f>M14-M14*F14</f>
        <v>0</v>
      </c>
      <c r="P14" s="16">
        <f>O14/I14/12</f>
        <v>0</v>
      </c>
      <c r="Q14" s="16">
        <f>IF(N14&gt;0,0,IF(OR(AC14&gt;AD14,AE14&lt;AF14),0,IF(AND(AE14&gt;=AF14,AE14&lt;=AD14),P14*((AE14-AF14)*12),IF(AND(AF14&lt;=AC14,AD14&gt;=AC14),((AD14-AC14)*12)*P14,IF(AE14&gt;AD14,12*P14,0)))))</f>
        <v>0</v>
      </c>
      <c r="R14" s="16">
        <f>IF(N14=0,0,IF(AND(AG14&gt;=AF14,AG14&lt;=AE14),((AG14-AF14)*12)*P14,0))</f>
        <v>0</v>
      </c>
      <c r="S14" s="16">
        <f>IF(R14&gt;0,R14,Q14)</f>
        <v>0</v>
      </c>
      <c r="T14" s="16">
        <v>1</v>
      </c>
      <c r="U14" s="16">
        <f>T14*SUM(Q14:R14)</f>
        <v>0</v>
      </c>
      <c r="V14" s="16"/>
      <c r="W14" s="16">
        <f>IF(AC14&gt;AD14,0,IF(AE14&lt;AF14,O14,IF(AND(AE14&gt;=AF14,AE14&lt;=AD14),(O14-S14),IF(AND(AF14&lt;=AC14,AD14&gt;=AC14),0,IF(AE14&gt;AD14,((AF14-AC14)*12)*P14,0)))))</f>
        <v>0</v>
      </c>
      <c r="X14" s="16">
        <f>W14*T14</f>
        <v>0</v>
      </c>
      <c r="Y14" s="16">
        <v>1</v>
      </c>
      <c r="Z14" s="16">
        <f>X14*Y14</f>
        <v>0</v>
      </c>
      <c r="AA14" s="16">
        <f>IF(N14&gt;0,0,Z14+U14*Y14)*Y14</f>
        <v>0</v>
      </c>
      <c r="AB14" s="16">
        <f>IF(N14&gt;0,(M14-Z14)/2,IF(AC14&gt;=AF14,(((M14*T14)*Y14)-AA14)/2,((((M14*T14)*Y14)-Z14)+(((M14*T14)*Y14)-AA14))/2))</f>
        <v>0</v>
      </c>
      <c r="AC14" s="16">
        <f>$D14+(($E14-1)/12)</f>
        <v>2004</v>
      </c>
      <c r="AD14" s="16">
        <f>($O$5+1)-($O$2/12)</f>
        <v>1</v>
      </c>
      <c r="AE14" s="16">
        <f>$J14+(($E14-1)/12)</f>
        <v>2009</v>
      </c>
      <c r="AF14" s="16">
        <f>$O$4+($O$3/12)</f>
        <v>0</v>
      </c>
      <c r="AG14" s="16">
        <f>$K14+(($L14-1)/12)</f>
        <v>-8.3333333333333329E-2</v>
      </c>
      <c r="AI14" s="116">
        <f t="shared" si="0"/>
        <v>0</v>
      </c>
      <c r="AJ14" s="116"/>
      <c r="AK14" s="116">
        <f t="shared" si="1"/>
        <v>0</v>
      </c>
      <c r="AL14" s="116"/>
      <c r="AM14" s="116">
        <f t="shared" si="2"/>
        <v>0</v>
      </c>
      <c r="AN14" s="116"/>
      <c r="AO14" s="116">
        <f t="shared" si="3"/>
        <v>0</v>
      </c>
      <c r="AP14" s="116"/>
      <c r="AQ14" s="116">
        <f t="shared" si="4"/>
        <v>0</v>
      </c>
    </row>
    <row r="15" spans="1:43" s="68" customFormat="1">
      <c r="A15" s="26">
        <v>130854</v>
      </c>
      <c r="B15" s="26">
        <v>1</v>
      </c>
      <c r="C15" s="74" t="s">
        <v>332</v>
      </c>
      <c r="D15" s="71">
        <v>2005</v>
      </c>
      <c r="E15" s="69">
        <v>3</v>
      </c>
      <c r="F15" s="72">
        <v>0</v>
      </c>
      <c r="H15" s="26" t="s">
        <v>51</v>
      </c>
      <c r="I15" s="69">
        <v>5</v>
      </c>
      <c r="J15" s="28">
        <f>D15+I15</f>
        <v>2010</v>
      </c>
      <c r="M15" s="70">
        <v>9807.39</v>
      </c>
      <c r="N15" s="73"/>
      <c r="O15" s="16">
        <f>M15-M15*F15</f>
        <v>9807.39</v>
      </c>
      <c r="P15" s="16">
        <f>O15/I15/12</f>
        <v>163.45649999999998</v>
      </c>
      <c r="Q15" s="16">
        <f>IF(N15&gt;0,0,IF(OR(AC15&gt;AD15,AE15&lt;AF15),0,IF(AND(AE15&gt;=AF15,AE15&lt;=AD15),P15*((AE15-AF15)*12),IF(AND(AF15&lt;=AC15,AD15&gt;=AC15),((AD15-AC15)*12)*P15,IF(AE15&gt;AD15,12*P15,0)))))</f>
        <v>0</v>
      </c>
      <c r="R15" s="16">
        <f>IF(N15=0,0,IF(AND(AG15&gt;=AF15,AG15&lt;=AE15),((AG15-AF15)*12)*P15,0))</f>
        <v>0</v>
      </c>
      <c r="S15" s="16">
        <f>IF(R15&gt;0,R15,Q15)</f>
        <v>0</v>
      </c>
      <c r="T15" s="16">
        <v>1</v>
      </c>
      <c r="U15" s="16">
        <f>T15*SUM(Q15:R15)</f>
        <v>0</v>
      </c>
      <c r="V15" s="16"/>
      <c r="W15" s="16">
        <f>IF(AC15&gt;AD15,0,IF(AE15&lt;AF15,O15,IF(AND(AE15&gt;=AF15,AE15&lt;=AD15),(O15-S15),IF(AND(AF15&lt;=AC15,AD15&gt;=AC15),0,IF(AE15&gt;AD15,((AF15-AC15)*12)*P15,0)))))</f>
        <v>0</v>
      </c>
      <c r="X15" s="16">
        <f>W15*T15</f>
        <v>0</v>
      </c>
      <c r="Y15" s="16">
        <v>1</v>
      </c>
      <c r="Z15" s="16">
        <f>X15*Y15</f>
        <v>0</v>
      </c>
      <c r="AA15" s="16">
        <f>IF(N15&gt;0,0,Z15+U15*Y15)*Y15</f>
        <v>0</v>
      </c>
      <c r="AB15" s="16">
        <f>IF(N15&gt;0,(M15-Z15)/2,IF(AC15&gt;=AF15,(((M15*T15)*Y15)-AA15)/2,((((M15*T15)*Y15)-Z15)+(((M15*T15)*Y15)-AA15))/2))</f>
        <v>4903.6949999999997</v>
      </c>
      <c r="AC15" s="16">
        <f>$D15+(($E15-1)/12)</f>
        <v>2005.1666666666667</v>
      </c>
      <c r="AD15" s="16">
        <f>($O$5+1)-($O$2/12)</f>
        <v>1</v>
      </c>
      <c r="AE15" s="16">
        <f>$J15+(($E15-1)/12)</f>
        <v>2010.1666666666667</v>
      </c>
      <c r="AF15" s="16">
        <f>$O$4+($O$3/12)</f>
        <v>0</v>
      </c>
      <c r="AG15" s="16">
        <f>$K15+(($L15-1)/12)</f>
        <v>-8.3333333333333329E-2</v>
      </c>
      <c r="AI15" s="116">
        <f t="shared" si="0"/>
        <v>0</v>
      </c>
      <c r="AJ15" s="116"/>
      <c r="AK15" s="116">
        <f t="shared" si="1"/>
        <v>0</v>
      </c>
      <c r="AL15" s="116"/>
      <c r="AM15" s="116">
        <f t="shared" si="2"/>
        <v>0</v>
      </c>
      <c r="AN15" s="116"/>
      <c r="AO15" s="116">
        <f t="shared" si="3"/>
        <v>0</v>
      </c>
      <c r="AP15" s="116"/>
      <c r="AQ15" s="116">
        <f t="shared" si="4"/>
        <v>4903.6949999999997</v>
      </c>
    </row>
    <row r="16" spans="1:43" s="68" customFormat="1">
      <c r="A16" s="26">
        <v>166686</v>
      </c>
      <c r="B16" s="26">
        <v>101</v>
      </c>
      <c r="C16" s="74" t="s">
        <v>342</v>
      </c>
      <c r="D16" s="71">
        <v>2016</v>
      </c>
      <c r="E16" s="69">
        <v>8</v>
      </c>
      <c r="F16" s="72">
        <v>0</v>
      </c>
      <c r="H16" s="26" t="s">
        <v>51</v>
      </c>
      <c r="I16" s="69">
        <v>3</v>
      </c>
      <c r="J16" s="28">
        <f>D16+I16</f>
        <v>2019</v>
      </c>
      <c r="M16" s="70">
        <v>28923.599999999999</v>
      </c>
      <c r="N16" s="73"/>
      <c r="O16" s="16">
        <f>M16-M16*F16</f>
        <v>28923.599999999999</v>
      </c>
      <c r="P16" s="16">
        <f>O16/I16/12</f>
        <v>803.43333333333328</v>
      </c>
      <c r="Q16" s="16">
        <f>IF(N16&gt;0,0,IF(OR(AC16&gt;AD16,AE16&lt;AF16),0,IF(AND(AE16&gt;=AF16,AE16&lt;=AD16),P16*((AE16-AF16)*12),IF(AND(AF16&lt;=AC16,AD16&gt;=AC16),((AD16-AC16)*12)*P16,IF(AE16&gt;AD16,12*P16,0)))))</f>
        <v>0</v>
      </c>
      <c r="R16" s="16">
        <f>IF(N16=0,0,IF(AND(AG16&gt;=AF16,AG16&lt;=AE16),((AG16-AF16)*12)*P16,0))</f>
        <v>0</v>
      </c>
      <c r="S16" s="16">
        <f>IF(R16&gt;0,R16,Q16)</f>
        <v>0</v>
      </c>
      <c r="T16" s="16">
        <v>1</v>
      </c>
      <c r="U16" s="16">
        <f>T16*SUM(Q16:R16)</f>
        <v>0</v>
      </c>
      <c r="V16" s="16"/>
      <c r="W16" s="16">
        <f>IF(AC16&gt;AD16,0,IF(AE16&lt;AF16,O16,IF(AND(AE16&gt;=AF16,AE16&lt;=AD16),(O16-S16),IF(AND(AF16&lt;=AC16,AD16&gt;=AC16),0,IF(AE16&gt;AD16,((AF16-AC16)*12)*P16,0)))))</f>
        <v>0</v>
      </c>
      <c r="X16" s="16">
        <f>W16*T16</f>
        <v>0</v>
      </c>
      <c r="Y16" s="16">
        <v>1</v>
      </c>
      <c r="Z16" s="16">
        <f>X16*Y16</f>
        <v>0</v>
      </c>
      <c r="AA16" s="16">
        <f>IF(N16&gt;0,0,Z16+U16*Y16)*Y16</f>
        <v>0</v>
      </c>
      <c r="AB16" s="16">
        <f>IF(N16&gt;0,(M16-Z16)/2,IF(AC16&gt;=AF16,(((M16*T16)*Y16)-AA16)/2,((((M16*T16)*Y16)-Z16)+(((M16*T16)*Y16)-AA16))/2))</f>
        <v>14461.8</v>
      </c>
      <c r="AC16" s="16">
        <f>$D16+(($E16-1)/12)</f>
        <v>2016.5833333333333</v>
      </c>
      <c r="AD16" s="16">
        <f>($O$5+1)-($O$2/12)</f>
        <v>1</v>
      </c>
      <c r="AE16" s="16">
        <f>$J16+(($E16-1)/12)</f>
        <v>2019.5833333333333</v>
      </c>
      <c r="AF16" s="16">
        <f>$O$4+($O$3/12)</f>
        <v>0</v>
      </c>
      <c r="AG16" s="16">
        <f>$K16+(($L16-1)/12)</f>
        <v>-8.3333333333333329E-2</v>
      </c>
      <c r="AI16" s="116">
        <f t="shared" si="0"/>
        <v>0</v>
      </c>
      <c r="AJ16" s="116"/>
      <c r="AK16" s="116">
        <f t="shared" si="1"/>
        <v>0</v>
      </c>
      <c r="AL16" s="116"/>
      <c r="AM16" s="116">
        <f t="shared" si="2"/>
        <v>0</v>
      </c>
      <c r="AN16" s="116"/>
      <c r="AO16" s="116">
        <f t="shared" si="3"/>
        <v>0</v>
      </c>
      <c r="AP16" s="116"/>
      <c r="AQ16" s="116">
        <f t="shared" si="4"/>
        <v>14461.8</v>
      </c>
    </row>
    <row r="17" spans="1:43" s="68" customFormat="1">
      <c r="A17" s="26"/>
      <c r="B17" s="26"/>
      <c r="C17" s="74"/>
      <c r="D17" s="71"/>
      <c r="E17" s="69"/>
      <c r="F17" s="72"/>
      <c r="H17" s="26"/>
      <c r="I17" s="69"/>
      <c r="J17" s="28"/>
      <c r="M17" s="70"/>
      <c r="N17" s="73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I17" s="116">
        <f t="shared" si="0"/>
        <v>0</v>
      </c>
      <c r="AJ17" s="116"/>
      <c r="AK17" s="116">
        <f t="shared" si="1"/>
        <v>0</v>
      </c>
      <c r="AL17" s="116"/>
      <c r="AM17" s="116">
        <f t="shared" si="2"/>
        <v>0</v>
      </c>
      <c r="AN17" s="116"/>
      <c r="AO17" s="116">
        <f t="shared" si="3"/>
        <v>0</v>
      </c>
      <c r="AP17" s="116"/>
      <c r="AQ17" s="116">
        <f t="shared" si="4"/>
        <v>0</v>
      </c>
    </row>
    <row r="18" spans="1:43" s="68" customFormat="1">
      <c r="A18" s="26">
        <v>174644</v>
      </c>
      <c r="B18" s="26"/>
      <c r="C18" s="74" t="s">
        <v>365</v>
      </c>
      <c r="D18" s="71">
        <v>2011</v>
      </c>
      <c r="E18" s="69">
        <v>12</v>
      </c>
      <c r="F18" s="72">
        <v>0.33</v>
      </c>
      <c r="H18" s="26" t="s">
        <v>51</v>
      </c>
      <c r="I18" s="69">
        <v>3</v>
      </c>
      <c r="J18" s="28">
        <f>D18+I18</f>
        <v>2014</v>
      </c>
      <c r="M18" s="70">
        <v>27526</v>
      </c>
      <c r="N18" s="73"/>
      <c r="O18" s="16">
        <f>M18-M18*F18</f>
        <v>18442.419999999998</v>
      </c>
      <c r="P18" s="16">
        <f>O18/I18/12</f>
        <v>512.28944444444437</v>
      </c>
      <c r="Q18" s="16">
        <f>IF(N18&gt;0,0,IF(OR(AC18&gt;AD18,AE18&lt;AF18),0,IF(AND(AE18&gt;=AF18,AE18&lt;=AD18),P18*((AE18-AF18)*12),IF(AND(AF18&lt;=AC18,AD18&gt;=AC18),((AD18-AC18)*12)*P18,IF(AE18&gt;AD18,12*P18,0)))))</f>
        <v>0</v>
      </c>
      <c r="R18" s="16">
        <f>IF(N18=0,0,IF(AND(AG18&gt;=AF18,AG18&lt;=AE18),((AG18-AF18)*12)*P18,0))</f>
        <v>0</v>
      </c>
      <c r="S18" s="16">
        <f>IF(R18&gt;0,R18,Q18)</f>
        <v>0</v>
      </c>
      <c r="T18" s="16">
        <v>1</v>
      </c>
      <c r="U18" s="16">
        <f>T18*SUM(Q18:R18)</f>
        <v>0</v>
      </c>
      <c r="V18" s="16"/>
      <c r="W18" s="16">
        <f>IF(AC18&gt;AD18,0,IF(AE18&lt;AF18,O18,IF(AND(AE18&gt;=AF18,AE18&lt;=AD18),(O18-S18),IF(AND(AF18&lt;=AC18,AD18&gt;=AC18),0,IF(AE18&gt;AD18,((AF18-AC18)*12)*P18,0)))))</f>
        <v>0</v>
      </c>
      <c r="X18" s="16">
        <f>W18*T18</f>
        <v>0</v>
      </c>
      <c r="Y18" s="16">
        <v>1</v>
      </c>
      <c r="Z18" s="16">
        <f>X18*Y18</f>
        <v>0</v>
      </c>
      <c r="AA18" s="16">
        <f>IF(N18&gt;0,0,Z18+U18*Y18)*Y18</f>
        <v>0</v>
      </c>
      <c r="AB18" s="16">
        <f>IF(N18&gt;0,(M18-Z18)/2,IF(AC18&gt;=AF18,(((M18*T18)*Y18)-AA18)/2,((((M18*T18)*Y18)-Z18)+(((M18*T18)*Y18)-AA18))/2))</f>
        <v>13763</v>
      </c>
      <c r="AC18" s="16">
        <f>$D18+(($E18-1)/12)</f>
        <v>2011.9166666666667</v>
      </c>
      <c r="AD18" s="16">
        <f>($O$5+1)-($O$2/12)</f>
        <v>1</v>
      </c>
      <c r="AE18" s="16">
        <f>$J18+(($E18-1)/12)</f>
        <v>2014.9166666666667</v>
      </c>
      <c r="AF18" s="16">
        <f>$O$4+($O$3/12)</f>
        <v>0</v>
      </c>
      <c r="AG18" s="16">
        <f>$K18+(($L18-1)/12)</f>
        <v>-8.3333333333333329E-2</v>
      </c>
      <c r="AI18" s="116">
        <f t="shared" si="0"/>
        <v>4.5081665908432944</v>
      </c>
      <c r="AJ18" s="116"/>
      <c r="AK18" s="116">
        <f t="shared" si="1"/>
        <v>4.5081665908432944</v>
      </c>
      <c r="AL18" s="116"/>
      <c r="AM18" s="116">
        <f t="shared" si="2"/>
        <v>0</v>
      </c>
      <c r="AN18" s="116"/>
      <c r="AO18" s="116">
        <f t="shared" si="3"/>
        <v>13760.745916704578</v>
      </c>
      <c r="AP18" s="116"/>
      <c r="AQ18" s="116">
        <f t="shared" si="4"/>
        <v>13760.745916704578</v>
      </c>
    </row>
    <row r="19" spans="1:43">
      <c r="A19" s="52"/>
      <c r="B19" s="52"/>
      <c r="C19" s="53"/>
      <c r="D19" s="52"/>
      <c r="E19" s="52"/>
      <c r="F19" s="54"/>
      <c r="G19" s="16"/>
      <c r="H19" s="52"/>
      <c r="I19" s="52"/>
      <c r="J19" s="52"/>
      <c r="K19" s="52"/>
      <c r="L19" s="55"/>
      <c r="M19" s="52"/>
      <c r="N19" s="55"/>
      <c r="O19" s="52"/>
      <c r="P19" s="52"/>
      <c r="Q19" s="52"/>
      <c r="R19" s="55"/>
      <c r="S19" s="32"/>
      <c r="T19" s="52"/>
      <c r="U19" s="32"/>
      <c r="V19" s="32"/>
      <c r="W19" s="56"/>
      <c r="X19" s="56"/>
      <c r="Y19" s="32"/>
      <c r="Z19" s="112"/>
      <c r="AA19" s="112"/>
      <c r="AB19" s="57"/>
    </row>
    <row r="20" spans="1:43">
      <c r="A20" s="52"/>
      <c r="B20" s="52"/>
      <c r="C20" s="50" t="s">
        <v>17</v>
      </c>
      <c r="D20" s="52"/>
      <c r="E20" s="52"/>
      <c r="F20" s="54"/>
      <c r="G20" s="16"/>
      <c r="H20" s="52"/>
      <c r="I20" s="52"/>
      <c r="J20" s="52"/>
      <c r="K20" s="52"/>
      <c r="L20" s="55"/>
      <c r="M20" s="76">
        <f>SUM(M13:M19)</f>
        <v>72526.989999999991</v>
      </c>
      <c r="N20" s="115"/>
      <c r="O20" s="76">
        <f>SUM(O13:O19)</f>
        <v>61374.31</v>
      </c>
      <c r="P20" s="76">
        <f>SUM(P13:P19)</f>
        <v>1549.1942777777776</v>
      </c>
      <c r="Q20" s="76">
        <f>SUM(Q13:Q19)</f>
        <v>0</v>
      </c>
      <c r="R20" s="76">
        <f>SUM(R13:R19)</f>
        <v>0</v>
      </c>
      <c r="S20" s="76">
        <f>SUM(S13:S19)</f>
        <v>0</v>
      </c>
      <c r="T20" s="52"/>
      <c r="U20" s="32"/>
      <c r="V20" s="32"/>
      <c r="W20" s="56"/>
      <c r="X20" s="56"/>
      <c r="Y20" s="32"/>
      <c r="Z20" s="76">
        <f>SUM(Z13:Z19)</f>
        <v>0</v>
      </c>
      <c r="AA20" s="76">
        <f>SUM(AA13:AA19)</f>
        <v>0</v>
      </c>
      <c r="AB20" s="76">
        <f>SUM(AB13:AB19)</f>
        <v>36263.494999999995</v>
      </c>
      <c r="AI20" s="105">
        <f t="shared" ref="AI20:AQ20" si="5">SUM(AI13:AI19)</f>
        <v>5.5326848495600265</v>
      </c>
      <c r="AJ20" s="105">
        <f t="shared" si="5"/>
        <v>0</v>
      </c>
      <c r="AK20" s="105">
        <f t="shared" si="5"/>
        <v>5.5326848495600265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16895.23365757522</v>
      </c>
      <c r="AP20" s="105">
        <f t="shared" si="5"/>
        <v>0</v>
      </c>
      <c r="AQ20" s="105">
        <f t="shared" si="5"/>
        <v>36260.728657575222</v>
      </c>
    </row>
    <row r="21" spans="1:43">
      <c r="A21" s="52"/>
      <c r="B21" s="52"/>
      <c r="C21" s="53"/>
      <c r="D21" s="52"/>
      <c r="E21" s="52"/>
      <c r="F21" s="54"/>
      <c r="G21" s="16"/>
      <c r="H21" s="52"/>
      <c r="I21" s="52"/>
      <c r="J21" s="52"/>
      <c r="K21" s="52"/>
      <c r="L21" s="55"/>
      <c r="M21" s="52"/>
      <c r="N21" s="55"/>
      <c r="O21" s="52"/>
      <c r="P21" s="52"/>
      <c r="Q21" s="52"/>
      <c r="R21" s="55"/>
      <c r="S21" s="32"/>
      <c r="T21" s="52"/>
      <c r="U21" s="32"/>
      <c r="V21" s="32"/>
      <c r="W21" s="56"/>
      <c r="X21" s="56"/>
      <c r="Y21" s="32"/>
      <c r="Z21" s="112"/>
      <c r="AA21" s="112"/>
      <c r="AB21" s="57"/>
    </row>
    <row r="22" spans="1:43">
      <c r="A22" s="52"/>
      <c r="B22" s="52"/>
      <c r="C22" s="53"/>
      <c r="D22" s="52"/>
      <c r="E22" s="52"/>
      <c r="F22" s="54"/>
      <c r="G22" s="16"/>
      <c r="H22" s="52"/>
      <c r="I22" s="52"/>
      <c r="J22" s="52"/>
      <c r="K22" s="52"/>
      <c r="L22" s="55"/>
      <c r="M22" s="52"/>
      <c r="N22" s="55"/>
      <c r="O22" s="52"/>
      <c r="P22" s="52"/>
      <c r="Q22" s="52"/>
      <c r="R22" s="55"/>
      <c r="S22" s="32"/>
      <c r="T22" s="52"/>
      <c r="U22" s="32"/>
      <c r="V22" s="32"/>
      <c r="W22" s="56"/>
      <c r="X22" s="56"/>
      <c r="Y22" s="32"/>
      <c r="Z22" s="112"/>
      <c r="AA22" s="112"/>
      <c r="AB22" s="57"/>
    </row>
    <row r="23" spans="1:43">
      <c r="A23" s="59"/>
      <c r="B23" s="49"/>
      <c r="C23" s="77" t="s">
        <v>181</v>
      </c>
      <c r="D23" s="78"/>
      <c r="E23" s="26"/>
      <c r="F23" s="28"/>
      <c r="G23" s="16"/>
      <c r="H23" s="26"/>
      <c r="I23" s="26"/>
      <c r="J23" s="26"/>
      <c r="M23" s="59"/>
      <c r="N23" s="3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43">
      <c r="A24" s="59"/>
      <c r="B24" s="49"/>
      <c r="C24" s="6" t="s">
        <v>184</v>
      </c>
      <c r="D24" s="78">
        <v>1997</v>
      </c>
      <c r="E24" s="78">
        <v>7</v>
      </c>
      <c r="F24" s="28">
        <v>0</v>
      </c>
      <c r="G24" s="16"/>
      <c r="H24" s="26" t="s">
        <v>51</v>
      </c>
      <c r="I24" s="78">
        <v>5</v>
      </c>
      <c r="J24" s="26">
        <f>D24+I24</f>
        <v>2002</v>
      </c>
      <c r="M24" s="79">
        <v>1500</v>
      </c>
      <c r="N24" s="30"/>
      <c r="O24" s="16">
        <f t="shared" ref="O24:O39" si="6">M24-M24*F24</f>
        <v>1500</v>
      </c>
      <c r="P24" s="16">
        <f t="shared" ref="P24:P39" si="7">O24/I24/12</f>
        <v>25</v>
      </c>
      <c r="Q24" s="16">
        <f>IF(N24&gt;0,0,IF(OR(AC24&gt;AD24,AE24&lt;AF24),0,IF(AND(AE24&gt;=AF24,AE24&lt;=AD24),P24*((AE24-AF24)*12),IF(AND(AF24&lt;=AC24,AD24&gt;=AC24),((AD24-AC24)*12)*P24,IF(AE24&gt;AD24,12*P24,0)))))</f>
        <v>0</v>
      </c>
      <c r="R24" s="16">
        <f t="shared" ref="R24:R39" si="8">IF(N24=0,0,IF(AND(AG24&gt;=AF24,AG24&lt;=AE24),((AG24-AF24)*12)*P24,0))</f>
        <v>0</v>
      </c>
      <c r="S24" s="16">
        <f t="shared" ref="S24:S39" si="9">IF(R24&gt;0,R24,Q24)</f>
        <v>0</v>
      </c>
      <c r="T24" s="16">
        <v>1</v>
      </c>
      <c r="U24" s="16">
        <f>T24*SUM(Q24:R24)</f>
        <v>0</v>
      </c>
      <c r="V24" s="16"/>
      <c r="W24" s="16">
        <f t="shared" ref="W24:W39" si="10">IF(AC24&gt;AD24,0,IF(AE24&lt;AF24,O24,IF(AND(AE24&gt;=AF24,AE24&lt;=AD24),(O24-S24),IF(AND(AF24&lt;=AC24,AD24&gt;=AC24),0,IF(AE24&gt;AD24,((AF24-AC24)*12)*P24,0)))))</f>
        <v>0</v>
      </c>
      <c r="X24" s="16">
        <f t="shared" ref="X24:X39" si="11">W24*T24</f>
        <v>0</v>
      </c>
      <c r="Y24" s="16">
        <v>1</v>
      </c>
      <c r="Z24" s="16">
        <f t="shared" ref="Z24:Z39" si="12">X24*Y24</f>
        <v>0</v>
      </c>
      <c r="AA24" s="16">
        <f t="shared" ref="AA24:AA39" si="13">IF(N24&gt;0,0,Z24+U24*Y24)*Y24</f>
        <v>0</v>
      </c>
      <c r="AB24" s="16">
        <f>IF(N24&gt;0,(M24-Z24)/2,IF(AC24&gt;=AF24,(((M24*T24)*Y24)-AA24)/2,((((M24*T24)*Y24)-Z24)+(((M24*T24)*Y24)-AA24))/2))</f>
        <v>750</v>
      </c>
      <c r="AC24" s="16">
        <f t="shared" ref="AC24:AC76" si="14">$D24+(($E24-1)/12)</f>
        <v>1997.5</v>
      </c>
      <c r="AD24" s="16">
        <f t="shared" ref="AD24:AD39" si="15">($O$5+1)-($O$2/12)</f>
        <v>1</v>
      </c>
      <c r="AE24" s="16">
        <f t="shared" ref="AE24:AE76" si="16">$J24+(($E24-1)/12)</f>
        <v>2002.5</v>
      </c>
      <c r="AF24" s="16">
        <f t="shared" ref="AF24:AF39" si="17">$O$4+($O$3/12)</f>
        <v>0</v>
      </c>
      <c r="AG24" s="16">
        <f t="shared" ref="AG24:AG76" si="18">$K24+(($L24-1)/12)</f>
        <v>-8.3333333333333329E-2</v>
      </c>
      <c r="AI24" s="116">
        <f t="shared" ref="AI24:AI37" si="19">+IF((AE24-AF24)&gt;3,((M24-O24)/(AE24-AF24)),(M24-O24)/3)</f>
        <v>0</v>
      </c>
      <c r="AJ24" s="116"/>
      <c r="AK24" s="116">
        <f t="shared" ref="AK24:AK37" si="20">+AI24+U24</f>
        <v>0</v>
      </c>
      <c r="AL24" s="116"/>
      <c r="AM24" s="116">
        <f t="shared" ref="AM24:AM37" si="21">+IF(AE24&lt;AF24,-AB24,0)</f>
        <v>0</v>
      </c>
      <c r="AN24" s="116"/>
      <c r="AO24" s="116">
        <f t="shared" ref="AO24:AO37" si="22">IF(AE24&gt;AF24,IF(AI24&gt;0,IF(N24&gt;0,(M24-Z24)/2,IF(AC24&gt;=AF24,(((M24*T24)*Y24)-(AA24+AI24))/2,((((M24*T24)*Y24)-Z24)+(((M24*T24)*Y24)-(AA24+AI24)))/2)),0),0)</f>
        <v>0</v>
      </c>
      <c r="AP24" s="116"/>
      <c r="AQ24" s="116">
        <f t="shared" ref="AQ24:AQ37" si="23">+AB24+AM24+(IF(AO24&gt;0,(AO24-AB24),0))</f>
        <v>750</v>
      </c>
    </row>
    <row r="25" spans="1:43">
      <c r="A25" s="59"/>
      <c r="B25" s="49"/>
      <c r="C25" s="6" t="s">
        <v>187</v>
      </c>
      <c r="D25" s="78">
        <v>2004</v>
      </c>
      <c r="E25" s="78">
        <v>4</v>
      </c>
      <c r="F25" s="28">
        <v>0</v>
      </c>
      <c r="G25" s="16"/>
      <c r="H25" s="26" t="s">
        <v>51</v>
      </c>
      <c r="I25" s="78">
        <v>5</v>
      </c>
      <c r="J25" s="26">
        <f>D25+I25</f>
        <v>2009</v>
      </c>
      <c r="M25" s="79">
        <v>3007.11</v>
      </c>
      <c r="N25" s="30"/>
      <c r="O25" s="16">
        <f t="shared" si="6"/>
        <v>3007.11</v>
      </c>
      <c r="P25" s="16">
        <f t="shared" si="7"/>
        <v>50.118500000000004</v>
      </c>
      <c r="Q25" s="16">
        <f>IF(N25&gt;0,0,IF(OR(AC25&gt;AD25,AE25&lt;AF25),0,IF(AND(AE25&gt;=AF25,AE25&lt;=AD25),P25*((AE25-AF25)*12),IF(AND(AF25&lt;=AC25,AD25&gt;=AC25),((AD25-AC25)*12)*P25,IF(AE25&gt;AD25,12*P25,0)))))</f>
        <v>0</v>
      </c>
      <c r="R25" s="16">
        <f t="shared" si="8"/>
        <v>0</v>
      </c>
      <c r="S25" s="16">
        <f t="shared" si="9"/>
        <v>0</v>
      </c>
      <c r="T25" s="16">
        <v>1</v>
      </c>
      <c r="U25" s="16">
        <f>T25*SUM(Q25:R25)</f>
        <v>0</v>
      </c>
      <c r="V25" s="16"/>
      <c r="W25" s="16">
        <f t="shared" si="10"/>
        <v>0</v>
      </c>
      <c r="X25" s="16">
        <f t="shared" si="11"/>
        <v>0</v>
      </c>
      <c r="Y25" s="16">
        <v>1</v>
      </c>
      <c r="Z25" s="16">
        <f t="shared" si="12"/>
        <v>0</v>
      </c>
      <c r="AA25" s="16">
        <f t="shared" si="13"/>
        <v>0</v>
      </c>
      <c r="AB25" s="16">
        <f>IF(N25&gt;0,(M25-Z25)/2,IF(AC25&gt;=AF25,(((M25*T25)*Y25)-AA25)/2,((((M25*T25)*Y25)-Z25)+(((M25*T25)*Y25)-AA25))/2))</f>
        <v>1503.5550000000001</v>
      </c>
      <c r="AC25" s="16">
        <f t="shared" si="14"/>
        <v>2004.25</v>
      </c>
      <c r="AD25" s="16">
        <f t="shared" si="15"/>
        <v>1</v>
      </c>
      <c r="AE25" s="16">
        <f t="shared" si="16"/>
        <v>2009.25</v>
      </c>
      <c r="AF25" s="16">
        <f t="shared" si="17"/>
        <v>0</v>
      </c>
      <c r="AG25" s="16">
        <f t="shared" si="18"/>
        <v>-8.3333333333333329E-2</v>
      </c>
      <c r="AI25" s="116">
        <f t="shared" si="19"/>
        <v>0</v>
      </c>
      <c r="AJ25" s="116"/>
      <c r="AK25" s="116">
        <f t="shared" si="20"/>
        <v>0</v>
      </c>
      <c r="AL25" s="116"/>
      <c r="AM25" s="116">
        <f t="shared" si="21"/>
        <v>0</v>
      </c>
      <c r="AN25" s="116"/>
      <c r="AO25" s="116">
        <f t="shared" si="22"/>
        <v>0</v>
      </c>
      <c r="AP25" s="116"/>
      <c r="AQ25" s="116">
        <f t="shared" si="23"/>
        <v>1503.5550000000001</v>
      </c>
    </row>
    <row r="26" spans="1:43">
      <c r="A26" s="59"/>
      <c r="B26" s="49"/>
      <c r="C26" s="6" t="s">
        <v>188</v>
      </c>
      <c r="D26" s="78">
        <v>2004</v>
      </c>
      <c r="E26" s="78">
        <v>3</v>
      </c>
      <c r="F26" s="28">
        <v>0</v>
      </c>
      <c r="G26" s="16"/>
      <c r="H26" s="26" t="s">
        <v>51</v>
      </c>
      <c r="I26" s="78">
        <v>5</v>
      </c>
      <c r="J26" s="26">
        <f>D26+I26</f>
        <v>2009</v>
      </c>
      <c r="M26" s="79">
        <v>2165.12</v>
      </c>
      <c r="N26" s="30"/>
      <c r="O26" s="16">
        <f t="shared" si="6"/>
        <v>2165.12</v>
      </c>
      <c r="P26" s="16">
        <f t="shared" si="7"/>
        <v>36.085333333333331</v>
      </c>
      <c r="Q26" s="16">
        <f>IF(N26&gt;0,0,IF(OR(AC26&gt;AD26,AE26&lt;AF26),0,IF(AND(AE26&gt;=AF26,AE26&lt;=AD26),P26*((AE26-AF26)*12),IF(AND(AF26&lt;=AC26,AD26&gt;=AC26),((AD26-AC26)*12)*P26,IF(AE26&gt;AD26,12*P26,0)))))</f>
        <v>0</v>
      </c>
      <c r="R26" s="16">
        <f t="shared" si="8"/>
        <v>0</v>
      </c>
      <c r="S26" s="16">
        <f t="shared" si="9"/>
        <v>0</v>
      </c>
      <c r="T26" s="16">
        <v>1</v>
      </c>
      <c r="U26" s="16">
        <f>T26*SUM(Q26:R26)</f>
        <v>0</v>
      </c>
      <c r="V26" s="16"/>
      <c r="W26" s="16">
        <f t="shared" si="10"/>
        <v>0</v>
      </c>
      <c r="X26" s="16">
        <f t="shared" si="11"/>
        <v>0</v>
      </c>
      <c r="Y26" s="16">
        <v>1</v>
      </c>
      <c r="Z26" s="16">
        <f t="shared" si="12"/>
        <v>0</v>
      </c>
      <c r="AA26" s="16">
        <f t="shared" si="13"/>
        <v>0</v>
      </c>
      <c r="AB26" s="16">
        <f>IF(N26&gt;0,(M26-Z26)/2,IF(AC26&gt;=AF26,(((M26*T26)*Y26)-AA26)/2,((((M26*T26)*Y26)-Z26)+(((M26*T26)*Y26)-AA26))/2))</f>
        <v>1082.56</v>
      </c>
      <c r="AC26" s="16">
        <f t="shared" si="14"/>
        <v>2004.1666666666667</v>
      </c>
      <c r="AD26" s="16">
        <f t="shared" si="15"/>
        <v>1</v>
      </c>
      <c r="AE26" s="16">
        <f t="shared" si="16"/>
        <v>2009.1666666666667</v>
      </c>
      <c r="AF26" s="16">
        <f t="shared" si="17"/>
        <v>0</v>
      </c>
      <c r="AG26" s="16">
        <f t="shared" si="18"/>
        <v>-8.3333333333333329E-2</v>
      </c>
      <c r="AI26" s="116">
        <f t="shared" si="19"/>
        <v>0</v>
      </c>
      <c r="AJ26" s="116"/>
      <c r="AK26" s="116">
        <f t="shared" si="20"/>
        <v>0</v>
      </c>
      <c r="AL26" s="116"/>
      <c r="AM26" s="116">
        <f t="shared" si="21"/>
        <v>0</v>
      </c>
      <c r="AN26" s="116"/>
      <c r="AO26" s="116">
        <f t="shared" si="22"/>
        <v>0</v>
      </c>
      <c r="AP26" s="116"/>
      <c r="AQ26" s="116">
        <f t="shared" si="23"/>
        <v>1082.56</v>
      </c>
    </row>
    <row r="27" spans="1:43">
      <c r="A27" s="59"/>
      <c r="B27" s="49"/>
      <c r="C27" s="6" t="s">
        <v>225</v>
      </c>
      <c r="D27" s="78">
        <v>2009</v>
      </c>
      <c r="E27" s="78">
        <v>1</v>
      </c>
      <c r="F27" s="28">
        <v>0</v>
      </c>
      <c r="G27" s="16"/>
      <c r="H27" s="26" t="s">
        <v>51</v>
      </c>
      <c r="I27" s="78">
        <v>7</v>
      </c>
      <c r="J27" s="26">
        <f t="shared" ref="J27:J34" si="24">D27+I27</f>
        <v>2016</v>
      </c>
      <c r="M27" s="79">
        <v>11780.91</v>
      </c>
      <c r="N27" s="30"/>
      <c r="O27" s="16">
        <f t="shared" si="6"/>
        <v>11780.91</v>
      </c>
      <c r="P27" s="16">
        <f t="shared" si="7"/>
        <v>140.24892857142856</v>
      </c>
      <c r="Q27" s="16">
        <f t="shared" ref="Q27:Q39" si="25">IF(N27&gt;0,0,IF(OR(AC27&gt;AD27,AE27&lt;AF27),0,IF(AND(AE27&gt;=AF27,AE27&lt;=AD27),P27*((AE27-AF27)*12),IF(AND(AF27&lt;=AC27,AD27&gt;=AC27),((AD27-AC27)*12)*P27,IF(AE27&gt;AD27,12*P27,0)))))</f>
        <v>0</v>
      </c>
      <c r="R27" s="16">
        <f t="shared" si="8"/>
        <v>0</v>
      </c>
      <c r="S27" s="16">
        <f t="shared" si="9"/>
        <v>0</v>
      </c>
      <c r="T27" s="16">
        <v>1</v>
      </c>
      <c r="U27" s="16">
        <f t="shared" ref="U27:U39" si="26">T27*SUM(Q27:R27)</f>
        <v>0</v>
      </c>
      <c r="V27" s="16"/>
      <c r="W27" s="16">
        <f t="shared" si="10"/>
        <v>0</v>
      </c>
      <c r="X27" s="16">
        <f t="shared" si="11"/>
        <v>0</v>
      </c>
      <c r="Y27" s="16">
        <v>1</v>
      </c>
      <c r="Z27" s="16">
        <f t="shared" si="12"/>
        <v>0</v>
      </c>
      <c r="AA27" s="16">
        <f t="shared" si="13"/>
        <v>0</v>
      </c>
      <c r="AB27" s="16">
        <f t="shared" ref="AB27:AB39" si="27">IF(N27&gt;0,(M27-Z27)/2,IF(AC27&gt;=AF27,(((M27*T27)*Y27)-AA27)/2,((((M27*T27)*Y27)-Z27)+(((M27*T27)*Y27)-AA27))/2))</f>
        <v>5890.4549999999999</v>
      </c>
      <c r="AC27" s="16">
        <f t="shared" si="14"/>
        <v>2009</v>
      </c>
      <c r="AD27" s="16">
        <f t="shared" si="15"/>
        <v>1</v>
      </c>
      <c r="AE27" s="16">
        <f t="shared" si="16"/>
        <v>2016</v>
      </c>
      <c r="AF27" s="16">
        <f t="shared" si="17"/>
        <v>0</v>
      </c>
      <c r="AG27" s="16">
        <f t="shared" si="18"/>
        <v>-8.3333333333333329E-2</v>
      </c>
      <c r="AI27" s="116">
        <f t="shared" si="19"/>
        <v>0</v>
      </c>
      <c r="AJ27" s="116"/>
      <c r="AK27" s="116">
        <f t="shared" si="20"/>
        <v>0</v>
      </c>
      <c r="AL27" s="116"/>
      <c r="AM27" s="116">
        <f t="shared" si="21"/>
        <v>0</v>
      </c>
      <c r="AN27" s="116"/>
      <c r="AO27" s="116">
        <f t="shared" si="22"/>
        <v>0</v>
      </c>
      <c r="AP27" s="116"/>
      <c r="AQ27" s="116">
        <f t="shared" si="23"/>
        <v>5890.4549999999999</v>
      </c>
    </row>
    <row r="28" spans="1:43">
      <c r="A28" s="59"/>
      <c r="B28" s="49"/>
      <c r="C28" s="6" t="s">
        <v>249</v>
      </c>
      <c r="D28" s="78">
        <v>2011</v>
      </c>
      <c r="E28" s="78">
        <v>1</v>
      </c>
      <c r="F28" s="28">
        <v>0</v>
      </c>
      <c r="G28" s="16"/>
      <c r="H28" s="26" t="s">
        <v>51</v>
      </c>
      <c r="I28" s="78">
        <v>7</v>
      </c>
      <c r="J28" s="26">
        <f t="shared" si="24"/>
        <v>2018</v>
      </c>
      <c r="M28" s="79">
        <f>5636+1547.66</f>
        <v>7183.66</v>
      </c>
      <c r="N28" s="30"/>
      <c r="O28" s="16">
        <f t="shared" si="6"/>
        <v>7183.66</v>
      </c>
      <c r="P28" s="16">
        <f t="shared" si="7"/>
        <v>85.519761904761893</v>
      </c>
      <c r="Q28" s="16">
        <f t="shared" si="25"/>
        <v>0</v>
      </c>
      <c r="R28" s="16">
        <f t="shared" si="8"/>
        <v>0</v>
      </c>
      <c r="S28" s="16">
        <f t="shared" si="9"/>
        <v>0</v>
      </c>
      <c r="T28" s="16">
        <v>1</v>
      </c>
      <c r="U28" s="16">
        <f t="shared" si="26"/>
        <v>0</v>
      </c>
      <c r="V28" s="16"/>
      <c r="W28" s="16">
        <f t="shared" si="10"/>
        <v>0</v>
      </c>
      <c r="X28" s="16">
        <f t="shared" si="11"/>
        <v>0</v>
      </c>
      <c r="Y28" s="16">
        <v>1</v>
      </c>
      <c r="Z28" s="16">
        <f t="shared" si="12"/>
        <v>0</v>
      </c>
      <c r="AA28" s="16">
        <f t="shared" si="13"/>
        <v>0</v>
      </c>
      <c r="AB28" s="16">
        <f t="shared" si="27"/>
        <v>3591.83</v>
      </c>
      <c r="AC28" s="16">
        <f t="shared" si="14"/>
        <v>2011</v>
      </c>
      <c r="AD28" s="16">
        <f t="shared" si="15"/>
        <v>1</v>
      </c>
      <c r="AE28" s="16">
        <f t="shared" si="16"/>
        <v>2018</v>
      </c>
      <c r="AF28" s="16">
        <f t="shared" si="17"/>
        <v>0</v>
      </c>
      <c r="AG28" s="16">
        <f t="shared" si="18"/>
        <v>-8.3333333333333329E-2</v>
      </c>
      <c r="AI28" s="116">
        <f t="shared" si="19"/>
        <v>0</v>
      </c>
      <c r="AJ28" s="116"/>
      <c r="AK28" s="116">
        <f t="shared" si="20"/>
        <v>0</v>
      </c>
      <c r="AL28" s="116"/>
      <c r="AM28" s="116">
        <f t="shared" si="21"/>
        <v>0</v>
      </c>
      <c r="AN28" s="116"/>
      <c r="AO28" s="116">
        <f t="shared" si="22"/>
        <v>0</v>
      </c>
      <c r="AP28" s="116"/>
      <c r="AQ28" s="116">
        <f t="shared" si="23"/>
        <v>3591.83</v>
      </c>
    </row>
    <row r="29" spans="1:43">
      <c r="A29" s="6">
        <v>87711</v>
      </c>
      <c r="B29" s="26">
        <v>737</v>
      </c>
      <c r="C29" s="6" t="s">
        <v>280</v>
      </c>
      <c r="D29" s="78">
        <v>2011</v>
      </c>
      <c r="E29" s="78">
        <v>11</v>
      </c>
      <c r="F29" s="89">
        <v>0.2</v>
      </c>
      <c r="G29" s="16"/>
      <c r="H29" s="26" t="s">
        <v>51</v>
      </c>
      <c r="I29" s="78">
        <v>7</v>
      </c>
      <c r="J29" s="26">
        <f t="shared" si="24"/>
        <v>2018</v>
      </c>
      <c r="M29" s="79">
        <v>37526.769999999997</v>
      </c>
      <c r="N29" s="30"/>
      <c r="O29" s="16">
        <f t="shared" si="6"/>
        <v>30021.415999999997</v>
      </c>
      <c r="P29" s="16">
        <f t="shared" si="7"/>
        <v>357.39780952380949</v>
      </c>
      <c r="Q29" s="16">
        <f t="shared" si="25"/>
        <v>0</v>
      </c>
      <c r="R29" s="16">
        <f t="shared" si="8"/>
        <v>0</v>
      </c>
      <c r="S29" s="16">
        <f t="shared" si="9"/>
        <v>0</v>
      </c>
      <c r="T29" s="16">
        <v>1</v>
      </c>
      <c r="U29" s="16">
        <f t="shared" si="26"/>
        <v>0</v>
      </c>
      <c r="V29" s="16"/>
      <c r="W29" s="16">
        <f t="shared" si="10"/>
        <v>0</v>
      </c>
      <c r="X29" s="16">
        <f t="shared" si="11"/>
        <v>0</v>
      </c>
      <c r="Y29" s="16">
        <v>1</v>
      </c>
      <c r="Z29" s="16">
        <f t="shared" si="12"/>
        <v>0</v>
      </c>
      <c r="AA29" s="16">
        <f t="shared" si="13"/>
        <v>0</v>
      </c>
      <c r="AB29" s="16">
        <f t="shared" si="27"/>
        <v>18763.384999999998</v>
      </c>
      <c r="AC29" s="16">
        <f t="shared" si="14"/>
        <v>2011.8333333333333</v>
      </c>
      <c r="AD29" s="16">
        <f t="shared" si="15"/>
        <v>1</v>
      </c>
      <c r="AE29" s="16">
        <f t="shared" si="16"/>
        <v>2018.8333333333333</v>
      </c>
      <c r="AF29" s="16">
        <f t="shared" si="17"/>
        <v>0</v>
      </c>
      <c r="AG29" s="16">
        <f t="shared" si="18"/>
        <v>-8.3333333333333329E-2</v>
      </c>
      <c r="AI29" s="116">
        <f t="shared" si="19"/>
        <v>3.7176689507141085</v>
      </c>
      <c r="AJ29" s="116"/>
      <c r="AK29" s="116">
        <f t="shared" si="20"/>
        <v>3.7176689507141085</v>
      </c>
      <c r="AL29" s="116"/>
      <c r="AM29" s="116">
        <f t="shared" si="21"/>
        <v>0</v>
      </c>
      <c r="AN29" s="116"/>
      <c r="AO29" s="116">
        <f t="shared" si="22"/>
        <v>18761.526165524643</v>
      </c>
      <c r="AP29" s="116"/>
      <c r="AQ29" s="116">
        <f t="shared" si="23"/>
        <v>18761.526165524643</v>
      </c>
    </row>
    <row r="30" spans="1:43">
      <c r="A30" s="59"/>
      <c r="B30" s="49"/>
      <c r="C30" s="6" t="s">
        <v>244</v>
      </c>
      <c r="D30" s="78">
        <v>2011</v>
      </c>
      <c r="E30" s="78">
        <v>12</v>
      </c>
      <c r="F30" s="28">
        <v>0</v>
      </c>
      <c r="G30" s="16"/>
      <c r="H30" s="26" t="s">
        <v>51</v>
      </c>
      <c r="I30" s="78">
        <v>7</v>
      </c>
      <c r="J30" s="26">
        <f t="shared" si="24"/>
        <v>2018</v>
      </c>
      <c r="M30" s="79">
        <v>10539.68</v>
      </c>
      <c r="N30" s="30"/>
      <c r="O30" s="16">
        <f t="shared" si="6"/>
        <v>10539.68</v>
      </c>
      <c r="P30" s="16">
        <f t="shared" si="7"/>
        <v>125.47238095238096</v>
      </c>
      <c r="Q30" s="16">
        <f t="shared" si="25"/>
        <v>0</v>
      </c>
      <c r="R30" s="16">
        <f t="shared" si="8"/>
        <v>0</v>
      </c>
      <c r="S30" s="16">
        <f t="shared" si="9"/>
        <v>0</v>
      </c>
      <c r="T30" s="16">
        <v>1</v>
      </c>
      <c r="U30" s="16">
        <f t="shared" si="26"/>
        <v>0</v>
      </c>
      <c r="V30" s="16"/>
      <c r="W30" s="16">
        <f t="shared" si="10"/>
        <v>0</v>
      </c>
      <c r="X30" s="16">
        <f t="shared" si="11"/>
        <v>0</v>
      </c>
      <c r="Y30" s="16">
        <v>1</v>
      </c>
      <c r="Z30" s="16">
        <f t="shared" si="12"/>
        <v>0</v>
      </c>
      <c r="AA30" s="16">
        <f t="shared" si="13"/>
        <v>0</v>
      </c>
      <c r="AB30" s="16">
        <f t="shared" si="27"/>
        <v>5269.84</v>
      </c>
      <c r="AC30" s="16">
        <f t="shared" si="14"/>
        <v>2011.9166666666667</v>
      </c>
      <c r="AD30" s="16">
        <f t="shared" si="15"/>
        <v>1</v>
      </c>
      <c r="AE30" s="16">
        <f t="shared" si="16"/>
        <v>2018.9166666666667</v>
      </c>
      <c r="AF30" s="16">
        <f t="shared" si="17"/>
        <v>0</v>
      </c>
      <c r="AG30" s="16">
        <f t="shared" si="18"/>
        <v>-8.3333333333333329E-2</v>
      </c>
      <c r="AI30" s="116">
        <f t="shared" si="19"/>
        <v>0</v>
      </c>
      <c r="AJ30" s="116"/>
      <c r="AK30" s="116">
        <f t="shared" si="20"/>
        <v>0</v>
      </c>
      <c r="AL30" s="116"/>
      <c r="AM30" s="116">
        <f t="shared" si="21"/>
        <v>0</v>
      </c>
      <c r="AN30" s="116"/>
      <c r="AO30" s="116">
        <f t="shared" si="22"/>
        <v>0</v>
      </c>
      <c r="AP30" s="116"/>
      <c r="AQ30" s="116">
        <f t="shared" si="23"/>
        <v>5269.84</v>
      </c>
    </row>
    <row r="31" spans="1:43">
      <c r="A31" s="59"/>
      <c r="B31" s="49"/>
      <c r="C31" s="6" t="s">
        <v>245</v>
      </c>
      <c r="D31" s="78">
        <v>2011</v>
      </c>
      <c r="E31" s="78">
        <v>12</v>
      </c>
      <c r="F31" s="28">
        <v>0</v>
      </c>
      <c r="G31" s="16"/>
      <c r="H31" s="26" t="s">
        <v>51</v>
      </c>
      <c r="I31" s="78">
        <v>7</v>
      </c>
      <c r="J31" s="26">
        <f t="shared" si="24"/>
        <v>2018</v>
      </c>
      <c r="M31" s="79">
        <v>6023.6</v>
      </c>
      <c r="N31" s="30"/>
      <c r="O31" s="16">
        <f t="shared" si="6"/>
        <v>6023.6</v>
      </c>
      <c r="P31" s="16">
        <f t="shared" si="7"/>
        <v>71.709523809523816</v>
      </c>
      <c r="Q31" s="16">
        <f t="shared" si="25"/>
        <v>0</v>
      </c>
      <c r="R31" s="16">
        <f t="shared" si="8"/>
        <v>0</v>
      </c>
      <c r="S31" s="16">
        <f t="shared" si="9"/>
        <v>0</v>
      </c>
      <c r="T31" s="16">
        <v>1</v>
      </c>
      <c r="U31" s="16">
        <f t="shared" si="26"/>
        <v>0</v>
      </c>
      <c r="V31" s="16"/>
      <c r="W31" s="16">
        <f t="shared" si="10"/>
        <v>0</v>
      </c>
      <c r="X31" s="16">
        <f t="shared" si="11"/>
        <v>0</v>
      </c>
      <c r="Y31" s="16">
        <v>1</v>
      </c>
      <c r="Z31" s="16">
        <f t="shared" si="12"/>
        <v>0</v>
      </c>
      <c r="AA31" s="16">
        <f t="shared" si="13"/>
        <v>0</v>
      </c>
      <c r="AB31" s="16">
        <f t="shared" si="27"/>
        <v>3011.8</v>
      </c>
      <c r="AC31" s="16">
        <f t="shared" si="14"/>
        <v>2011.9166666666667</v>
      </c>
      <c r="AD31" s="16">
        <f t="shared" si="15"/>
        <v>1</v>
      </c>
      <c r="AE31" s="16">
        <f t="shared" si="16"/>
        <v>2018.9166666666667</v>
      </c>
      <c r="AF31" s="16">
        <f t="shared" si="17"/>
        <v>0</v>
      </c>
      <c r="AG31" s="16">
        <f t="shared" si="18"/>
        <v>-8.3333333333333329E-2</v>
      </c>
      <c r="AI31" s="116">
        <f t="shared" si="19"/>
        <v>0</v>
      </c>
      <c r="AJ31" s="116"/>
      <c r="AK31" s="116">
        <f t="shared" si="20"/>
        <v>0</v>
      </c>
      <c r="AL31" s="116"/>
      <c r="AM31" s="116">
        <f t="shared" si="21"/>
        <v>0</v>
      </c>
      <c r="AN31" s="116"/>
      <c r="AO31" s="116">
        <f t="shared" si="22"/>
        <v>0</v>
      </c>
      <c r="AP31" s="116"/>
      <c r="AQ31" s="116">
        <f t="shared" si="23"/>
        <v>3011.8</v>
      </c>
    </row>
    <row r="32" spans="1:43">
      <c r="A32" s="59"/>
      <c r="B32" s="49"/>
      <c r="C32" s="6" t="s">
        <v>253</v>
      </c>
      <c r="D32" s="78">
        <v>2012</v>
      </c>
      <c r="E32" s="78">
        <v>4</v>
      </c>
      <c r="F32" s="28">
        <v>0</v>
      </c>
      <c r="G32" s="16"/>
      <c r="H32" s="26" t="s">
        <v>51</v>
      </c>
      <c r="I32" s="78">
        <v>7</v>
      </c>
      <c r="J32" s="26">
        <f t="shared" si="24"/>
        <v>2019</v>
      </c>
      <c r="M32" s="79">
        <v>466.06</v>
      </c>
      <c r="N32" s="30"/>
      <c r="O32" s="16">
        <f t="shared" si="6"/>
        <v>466.06</v>
      </c>
      <c r="P32" s="16">
        <f t="shared" si="7"/>
        <v>5.5483333333333329</v>
      </c>
      <c r="Q32" s="16">
        <f t="shared" si="25"/>
        <v>0</v>
      </c>
      <c r="R32" s="16">
        <f t="shared" si="8"/>
        <v>0</v>
      </c>
      <c r="S32" s="16">
        <f t="shared" si="9"/>
        <v>0</v>
      </c>
      <c r="T32" s="16">
        <v>1</v>
      </c>
      <c r="U32" s="16">
        <f t="shared" si="26"/>
        <v>0</v>
      </c>
      <c r="V32" s="16"/>
      <c r="W32" s="16">
        <f t="shared" si="10"/>
        <v>0</v>
      </c>
      <c r="X32" s="16">
        <f t="shared" si="11"/>
        <v>0</v>
      </c>
      <c r="Y32" s="16">
        <v>1</v>
      </c>
      <c r="Z32" s="16">
        <f t="shared" si="12"/>
        <v>0</v>
      </c>
      <c r="AA32" s="16">
        <f t="shared" si="13"/>
        <v>0</v>
      </c>
      <c r="AB32" s="16">
        <f t="shared" si="27"/>
        <v>233.03</v>
      </c>
      <c r="AC32" s="16">
        <f t="shared" si="14"/>
        <v>2012.25</v>
      </c>
      <c r="AD32" s="16">
        <f t="shared" si="15"/>
        <v>1</v>
      </c>
      <c r="AE32" s="16">
        <f t="shared" si="16"/>
        <v>2019.25</v>
      </c>
      <c r="AF32" s="16">
        <f t="shared" si="17"/>
        <v>0</v>
      </c>
      <c r="AG32" s="16">
        <f t="shared" si="18"/>
        <v>-8.3333333333333329E-2</v>
      </c>
      <c r="AI32" s="116">
        <f t="shared" si="19"/>
        <v>0</v>
      </c>
      <c r="AJ32" s="116"/>
      <c r="AK32" s="116">
        <f t="shared" si="20"/>
        <v>0</v>
      </c>
      <c r="AL32" s="116"/>
      <c r="AM32" s="116">
        <f t="shared" si="21"/>
        <v>0</v>
      </c>
      <c r="AN32" s="116"/>
      <c r="AO32" s="116">
        <f t="shared" si="22"/>
        <v>0</v>
      </c>
      <c r="AP32" s="116"/>
      <c r="AQ32" s="116">
        <f t="shared" si="23"/>
        <v>233.03</v>
      </c>
    </row>
    <row r="33" spans="1:43">
      <c r="A33" s="26" t="s">
        <v>272</v>
      </c>
      <c r="B33" s="49"/>
      <c r="C33" s="6" t="s">
        <v>260</v>
      </c>
      <c r="D33" s="78">
        <v>2013</v>
      </c>
      <c r="E33" s="78">
        <v>5</v>
      </c>
      <c r="F33" s="28">
        <v>0</v>
      </c>
      <c r="G33" s="16"/>
      <c r="H33" s="26" t="s">
        <v>51</v>
      </c>
      <c r="I33" s="78">
        <v>7</v>
      </c>
      <c r="J33" s="26">
        <f t="shared" si="24"/>
        <v>2020</v>
      </c>
      <c r="M33" s="79">
        <f>23494.65</f>
        <v>23494.65</v>
      </c>
      <c r="N33" s="30"/>
      <c r="O33" s="16">
        <f t="shared" si="6"/>
        <v>23494.65</v>
      </c>
      <c r="P33" s="16">
        <f t="shared" si="7"/>
        <v>279.6982142857143</v>
      </c>
      <c r="Q33" s="16">
        <f t="shared" si="25"/>
        <v>0</v>
      </c>
      <c r="R33" s="16">
        <f t="shared" si="8"/>
        <v>0</v>
      </c>
      <c r="S33" s="16">
        <f t="shared" si="9"/>
        <v>0</v>
      </c>
      <c r="T33" s="16">
        <v>1</v>
      </c>
      <c r="U33" s="16">
        <f t="shared" si="26"/>
        <v>0</v>
      </c>
      <c r="V33" s="16"/>
      <c r="W33" s="16">
        <f t="shared" si="10"/>
        <v>0</v>
      </c>
      <c r="X33" s="16">
        <f t="shared" si="11"/>
        <v>0</v>
      </c>
      <c r="Y33" s="16">
        <v>1</v>
      </c>
      <c r="Z33" s="16">
        <f t="shared" si="12"/>
        <v>0</v>
      </c>
      <c r="AA33" s="16">
        <f t="shared" si="13"/>
        <v>0</v>
      </c>
      <c r="AB33" s="16">
        <f t="shared" si="27"/>
        <v>11747.325000000001</v>
      </c>
      <c r="AC33" s="16">
        <f t="shared" si="14"/>
        <v>2013.3333333333333</v>
      </c>
      <c r="AD33" s="16">
        <f t="shared" si="15"/>
        <v>1</v>
      </c>
      <c r="AE33" s="16">
        <f t="shared" si="16"/>
        <v>2020.3333333333333</v>
      </c>
      <c r="AF33" s="16">
        <f t="shared" si="17"/>
        <v>0</v>
      </c>
      <c r="AG33" s="16">
        <f t="shared" si="18"/>
        <v>-8.3333333333333329E-2</v>
      </c>
      <c r="AI33" s="116">
        <f t="shared" si="19"/>
        <v>0</v>
      </c>
      <c r="AJ33" s="116"/>
      <c r="AK33" s="116">
        <f t="shared" si="20"/>
        <v>0</v>
      </c>
      <c r="AL33" s="116"/>
      <c r="AM33" s="116">
        <f t="shared" si="21"/>
        <v>0</v>
      </c>
      <c r="AN33" s="116"/>
      <c r="AO33" s="116">
        <f t="shared" si="22"/>
        <v>0</v>
      </c>
      <c r="AP33" s="116"/>
      <c r="AQ33" s="116">
        <f t="shared" si="23"/>
        <v>11747.325000000001</v>
      </c>
    </row>
    <row r="34" spans="1:43">
      <c r="A34" s="26">
        <v>128860</v>
      </c>
      <c r="B34" s="49"/>
      <c r="C34" s="6" t="s">
        <v>321</v>
      </c>
      <c r="D34" s="78">
        <v>2015</v>
      </c>
      <c r="E34" s="78">
        <v>11</v>
      </c>
      <c r="F34" s="28">
        <v>0</v>
      </c>
      <c r="G34" s="16"/>
      <c r="H34" s="26" t="s">
        <v>51</v>
      </c>
      <c r="I34" s="78">
        <v>5</v>
      </c>
      <c r="J34" s="26">
        <f t="shared" si="24"/>
        <v>2020</v>
      </c>
      <c r="M34" s="79">
        <v>6914.84</v>
      </c>
      <c r="N34" s="30"/>
      <c r="O34" s="16">
        <f t="shared" si="6"/>
        <v>6914.84</v>
      </c>
      <c r="P34" s="16">
        <f t="shared" si="7"/>
        <v>115.24733333333334</v>
      </c>
      <c r="Q34" s="16">
        <f t="shared" si="25"/>
        <v>0</v>
      </c>
      <c r="R34" s="16">
        <f t="shared" si="8"/>
        <v>0</v>
      </c>
      <c r="S34" s="16">
        <f t="shared" si="9"/>
        <v>0</v>
      </c>
      <c r="T34" s="16">
        <v>1</v>
      </c>
      <c r="U34" s="16">
        <f t="shared" si="26"/>
        <v>0</v>
      </c>
      <c r="V34" s="16"/>
      <c r="W34" s="16">
        <f t="shared" si="10"/>
        <v>0</v>
      </c>
      <c r="X34" s="16">
        <f t="shared" si="11"/>
        <v>0</v>
      </c>
      <c r="Y34" s="16">
        <v>1</v>
      </c>
      <c r="Z34" s="16">
        <f t="shared" si="12"/>
        <v>0</v>
      </c>
      <c r="AA34" s="16">
        <f t="shared" si="13"/>
        <v>0</v>
      </c>
      <c r="AB34" s="16">
        <f t="shared" si="27"/>
        <v>3457.42</v>
      </c>
      <c r="AC34" s="16">
        <f t="shared" si="14"/>
        <v>2015.8333333333333</v>
      </c>
      <c r="AD34" s="16">
        <f t="shared" si="15"/>
        <v>1</v>
      </c>
      <c r="AE34" s="16">
        <f t="shared" si="16"/>
        <v>2020.8333333333333</v>
      </c>
      <c r="AF34" s="16">
        <f t="shared" si="17"/>
        <v>0</v>
      </c>
      <c r="AG34" s="16">
        <f t="shared" si="18"/>
        <v>-8.3333333333333329E-2</v>
      </c>
      <c r="AI34" s="116">
        <f t="shared" si="19"/>
        <v>0</v>
      </c>
      <c r="AJ34" s="116"/>
      <c r="AK34" s="116">
        <f t="shared" si="20"/>
        <v>0</v>
      </c>
      <c r="AL34" s="116"/>
      <c r="AM34" s="116">
        <f t="shared" si="21"/>
        <v>0</v>
      </c>
      <c r="AN34" s="116"/>
      <c r="AO34" s="116">
        <f t="shared" si="22"/>
        <v>0</v>
      </c>
      <c r="AP34" s="116"/>
      <c r="AQ34" s="116">
        <f t="shared" si="23"/>
        <v>3457.42</v>
      </c>
    </row>
    <row r="35" spans="1:43">
      <c r="A35" s="26">
        <v>171683</v>
      </c>
      <c r="B35" s="49"/>
      <c r="C35" s="6" t="s">
        <v>343</v>
      </c>
      <c r="D35" s="78">
        <v>2016</v>
      </c>
      <c r="E35" s="78">
        <v>12</v>
      </c>
      <c r="F35" s="28">
        <v>0</v>
      </c>
      <c r="G35" s="16"/>
      <c r="H35" s="26" t="s">
        <v>51</v>
      </c>
      <c r="I35" s="78">
        <v>5</v>
      </c>
      <c r="J35" s="26">
        <f>D35+I35</f>
        <v>2021</v>
      </c>
      <c r="M35" s="79">
        <v>4742.5</v>
      </c>
      <c r="N35" s="30"/>
      <c r="O35" s="16">
        <f t="shared" si="6"/>
        <v>4742.5</v>
      </c>
      <c r="P35" s="16">
        <f t="shared" si="7"/>
        <v>79.041666666666671</v>
      </c>
      <c r="Q35" s="16">
        <f t="shared" si="25"/>
        <v>0</v>
      </c>
      <c r="R35" s="16">
        <f t="shared" si="8"/>
        <v>0</v>
      </c>
      <c r="S35" s="16">
        <f t="shared" si="9"/>
        <v>0</v>
      </c>
      <c r="T35" s="16">
        <v>1</v>
      </c>
      <c r="U35" s="16">
        <f t="shared" si="26"/>
        <v>0</v>
      </c>
      <c r="V35" s="16"/>
      <c r="W35" s="16">
        <f t="shared" si="10"/>
        <v>0</v>
      </c>
      <c r="X35" s="16">
        <f t="shared" si="11"/>
        <v>0</v>
      </c>
      <c r="Y35" s="16">
        <v>1</v>
      </c>
      <c r="Z35" s="16">
        <f t="shared" si="12"/>
        <v>0</v>
      </c>
      <c r="AA35" s="16">
        <f t="shared" si="13"/>
        <v>0</v>
      </c>
      <c r="AB35" s="16">
        <f t="shared" si="27"/>
        <v>2371.25</v>
      </c>
      <c r="AC35" s="16">
        <f t="shared" si="14"/>
        <v>2016.9166666666667</v>
      </c>
      <c r="AD35" s="16">
        <f t="shared" si="15"/>
        <v>1</v>
      </c>
      <c r="AE35" s="16">
        <f t="shared" si="16"/>
        <v>2021.9166666666667</v>
      </c>
      <c r="AF35" s="16">
        <f t="shared" si="17"/>
        <v>0</v>
      </c>
      <c r="AG35" s="16">
        <f t="shared" si="18"/>
        <v>-8.3333333333333329E-2</v>
      </c>
      <c r="AI35" s="116">
        <f t="shared" si="19"/>
        <v>0</v>
      </c>
      <c r="AJ35" s="116"/>
      <c r="AK35" s="116">
        <f t="shared" si="20"/>
        <v>0</v>
      </c>
      <c r="AL35" s="116"/>
      <c r="AM35" s="116">
        <f t="shared" si="21"/>
        <v>0</v>
      </c>
      <c r="AN35" s="116"/>
      <c r="AO35" s="116">
        <f t="shared" si="22"/>
        <v>0</v>
      </c>
      <c r="AP35" s="116"/>
      <c r="AQ35" s="116">
        <f t="shared" si="23"/>
        <v>2371.25</v>
      </c>
    </row>
    <row r="36" spans="1:43">
      <c r="A36" s="26">
        <v>171642</v>
      </c>
      <c r="B36" s="49"/>
      <c r="C36" s="6" t="s">
        <v>344</v>
      </c>
      <c r="D36" s="78">
        <v>2016</v>
      </c>
      <c r="E36" s="78">
        <v>12</v>
      </c>
      <c r="F36" s="28">
        <v>0</v>
      </c>
      <c r="G36" s="16"/>
      <c r="H36" s="26" t="s">
        <v>51</v>
      </c>
      <c r="I36" s="78">
        <v>10</v>
      </c>
      <c r="J36" s="26">
        <f>D36+I36</f>
        <v>2026</v>
      </c>
      <c r="M36" s="79">
        <v>13518.4</v>
      </c>
      <c r="N36" s="30"/>
      <c r="O36" s="16">
        <f t="shared" si="6"/>
        <v>13518.4</v>
      </c>
      <c r="P36" s="16">
        <f t="shared" si="7"/>
        <v>112.65333333333332</v>
      </c>
      <c r="Q36" s="16">
        <f t="shared" si="25"/>
        <v>0</v>
      </c>
      <c r="R36" s="16">
        <f t="shared" si="8"/>
        <v>0</v>
      </c>
      <c r="S36" s="16">
        <f t="shared" si="9"/>
        <v>0</v>
      </c>
      <c r="T36" s="16">
        <v>1</v>
      </c>
      <c r="U36" s="16">
        <f t="shared" si="26"/>
        <v>0</v>
      </c>
      <c r="V36" s="16"/>
      <c r="W36" s="16">
        <f t="shared" si="10"/>
        <v>0</v>
      </c>
      <c r="X36" s="16">
        <f t="shared" si="11"/>
        <v>0</v>
      </c>
      <c r="Y36" s="16">
        <v>1</v>
      </c>
      <c r="Z36" s="16">
        <f t="shared" si="12"/>
        <v>0</v>
      </c>
      <c r="AA36" s="16">
        <f t="shared" si="13"/>
        <v>0</v>
      </c>
      <c r="AB36" s="16">
        <f t="shared" si="27"/>
        <v>6759.2</v>
      </c>
      <c r="AC36" s="16">
        <f t="shared" si="14"/>
        <v>2016.9166666666667</v>
      </c>
      <c r="AD36" s="16">
        <f t="shared" si="15"/>
        <v>1</v>
      </c>
      <c r="AE36" s="16">
        <f t="shared" si="16"/>
        <v>2026.9166666666667</v>
      </c>
      <c r="AF36" s="16">
        <f t="shared" si="17"/>
        <v>0</v>
      </c>
      <c r="AG36" s="16">
        <f t="shared" si="18"/>
        <v>-8.3333333333333329E-2</v>
      </c>
      <c r="AI36" s="116">
        <f t="shared" si="19"/>
        <v>0</v>
      </c>
      <c r="AJ36" s="116"/>
      <c r="AK36" s="116">
        <f t="shared" si="20"/>
        <v>0</v>
      </c>
      <c r="AL36" s="116"/>
      <c r="AM36" s="116">
        <f t="shared" si="21"/>
        <v>0</v>
      </c>
      <c r="AN36" s="116"/>
      <c r="AO36" s="116">
        <f t="shared" si="22"/>
        <v>0</v>
      </c>
      <c r="AP36" s="116"/>
      <c r="AQ36" s="116">
        <f t="shared" si="23"/>
        <v>6759.2</v>
      </c>
    </row>
    <row r="37" spans="1:43">
      <c r="A37" s="26">
        <v>185161</v>
      </c>
      <c r="B37" s="49"/>
      <c r="C37" s="6" t="s">
        <v>378</v>
      </c>
      <c r="D37" s="78">
        <v>2017</v>
      </c>
      <c r="E37" s="78">
        <v>7</v>
      </c>
      <c r="F37" s="28">
        <v>0</v>
      </c>
      <c r="G37" s="16"/>
      <c r="H37" s="26" t="s">
        <v>51</v>
      </c>
      <c r="I37" s="78">
        <v>7</v>
      </c>
      <c r="J37" s="26">
        <f>D37+I37</f>
        <v>2024</v>
      </c>
      <c r="M37" s="79">
        <v>25365.599999999999</v>
      </c>
      <c r="N37" s="30"/>
      <c r="O37" s="16">
        <f t="shared" si="6"/>
        <v>25365.599999999999</v>
      </c>
      <c r="P37" s="16">
        <f t="shared" si="7"/>
        <v>301.97142857142859</v>
      </c>
      <c r="Q37" s="16">
        <f t="shared" si="25"/>
        <v>0</v>
      </c>
      <c r="R37" s="16">
        <f t="shared" si="8"/>
        <v>0</v>
      </c>
      <c r="S37" s="16">
        <f t="shared" si="9"/>
        <v>0</v>
      </c>
      <c r="T37" s="16">
        <v>1</v>
      </c>
      <c r="U37" s="16">
        <f t="shared" si="26"/>
        <v>0</v>
      </c>
      <c r="V37" s="16"/>
      <c r="W37" s="16">
        <f t="shared" si="10"/>
        <v>0</v>
      </c>
      <c r="X37" s="16">
        <f t="shared" si="11"/>
        <v>0</v>
      </c>
      <c r="Y37" s="16">
        <v>1</v>
      </c>
      <c r="Z37" s="16">
        <f t="shared" si="12"/>
        <v>0</v>
      </c>
      <c r="AA37" s="16">
        <f t="shared" si="13"/>
        <v>0</v>
      </c>
      <c r="AB37" s="16">
        <f t="shared" si="27"/>
        <v>12682.8</v>
      </c>
      <c r="AC37" s="16">
        <f t="shared" si="14"/>
        <v>2017.5</v>
      </c>
      <c r="AD37" s="16">
        <f t="shared" si="15"/>
        <v>1</v>
      </c>
      <c r="AE37" s="16">
        <f t="shared" si="16"/>
        <v>2024.5</v>
      </c>
      <c r="AF37" s="16">
        <f t="shared" si="17"/>
        <v>0</v>
      </c>
      <c r="AG37" s="16">
        <f t="shared" si="18"/>
        <v>-8.3333333333333329E-2</v>
      </c>
      <c r="AI37" s="116">
        <f t="shared" si="19"/>
        <v>0</v>
      </c>
      <c r="AJ37" s="116"/>
      <c r="AK37" s="116">
        <f t="shared" si="20"/>
        <v>0</v>
      </c>
      <c r="AL37" s="116"/>
      <c r="AM37" s="116">
        <f t="shared" si="21"/>
        <v>0</v>
      </c>
      <c r="AN37" s="116"/>
      <c r="AO37" s="116">
        <f t="shared" si="22"/>
        <v>0</v>
      </c>
      <c r="AP37" s="116"/>
      <c r="AQ37" s="116">
        <f t="shared" si="23"/>
        <v>12682.8</v>
      </c>
    </row>
    <row r="38" spans="1:43">
      <c r="A38" s="26">
        <v>186110</v>
      </c>
      <c r="B38" s="49"/>
      <c r="C38" s="6" t="s">
        <v>390</v>
      </c>
      <c r="D38" s="78">
        <v>2017</v>
      </c>
      <c r="E38" s="78">
        <v>9</v>
      </c>
      <c r="F38" s="28">
        <v>0</v>
      </c>
      <c r="G38" s="16"/>
      <c r="H38" s="26" t="s">
        <v>51</v>
      </c>
      <c r="I38" s="78">
        <v>5</v>
      </c>
      <c r="J38" s="26">
        <f>D38+I38</f>
        <v>2022</v>
      </c>
      <c r="M38" s="79">
        <v>9103.43</v>
      </c>
      <c r="N38" s="30"/>
      <c r="O38" s="16">
        <f t="shared" si="6"/>
        <v>9103.43</v>
      </c>
      <c r="P38" s="16">
        <f t="shared" si="7"/>
        <v>151.72383333333335</v>
      </c>
      <c r="Q38" s="16">
        <f t="shared" si="25"/>
        <v>0</v>
      </c>
      <c r="R38" s="16">
        <f t="shared" si="8"/>
        <v>0</v>
      </c>
      <c r="S38" s="16">
        <f t="shared" si="9"/>
        <v>0</v>
      </c>
      <c r="T38" s="16">
        <v>1</v>
      </c>
      <c r="U38" s="16">
        <f t="shared" si="26"/>
        <v>0</v>
      </c>
      <c r="V38" s="16"/>
      <c r="W38" s="16">
        <f t="shared" si="10"/>
        <v>0</v>
      </c>
      <c r="X38" s="16">
        <f t="shared" si="11"/>
        <v>0</v>
      </c>
      <c r="Y38" s="16">
        <v>1</v>
      </c>
      <c r="Z38" s="16">
        <f t="shared" si="12"/>
        <v>0</v>
      </c>
      <c r="AA38" s="16">
        <f t="shared" si="13"/>
        <v>0</v>
      </c>
      <c r="AB38" s="16">
        <f t="shared" si="27"/>
        <v>4551.7150000000001</v>
      </c>
      <c r="AC38" s="16">
        <f t="shared" si="14"/>
        <v>2017.6666666666667</v>
      </c>
      <c r="AD38" s="16">
        <f t="shared" si="15"/>
        <v>1</v>
      </c>
      <c r="AE38" s="16">
        <f t="shared" si="16"/>
        <v>2022.6666666666667</v>
      </c>
      <c r="AF38" s="16">
        <f t="shared" si="17"/>
        <v>0</v>
      </c>
      <c r="AG38" s="16">
        <f t="shared" si="18"/>
        <v>-8.3333333333333329E-2</v>
      </c>
      <c r="AI38" s="116"/>
      <c r="AJ38" s="116"/>
      <c r="AK38" s="116"/>
      <c r="AL38" s="116"/>
      <c r="AM38" s="116"/>
      <c r="AN38" s="116"/>
      <c r="AO38" s="116"/>
      <c r="AP38" s="116"/>
      <c r="AQ38" s="116"/>
    </row>
    <row r="39" spans="1:43">
      <c r="A39" s="26" t="s">
        <v>394</v>
      </c>
      <c r="B39" s="49"/>
      <c r="C39" s="6" t="s">
        <v>391</v>
      </c>
      <c r="D39" s="78">
        <v>2017</v>
      </c>
      <c r="E39" s="78">
        <v>9</v>
      </c>
      <c r="F39" s="28">
        <v>0</v>
      </c>
      <c r="G39" s="16"/>
      <c r="H39" s="26" t="s">
        <v>392</v>
      </c>
      <c r="I39" s="78">
        <v>3</v>
      </c>
      <c r="J39" s="26">
        <f>D39+I39</f>
        <v>2020</v>
      </c>
      <c r="M39" s="79">
        <f>1011.73+196.51</f>
        <v>1208.24</v>
      </c>
      <c r="N39" s="30"/>
      <c r="O39" s="16">
        <f t="shared" si="6"/>
        <v>1208.24</v>
      </c>
      <c r="P39" s="16">
        <f t="shared" si="7"/>
        <v>33.562222222222225</v>
      </c>
      <c r="Q39" s="16">
        <f t="shared" si="25"/>
        <v>0</v>
      </c>
      <c r="R39" s="16">
        <f t="shared" si="8"/>
        <v>0</v>
      </c>
      <c r="S39" s="16">
        <f t="shared" si="9"/>
        <v>0</v>
      </c>
      <c r="T39" s="16">
        <v>1</v>
      </c>
      <c r="U39" s="16">
        <f t="shared" si="26"/>
        <v>0</v>
      </c>
      <c r="V39" s="16"/>
      <c r="W39" s="16">
        <f t="shared" si="10"/>
        <v>0</v>
      </c>
      <c r="X39" s="16">
        <f t="shared" si="11"/>
        <v>0</v>
      </c>
      <c r="Y39" s="16">
        <v>1</v>
      </c>
      <c r="Z39" s="16">
        <f t="shared" si="12"/>
        <v>0</v>
      </c>
      <c r="AA39" s="16">
        <f t="shared" si="13"/>
        <v>0</v>
      </c>
      <c r="AB39" s="16">
        <f t="shared" si="27"/>
        <v>604.12</v>
      </c>
      <c r="AC39" s="16">
        <f t="shared" si="14"/>
        <v>2017.6666666666667</v>
      </c>
      <c r="AD39" s="16">
        <f t="shared" si="15"/>
        <v>1</v>
      </c>
      <c r="AE39" s="16">
        <f t="shared" si="16"/>
        <v>2020.6666666666667</v>
      </c>
      <c r="AF39" s="16">
        <f t="shared" si="17"/>
        <v>0</v>
      </c>
      <c r="AG39" s="16">
        <f t="shared" si="18"/>
        <v>-8.3333333333333329E-2</v>
      </c>
      <c r="AI39" s="116"/>
      <c r="AJ39" s="116"/>
      <c r="AK39" s="116"/>
      <c r="AL39" s="116"/>
      <c r="AM39" s="116"/>
      <c r="AN39" s="116"/>
      <c r="AO39" s="116"/>
      <c r="AP39" s="116"/>
      <c r="AQ39" s="116"/>
    </row>
    <row r="40" spans="1:43">
      <c r="A40" s="59"/>
      <c r="B40" s="49"/>
      <c r="D40" s="78"/>
      <c r="E40" s="78"/>
      <c r="F40" s="28"/>
      <c r="G40" s="16"/>
      <c r="H40" s="26"/>
      <c r="I40" s="78"/>
      <c r="J40" s="26"/>
      <c r="M40" s="79"/>
      <c r="N40" s="30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I40" s="116"/>
      <c r="AJ40" s="116"/>
      <c r="AK40" s="116"/>
      <c r="AL40" s="116"/>
      <c r="AM40" s="116"/>
      <c r="AN40" s="116"/>
      <c r="AO40" s="116"/>
      <c r="AP40" s="116"/>
      <c r="AQ40" s="116"/>
    </row>
    <row r="41" spans="1:43" s="31" customFormat="1">
      <c r="A41" s="80"/>
      <c r="B41" s="81"/>
      <c r="C41" s="77" t="s">
        <v>189</v>
      </c>
      <c r="D41" s="560"/>
      <c r="E41" s="560"/>
      <c r="F41" s="82"/>
      <c r="G41" s="83"/>
      <c r="H41" s="32"/>
      <c r="I41" s="561"/>
      <c r="J41" s="32"/>
      <c r="M41" s="80">
        <f>SUM(M24:M40)</f>
        <v>164540.56999999998</v>
      </c>
      <c r="N41" s="34"/>
      <c r="O41" s="80">
        <f>SUM(O24:O40)</f>
        <v>157035.21599999999</v>
      </c>
      <c r="P41" s="80">
        <f>SUM(P24:P40)</f>
        <v>1970.9986031746034</v>
      </c>
      <c r="Q41" s="80">
        <f>SUM(Q24:Q40)</f>
        <v>0</v>
      </c>
      <c r="R41" s="83"/>
      <c r="S41" s="80">
        <f>SUM(S24:S40)</f>
        <v>0</v>
      </c>
      <c r="T41" s="83"/>
      <c r="U41" s="80">
        <f>SUM(U24:U40)</f>
        <v>0</v>
      </c>
      <c r="V41" s="83"/>
      <c r="W41" s="83"/>
      <c r="X41" s="83"/>
      <c r="Y41" s="83"/>
      <c r="Z41" s="80">
        <f>SUM(Z24:Z40)</f>
        <v>0</v>
      </c>
      <c r="AA41" s="80">
        <f>SUM(AA24:AA40)</f>
        <v>0</v>
      </c>
      <c r="AB41" s="80">
        <f>SUM(AB24:AB40)</f>
        <v>82270.284999999989</v>
      </c>
      <c r="AC41" s="83"/>
      <c r="AD41" s="83"/>
      <c r="AE41" s="83"/>
      <c r="AF41" s="83"/>
      <c r="AG41" s="83"/>
      <c r="AI41" s="106">
        <f t="shared" ref="AI41:AQ41" si="28">SUM(AI24:AI40)</f>
        <v>3.7176689507141085</v>
      </c>
      <c r="AJ41" s="106">
        <f t="shared" si="28"/>
        <v>0</v>
      </c>
      <c r="AK41" s="106">
        <f t="shared" si="28"/>
        <v>3.7176689507141085</v>
      </c>
      <c r="AL41" s="106">
        <f t="shared" si="28"/>
        <v>0</v>
      </c>
      <c r="AM41" s="106">
        <f t="shared" si="28"/>
        <v>0</v>
      </c>
      <c r="AN41" s="106">
        <f t="shared" si="28"/>
        <v>0</v>
      </c>
      <c r="AO41" s="106">
        <f t="shared" si="28"/>
        <v>18761.526165524643</v>
      </c>
      <c r="AP41" s="106">
        <f t="shared" si="28"/>
        <v>0</v>
      </c>
      <c r="AQ41" s="106">
        <f t="shared" si="28"/>
        <v>77112.591165524645</v>
      </c>
    </row>
    <row r="42" spans="1:43">
      <c r="A42" s="59"/>
      <c r="B42" s="49"/>
      <c r="C42" s="77"/>
      <c r="D42" s="560"/>
      <c r="E42" s="560"/>
      <c r="F42" s="28"/>
      <c r="G42" s="16"/>
      <c r="H42" s="26"/>
      <c r="I42" s="84"/>
      <c r="J42" s="26"/>
      <c r="M42" s="59"/>
      <c r="N42" s="3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43" s="87" customFormat="1">
      <c r="A43" s="85"/>
      <c r="B43" s="562"/>
      <c r="C43" s="74"/>
      <c r="D43" s="78"/>
      <c r="E43" s="78"/>
      <c r="F43" s="563"/>
      <c r="G43" s="86"/>
      <c r="H43" s="564"/>
      <c r="I43" s="565"/>
      <c r="J43" s="564"/>
      <c r="M43" s="85"/>
      <c r="N43" s="88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I43" s="107"/>
      <c r="AJ43" s="107"/>
      <c r="AK43" s="107"/>
      <c r="AL43" s="107"/>
      <c r="AM43" s="107"/>
      <c r="AN43" s="107"/>
      <c r="AO43" s="107"/>
      <c r="AP43" s="107"/>
      <c r="AQ43" s="107"/>
    </row>
    <row r="44" spans="1:43" s="87" customFormat="1">
      <c r="A44" s="85"/>
      <c r="B44" s="562"/>
      <c r="C44" s="77" t="s">
        <v>180</v>
      </c>
      <c r="D44" s="78"/>
      <c r="E44" s="78"/>
      <c r="F44" s="563"/>
      <c r="G44" s="86"/>
      <c r="H44" s="564"/>
      <c r="I44" s="565"/>
      <c r="J44" s="564"/>
      <c r="M44" s="85"/>
      <c r="N44" s="88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I44" s="107"/>
      <c r="AJ44" s="107"/>
      <c r="AK44" s="107"/>
      <c r="AL44" s="107"/>
      <c r="AM44" s="107"/>
      <c r="AN44" s="107"/>
      <c r="AO44" s="107"/>
      <c r="AP44" s="107"/>
      <c r="AQ44" s="107"/>
    </row>
    <row r="45" spans="1:43" s="87" customFormat="1">
      <c r="A45" s="85"/>
      <c r="B45" s="562"/>
      <c r="C45" s="74" t="s">
        <v>190</v>
      </c>
      <c r="D45" s="78">
        <v>1997</v>
      </c>
      <c r="E45" s="78">
        <v>1</v>
      </c>
      <c r="F45" s="563">
        <v>0</v>
      </c>
      <c r="G45" s="86"/>
      <c r="H45" s="564" t="s">
        <v>51</v>
      </c>
      <c r="I45" s="78">
        <v>5</v>
      </c>
      <c r="J45" s="564">
        <f t="shared" ref="J45:J50" si="29">D45+I45</f>
        <v>2002</v>
      </c>
      <c r="M45" s="79">
        <v>15781</v>
      </c>
      <c r="N45" s="88">
        <v>0</v>
      </c>
      <c r="O45" s="86">
        <f t="shared" ref="O45:O50" si="30">M45-M45*F45</f>
        <v>15781</v>
      </c>
      <c r="P45" s="86">
        <f t="shared" ref="P45:P50" si="31">O45/I45/12</f>
        <v>263.01666666666665</v>
      </c>
      <c r="Q45" s="86">
        <f t="shared" ref="Q45:Q50" si="32">IF(N45&gt;0,0,IF(OR(AC45&gt;AD45,AE45&lt;AF45),0,IF(AND(AE45&gt;=AF45,AE45&lt;=AD45),P45*((AE45-AF45)*12),IF(AND(AF45&lt;=AC45,AD45&gt;=AC45),((AD45-AC45)*12)*P45,IF(AE45&gt;AD45,12*P45,0)))))</f>
        <v>0</v>
      </c>
      <c r="R45" s="86">
        <f t="shared" ref="R45:R50" si="33">IF(N45=0,0,IF(AND(AG45&gt;=AF45,AG45&lt;=AE45),((AG45-AF45)*12)*P45,0))</f>
        <v>0</v>
      </c>
      <c r="S45" s="86">
        <f t="shared" ref="S45:S50" si="34">IF(R45&gt;0,R45,Q45)</f>
        <v>0</v>
      </c>
      <c r="T45" s="86">
        <v>1</v>
      </c>
      <c r="U45" s="86">
        <f t="shared" ref="U45:U50" si="35">T45*SUM(Q45:R45)</f>
        <v>0</v>
      </c>
      <c r="V45" s="86"/>
      <c r="W45" s="86">
        <f t="shared" ref="W45:W50" si="36">IF(AC45&gt;AD45,0,IF(AE45&lt;AF45,O45,IF(AND(AE45&gt;=AF45,AE45&lt;=AD45),(O45-S45),IF(AND(AF45&lt;=AC45,AD45&gt;=AC45),0,IF(AE45&gt;AD45,((AF45-AC45)*12)*P45,0)))))</f>
        <v>0</v>
      </c>
      <c r="X45" s="86">
        <f t="shared" ref="X45:X50" si="37">W45*T45</f>
        <v>0</v>
      </c>
      <c r="Y45" s="86">
        <v>1</v>
      </c>
      <c r="Z45" s="86">
        <f t="shared" ref="Z45:Z50" si="38">X45*Y45</f>
        <v>0</v>
      </c>
      <c r="AA45" s="86">
        <f t="shared" ref="AA45:AA50" si="39">IF(N45&gt;0,0,Z45+U45*Y45)*Y45</f>
        <v>0</v>
      </c>
      <c r="AB45" s="86">
        <f t="shared" ref="AB45:AB50" si="40">IF(N45&gt;0,(M45-Z45)/2,IF(AC45&gt;=AF45,(((M45*T45)*Y45)-AA45)/2,((((M45*T45)*Y45)-Z45)+(((M45*T45)*Y45)-AA45))/2))</f>
        <v>7890.5</v>
      </c>
      <c r="AC45" s="86">
        <f t="shared" si="14"/>
        <v>1997</v>
      </c>
      <c r="AD45" s="86">
        <f t="shared" ref="AD45:AD50" si="41">($O$5+1)-($O$2/12)</f>
        <v>1</v>
      </c>
      <c r="AE45" s="86">
        <f t="shared" si="16"/>
        <v>2002</v>
      </c>
      <c r="AF45" s="86">
        <f>$O$4+($O$3/12)</f>
        <v>0</v>
      </c>
      <c r="AG45" s="86">
        <f t="shared" si="18"/>
        <v>-8.3333333333333329E-2</v>
      </c>
      <c r="AI45" s="116">
        <f>+IF((AE45-AF45)&gt;3,((M45-O45)/(AE45-AF45)),(M45-O45)/3)</f>
        <v>0</v>
      </c>
      <c r="AJ45" s="116"/>
      <c r="AK45" s="116">
        <f>+AI45+U45</f>
        <v>0</v>
      </c>
      <c r="AL45" s="116"/>
      <c r="AM45" s="116">
        <f>+IF(AE45&lt;AF45,-AB45,0)</f>
        <v>0</v>
      </c>
      <c r="AN45" s="116"/>
      <c r="AO45" s="116">
        <f>IF(AE45&gt;AF45,IF(AI45&gt;0,IF(N45&gt;0,(M45-Z45)/2,IF(AC45&gt;=AF45,(((M45*T45)*Y45)-(AA45+AI45))/2,((((M45*T45)*Y45)-Z45)+(((M45*T45)*Y45)-(AA45+AI45)))/2)),0),0)</f>
        <v>0</v>
      </c>
      <c r="AP45" s="116"/>
      <c r="AQ45" s="116">
        <f>+AB45+AM45+(IF(AO45&gt;0,(AO45-AB45),0))</f>
        <v>7890.5</v>
      </c>
    </row>
    <row r="46" spans="1:43">
      <c r="A46" s="59"/>
      <c r="B46" s="49"/>
      <c r="C46" s="74" t="s">
        <v>191</v>
      </c>
      <c r="D46" s="78">
        <v>1998</v>
      </c>
      <c r="E46" s="78">
        <v>6</v>
      </c>
      <c r="F46" s="28">
        <v>0</v>
      </c>
      <c r="G46" s="16"/>
      <c r="H46" s="26" t="s">
        <v>51</v>
      </c>
      <c r="I46" s="78">
        <v>7</v>
      </c>
      <c r="J46" s="26">
        <f t="shared" si="29"/>
        <v>2005</v>
      </c>
      <c r="M46" s="79">
        <v>754</v>
      </c>
      <c r="N46" s="30">
        <v>0</v>
      </c>
      <c r="O46" s="16">
        <f t="shared" si="30"/>
        <v>754</v>
      </c>
      <c r="P46" s="16">
        <f t="shared" si="31"/>
        <v>8.9761904761904763</v>
      </c>
      <c r="Q46" s="16">
        <f t="shared" si="32"/>
        <v>0</v>
      </c>
      <c r="R46" s="16">
        <f t="shared" si="33"/>
        <v>0</v>
      </c>
      <c r="S46" s="16">
        <f t="shared" si="34"/>
        <v>0</v>
      </c>
      <c r="T46" s="16">
        <v>1</v>
      </c>
      <c r="U46" s="16">
        <f t="shared" si="35"/>
        <v>0</v>
      </c>
      <c r="V46" s="16"/>
      <c r="W46" s="16">
        <f t="shared" si="36"/>
        <v>0</v>
      </c>
      <c r="X46" s="16">
        <f t="shared" si="37"/>
        <v>0</v>
      </c>
      <c r="Y46" s="16">
        <v>1</v>
      </c>
      <c r="Z46" s="16">
        <f t="shared" si="38"/>
        <v>0</v>
      </c>
      <c r="AA46" s="16">
        <f t="shared" si="39"/>
        <v>0</v>
      </c>
      <c r="AB46" s="16">
        <f t="shared" si="40"/>
        <v>377</v>
      </c>
      <c r="AC46" s="16">
        <f t="shared" si="14"/>
        <v>1998.4166666666667</v>
      </c>
      <c r="AD46" s="16">
        <f t="shared" si="41"/>
        <v>1</v>
      </c>
      <c r="AE46" s="16">
        <f t="shared" si="16"/>
        <v>2005.4166666666667</v>
      </c>
      <c r="AF46" s="16">
        <f>$O$4+($O$3/12)</f>
        <v>0</v>
      </c>
      <c r="AG46" s="16">
        <f t="shared" si="18"/>
        <v>-8.3333333333333329E-2</v>
      </c>
      <c r="AI46" s="116">
        <f>+IF((AE46-AF46)&gt;3,((M46-O46)/(AE46-AF46)),(M46-O46)/3)</f>
        <v>0</v>
      </c>
      <c r="AJ46" s="116"/>
      <c r="AK46" s="116">
        <f>+AI46+U46</f>
        <v>0</v>
      </c>
      <c r="AL46" s="116"/>
      <c r="AM46" s="116">
        <f>+IF(AE46&lt;AF46,-AB46,0)</f>
        <v>0</v>
      </c>
      <c r="AN46" s="116"/>
      <c r="AO46" s="116">
        <f>IF(AE46&gt;AF46,IF(AI46&gt;0,IF(N46&gt;0,(M46-Z46)/2,IF(AC46&gt;=AF46,(((M46*T46)*Y46)-(AA46+AI46))/2,((((M46*T46)*Y46)-Z46)+(((M46*T46)*Y46)-(AA46+AI46)))/2)),0),0)</f>
        <v>0</v>
      </c>
      <c r="AP46" s="116"/>
      <c r="AQ46" s="116">
        <f>+AB46+AM46+(IF(AO46&gt;0,(AO46-AB46),0))</f>
        <v>377</v>
      </c>
    </row>
    <row r="47" spans="1:43">
      <c r="A47" s="59"/>
      <c r="B47" s="49"/>
      <c r="C47" s="74" t="s">
        <v>192</v>
      </c>
      <c r="D47" s="78">
        <v>2004</v>
      </c>
      <c r="E47" s="78">
        <v>1</v>
      </c>
      <c r="F47" s="28">
        <v>0</v>
      </c>
      <c r="G47" s="16"/>
      <c r="H47" s="26" t="s">
        <v>51</v>
      </c>
      <c r="I47" s="78">
        <v>5</v>
      </c>
      <c r="J47" s="26">
        <f t="shared" si="29"/>
        <v>2009</v>
      </c>
      <c r="M47" s="79">
        <v>760</v>
      </c>
      <c r="O47" s="16">
        <f t="shared" si="30"/>
        <v>760</v>
      </c>
      <c r="P47" s="16">
        <f t="shared" si="31"/>
        <v>12.666666666666666</v>
      </c>
      <c r="Q47" s="16">
        <f t="shared" si="32"/>
        <v>0</v>
      </c>
      <c r="R47" s="16">
        <f t="shared" si="33"/>
        <v>0</v>
      </c>
      <c r="S47" s="16">
        <f t="shared" si="34"/>
        <v>0</v>
      </c>
      <c r="T47" s="16">
        <v>1</v>
      </c>
      <c r="U47" s="16">
        <f t="shared" si="35"/>
        <v>0</v>
      </c>
      <c r="V47" s="16"/>
      <c r="W47" s="16">
        <f t="shared" si="36"/>
        <v>0</v>
      </c>
      <c r="X47" s="16">
        <f t="shared" si="37"/>
        <v>0</v>
      </c>
      <c r="Y47" s="16">
        <v>1</v>
      </c>
      <c r="Z47" s="16">
        <f t="shared" si="38"/>
        <v>0</v>
      </c>
      <c r="AA47" s="16">
        <f t="shared" si="39"/>
        <v>0</v>
      </c>
      <c r="AB47" s="16">
        <f t="shared" si="40"/>
        <v>380</v>
      </c>
      <c r="AC47" s="16">
        <f t="shared" si="14"/>
        <v>2004</v>
      </c>
      <c r="AD47" s="16">
        <f t="shared" si="41"/>
        <v>1</v>
      </c>
      <c r="AE47" s="16">
        <f t="shared" si="16"/>
        <v>2009</v>
      </c>
      <c r="AF47" s="16">
        <f>$O$4+($O$3/12)</f>
        <v>0</v>
      </c>
      <c r="AG47" s="16">
        <f t="shared" si="18"/>
        <v>-8.3333333333333329E-2</v>
      </c>
      <c r="AI47" s="116">
        <f>+IF((AE47-AF47)&gt;3,((M47-O47)/(AE47-AF47)),(M47-O47)/3)</f>
        <v>0</v>
      </c>
      <c r="AJ47" s="116"/>
      <c r="AK47" s="116">
        <f>+AI47+U47</f>
        <v>0</v>
      </c>
      <c r="AL47" s="116"/>
      <c r="AM47" s="116">
        <f>+IF(AE47&lt;AF47,-AB47,0)</f>
        <v>0</v>
      </c>
      <c r="AN47" s="116"/>
      <c r="AO47" s="116">
        <f>IF(AE47&gt;AF47,IF(AI47&gt;0,IF(N47&gt;0,(M47-Z47)/2,IF(AC47&gt;=AF47,(((M47*T47)*Y47)-(AA47+AI47))/2,((((M47*T47)*Y47)-Z47)+(((M47*T47)*Y47)-(AA47+AI47)))/2)),0),0)</f>
        <v>0</v>
      </c>
      <c r="AP47" s="116"/>
      <c r="AQ47" s="116">
        <f>+AB47+AM47+(IF(AO47&gt;0,(AO47-AB47),0))</f>
        <v>380</v>
      </c>
    </row>
    <row r="48" spans="1:43">
      <c r="A48" s="59"/>
      <c r="B48" s="49"/>
      <c r="C48" s="74" t="s">
        <v>192</v>
      </c>
      <c r="D48" s="78">
        <v>2004</v>
      </c>
      <c r="E48" s="78">
        <v>1</v>
      </c>
      <c r="F48" s="28">
        <v>0</v>
      </c>
      <c r="G48" s="16"/>
      <c r="H48" s="26" t="s">
        <v>51</v>
      </c>
      <c r="I48" s="78">
        <v>5</v>
      </c>
      <c r="J48" s="26">
        <f t="shared" si="29"/>
        <v>2009</v>
      </c>
      <c r="M48" s="79">
        <v>5052</v>
      </c>
      <c r="O48" s="16">
        <f t="shared" si="30"/>
        <v>5052</v>
      </c>
      <c r="P48" s="16">
        <f t="shared" si="31"/>
        <v>84.2</v>
      </c>
      <c r="Q48" s="16">
        <f t="shared" si="32"/>
        <v>0</v>
      </c>
      <c r="R48" s="16">
        <f t="shared" si="33"/>
        <v>0</v>
      </c>
      <c r="S48" s="16">
        <f t="shared" si="34"/>
        <v>0</v>
      </c>
      <c r="T48" s="16">
        <v>1</v>
      </c>
      <c r="U48" s="16">
        <f t="shared" si="35"/>
        <v>0</v>
      </c>
      <c r="V48" s="16"/>
      <c r="W48" s="16">
        <f t="shared" si="36"/>
        <v>0</v>
      </c>
      <c r="X48" s="16">
        <f t="shared" si="37"/>
        <v>0</v>
      </c>
      <c r="Y48" s="16">
        <v>1</v>
      </c>
      <c r="Z48" s="16">
        <f t="shared" si="38"/>
        <v>0</v>
      </c>
      <c r="AA48" s="16">
        <f t="shared" si="39"/>
        <v>0</v>
      </c>
      <c r="AB48" s="16">
        <f t="shared" si="40"/>
        <v>2526</v>
      </c>
      <c r="AC48" s="16">
        <f t="shared" si="14"/>
        <v>2004</v>
      </c>
      <c r="AD48" s="16">
        <f t="shared" si="41"/>
        <v>1</v>
      </c>
      <c r="AE48" s="16">
        <f t="shared" si="16"/>
        <v>2009</v>
      </c>
      <c r="AF48" s="16">
        <f>$O$4+($O$3/12)</f>
        <v>0</v>
      </c>
      <c r="AG48" s="16">
        <f t="shared" si="18"/>
        <v>-8.3333333333333329E-2</v>
      </c>
      <c r="AI48" s="116">
        <f>+IF((AE48-AF48)&gt;3,((M48-O48)/(AE48-AF48)),(M48-O48)/3)</f>
        <v>0</v>
      </c>
      <c r="AJ48" s="116"/>
      <c r="AK48" s="116">
        <f>+AI48+U48</f>
        <v>0</v>
      </c>
      <c r="AL48" s="116"/>
      <c r="AM48" s="116">
        <f>+IF(AE48&lt;AF48,-AB48,0)</f>
        <v>0</v>
      </c>
      <c r="AN48" s="116"/>
      <c r="AO48" s="116">
        <f>IF(AE48&gt;AF48,IF(AI48&gt;0,IF(N48&gt;0,(M48-Z48)/2,IF(AC48&gt;=AF48,(((M48*T48)*Y48)-(AA48+AI48))/2,((((M48*T48)*Y48)-Z48)+(((M48*T48)*Y48)-(AA48+AI48)))/2)),0),0)</f>
        <v>0</v>
      </c>
      <c r="AP48" s="116"/>
      <c r="AQ48" s="116">
        <f>+AB48+AM48+(IF(AO48&gt;0,(AO48-AB48),0))</f>
        <v>2526</v>
      </c>
    </row>
    <row r="49" spans="1:43">
      <c r="A49" s="26">
        <v>122560</v>
      </c>
      <c r="B49" s="49"/>
      <c r="C49" s="74" t="s">
        <v>192</v>
      </c>
      <c r="D49" s="78">
        <v>2015</v>
      </c>
      <c r="E49" s="78">
        <v>4</v>
      </c>
      <c r="F49" s="28">
        <v>0</v>
      </c>
      <c r="G49" s="16"/>
      <c r="H49" s="26" t="s">
        <v>51</v>
      </c>
      <c r="I49" s="78">
        <v>5</v>
      </c>
      <c r="J49" s="26">
        <f t="shared" si="29"/>
        <v>2020</v>
      </c>
      <c r="M49" s="79">
        <v>13450.42</v>
      </c>
      <c r="O49" s="16">
        <f t="shared" si="30"/>
        <v>13450.42</v>
      </c>
      <c r="P49" s="16">
        <f t="shared" si="31"/>
        <v>224.17366666666666</v>
      </c>
      <c r="Q49" s="16">
        <f t="shared" si="32"/>
        <v>0</v>
      </c>
      <c r="R49" s="16">
        <f t="shared" si="33"/>
        <v>0</v>
      </c>
      <c r="S49" s="16">
        <f t="shared" si="34"/>
        <v>0</v>
      </c>
      <c r="T49" s="16">
        <v>1</v>
      </c>
      <c r="U49" s="16">
        <f t="shared" si="35"/>
        <v>0</v>
      </c>
      <c r="V49" s="16"/>
      <c r="W49" s="16">
        <f t="shared" si="36"/>
        <v>0</v>
      </c>
      <c r="X49" s="16">
        <f t="shared" si="37"/>
        <v>0</v>
      </c>
      <c r="Y49" s="16">
        <v>1</v>
      </c>
      <c r="Z49" s="16">
        <f t="shared" si="38"/>
        <v>0</v>
      </c>
      <c r="AA49" s="16">
        <f t="shared" si="39"/>
        <v>0</v>
      </c>
      <c r="AB49" s="16">
        <f t="shared" si="40"/>
        <v>6725.21</v>
      </c>
      <c r="AC49" s="16">
        <f t="shared" si="14"/>
        <v>2015.25</v>
      </c>
      <c r="AD49" s="16">
        <f t="shared" si="41"/>
        <v>1</v>
      </c>
      <c r="AE49" s="16">
        <f t="shared" si="16"/>
        <v>2020.25</v>
      </c>
      <c r="AF49" s="16">
        <f>$O$4+($O$3/12)</f>
        <v>0</v>
      </c>
      <c r="AG49" s="16">
        <f t="shared" si="18"/>
        <v>-8.3333333333333329E-2</v>
      </c>
      <c r="AI49" s="116">
        <f>+IF((AE49-AF49)&gt;3,((M49-O49)/(AE49-AF49)),(M49-O49)/3)</f>
        <v>0</v>
      </c>
      <c r="AJ49" s="116"/>
      <c r="AK49" s="116">
        <f>+AI49+U49</f>
        <v>0</v>
      </c>
      <c r="AL49" s="116"/>
      <c r="AM49" s="116">
        <f>+IF(AE49&lt;AF49,-AB49,0)</f>
        <v>0</v>
      </c>
      <c r="AN49" s="116"/>
      <c r="AO49" s="116">
        <f>IF(AE49&gt;AF49,IF(AI49&gt;0,IF(N49&gt;0,(M49-Z49)/2,IF(AC49&gt;=AF49,(((M49*T49)*Y49)-(AA49+AI49))/2,((((M49*T49)*Y49)-Z49)+(((M49*T49)*Y49)-(AA49+AI49)))/2)),0),0)</f>
        <v>0</v>
      </c>
      <c r="AP49" s="116"/>
      <c r="AQ49" s="116">
        <f>+AB49+AM49+(IF(AO49&gt;0,(AO49-AB49),0))</f>
        <v>6725.21</v>
      </c>
    </row>
    <row r="50" spans="1:43">
      <c r="A50" s="118">
        <v>186692</v>
      </c>
      <c r="B50" s="49"/>
      <c r="C50" s="74" t="s">
        <v>393</v>
      </c>
      <c r="D50" s="78">
        <v>2017</v>
      </c>
      <c r="E50" s="78">
        <v>9</v>
      </c>
      <c r="F50" s="28">
        <v>0</v>
      </c>
      <c r="G50" s="16"/>
      <c r="H50" s="26" t="s">
        <v>51</v>
      </c>
      <c r="I50" s="78">
        <v>10</v>
      </c>
      <c r="J50" s="26">
        <f t="shared" si="29"/>
        <v>2027</v>
      </c>
      <c r="M50" s="79">
        <v>10189.6</v>
      </c>
      <c r="O50" s="16">
        <f t="shared" si="30"/>
        <v>10189.6</v>
      </c>
      <c r="P50" s="16">
        <f t="shared" si="31"/>
        <v>84.913333333333341</v>
      </c>
      <c r="Q50" s="16">
        <f t="shared" si="32"/>
        <v>0</v>
      </c>
      <c r="R50" s="16">
        <f t="shared" si="33"/>
        <v>0</v>
      </c>
      <c r="S50" s="16">
        <f t="shared" si="34"/>
        <v>0</v>
      </c>
      <c r="T50" s="16">
        <v>1</v>
      </c>
      <c r="U50" s="16">
        <f t="shared" si="35"/>
        <v>0</v>
      </c>
      <c r="V50" s="16"/>
      <c r="W50" s="16">
        <f t="shared" si="36"/>
        <v>0</v>
      </c>
      <c r="X50" s="16">
        <f t="shared" si="37"/>
        <v>0</v>
      </c>
      <c r="Y50" s="16">
        <v>1</v>
      </c>
      <c r="Z50" s="16">
        <f t="shared" si="38"/>
        <v>0</v>
      </c>
      <c r="AA50" s="16">
        <f t="shared" si="39"/>
        <v>0</v>
      </c>
      <c r="AB50" s="16">
        <f t="shared" si="40"/>
        <v>5094.8</v>
      </c>
      <c r="AC50" s="16">
        <f t="shared" si="14"/>
        <v>2017.6666666666667</v>
      </c>
      <c r="AD50" s="16">
        <f t="shared" si="41"/>
        <v>1</v>
      </c>
      <c r="AE50" s="16">
        <f t="shared" si="16"/>
        <v>2027.6666666666667</v>
      </c>
      <c r="AF50" s="16"/>
      <c r="AG50" s="16"/>
      <c r="AI50" s="116"/>
      <c r="AJ50" s="116"/>
      <c r="AK50" s="116"/>
      <c r="AL50" s="116"/>
      <c r="AM50" s="116"/>
      <c r="AN50" s="116"/>
      <c r="AO50" s="116"/>
      <c r="AP50" s="116"/>
      <c r="AQ50" s="116"/>
    </row>
    <row r="51" spans="1:43">
      <c r="A51" s="59"/>
      <c r="B51" s="49"/>
      <c r="C51" s="74"/>
      <c r="D51" s="78"/>
      <c r="E51" s="78"/>
      <c r="F51" s="28"/>
      <c r="G51" s="16"/>
      <c r="H51" s="26"/>
      <c r="I51" s="84"/>
      <c r="J51" s="26"/>
      <c r="M51" s="59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43">
      <c r="A52" s="59"/>
      <c r="B52" s="49"/>
      <c r="C52" s="77" t="s">
        <v>193</v>
      </c>
      <c r="D52" s="78"/>
      <c r="E52" s="78"/>
      <c r="F52" s="28"/>
      <c r="G52" s="16"/>
      <c r="H52" s="26"/>
      <c r="I52" s="84"/>
      <c r="J52" s="26"/>
      <c r="M52" s="80">
        <f>SUM(M45:M51)</f>
        <v>45987.02</v>
      </c>
      <c r="O52" s="80">
        <f>SUM(O45:O51)</f>
        <v>45987.02</v>
      </c>
      <c r="P52" s="80">
        <f>SUM(P45:P51)</f>
        <v>677.9465238095238</v>
      </c>
      <c r="Q52" s="80">
        <f>SUM(Q45:Q51)</f>
        <v>0</v>
      </c>
      <c r="R52" s="80">
        <f>SUM(R45:R51)</f>
        <v>0</v>
      </c>
      <c r="S52" s="80">
        <f>SUM(S45:S51)</f>
        <v>0</v>
      </c>
      <c r="T52" s="16"/>
      <c r="U52" s="80">
        <f>SUM(U45:U51)</f>
        <v>0</v>
      </c>
      <c r="V52" s="16"/>
      <c r="W52" s="16"/>
      <c r="X52" s="16"/>
      <c r="Y52" s="16"/>
      <c r="Z52" s="80">
        <f>SUM(Z45:Z51)</f>
        <v>0</v>
      </c>
      <c r="AA52" s="80">
        <f>SUM(AA45:AA51)</f>
        <v>0</v>
      </c>
      <c r="AB52" s="80">
        <f>SUM(AB45:AB51)</f>
        <v>22993.51</v>
      </c>
      <c r="AC52" s="16"/>
      <c r="AD52" s="16"/>
      <c r="AE52" s="16"/>
      <c r="AF52" s="16"/>
      <c r="AG52" s="16"/>
      <c r="AI52" s="106">
        <f t="shared" ref="AI52:AQ52" si="42">SUM(AI45:AI51)</f>
        <v>0</v>
      </c>
      <c r="AJ52" s="106">
        <f t="shared" si="42"/>
        <v>0</v>
      </c>
      <c r="AK52" s="106">
        <f t="shared" si="42"/>
        <v>0</v>
      </c>
      <c r="AL52" s="106">
        <f t="shared" si="42"/>
        <v>0</v>
      </c>
      <c r="AM52" s="106">
        <f t="shared" si="42"/>
        <v>0</v>
      </c>
      <c r="AN52" s="106">
        <f t="shared" si="42"/>
        <v>0</v>
      </c>
      <c r="AO52" s="106">
        <f t="shared" si="42"/>
        <v>0</v>
      </c>
      <c r="AP52" s="106">
        <f t="shared" si="42"/>
        <v>0</v>
      </c>
      <c r="AQ52" s="106">
        <f t="shared" si="42"/>
        <v>17898.71</v>
      </c>
    </row>
    <row r="53" spans="1:43">
      <c r="A53" s="59"/>
      <c r="B53" s="49"/>
      <c r="C53" s="74"/>
      <c r="D53" s="78"/>
      <c r="E53" s="78"/>
      <c r="F53" s="28"/>
      <c r="G53" s="16"/>
      <c r="H53" s="26"/>
      <c r="I53" s="84"/>
      <c r="J53" s="26"/>
      <c r="M53" s="59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43">
      <c r="A54" s="59"/>
      <c r="B54" s="49"/>
      <c r="C54" s="77" t="s">
        <v>194</v>
      </c>
      <c r="D54" s="78"/>
      <c r="E54" s="78"/>
      <c r="F54" s="28"/>
      <c r="G54" s="16"/>
      <c r="H54" s="26"/>
      <c r="I54" s="84"/>
      <c r="J54" s="26"/>
      <c r="M54" s="59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43">
      <c r="A55" s="59"/>
      <c r="B55" s="49"/>
      <c r="C55" s="74" t="s">
        <v>195</v>
      </c>
      <c r="D55" s="78">
        <v>2000</v>
      </c>
      <c r="E55" s="78">
        <v>2</v>
      </c>
      <c r="F55" s="28">
        <v>0</v>
      </c>
      <c r="G55" s="16"/>
      <c r="H55" s="26" t="s">
        <v>51</v>
      </c>
      <c r="I55" s="78">
        <v>5</v>
      </c>
      <c r="J55" s="26">
        <f t="shared" ref="J55:J69" si="43">D55+I55</f>
        <v>2005</v>
      </c>
      <c r="M55" s="79">
        <v>1093.5899999999999</v>
      </c>
      <c r="O55" s="16">
        <f t="shared" ref="O55:O69" si="44">M55-M55*F55</f>
        <v>1093.5899999999999</v>
      </c>
      <c r="P55" s="16">
        <f t="shared" ref="P55:P69" si="45">O55/I55/12</f>
        <v>18.226499999999998</v>
      </c>
      <c r="Q55" s="16">
        <f t="shared" ref="Q55:Q69" si="46">IF(N55&gt;0,0,IF(OR(AC55&gt;AD55,AE55&lt;AF55),0,IF(AND(AE55&gt;=AF55,AE55&lt;=AD55),P55*((AE55-AF55)*12),IF(AND(AF55&lt;=AC55,AD55&gt;=AC55),((AD55-AC55)*12)*P55,IF(AE55&gt;AD55,12*P55,0)))))</f>
        <v>0</v>
      </c>
      <c r="R55" s="16">
        <f t="shared" ref="R55:R69" si="47">IF(N55=0,0,IF(AND(AG55&gt;=AF55,AG55&lt;=AE55),((AG55-AF55)*12)*P55,0))</f>
        <v>0</v>
      </c>
      <c r="S55" s="16">
        <f t="shared" ref="S55:S69" si="48">IF(R55&gt;0,R55,Q55)</f>
        <v>0</v>
      </c>
      <c r="T55" s="16">
        <v>1</v>
      </c>
      <c r="U55" s="16">
        <f t="shared" ref="U55:U69" si="49">T55*SUM(Q55:R55)</f>
        <v>0</v>
      </c>
      <c r="V55" s="16"/>
      <c r="W55" s="16">
        <f t="shared" ref="W55:W69" si="50">IF(AC55&gt;AD55,0,IF(AE55&lt;AF55,O55,IF(AND(AE55&gt;=AF55,AE55&lt;=AD55),(O55-S55),IF(AND(AF55&lt;=AC55,AD55&gt;=AC55),0,IF(AE55&gt;AD55,((AF55-AC55)*12)*P55,0)))))</f>
        <v>0</v>
      </c>
      <c r="X55" s="16">
        <f t="shared" ref="X55:X69" si="51">W55*T55</f>
        <v>0</v>
      </c>
      <c r="Y55" s="16">
        <v>1</v>
      </c>
      <c r="Z55" s="16">
        <f t="shared" ref="Z55:Z69" si="52">X55*Y55</f>
        <v>0</v>
      </c>
      <c r="AA55" s="16">
        <f t="shared" ref="AA55:AA69" si="53">IF(N55&gt;0,0,Z55+U55*Y55)*Y55</f>
        <v>0</v>
      </c>
      <c r="AB55" s="16">
        <f t="shared" ref="AB55:AB69" si="54">IF(N55&gt;0,(M55-Z55)/2,IF(AC55&gt;=AF55,(((M55*T55)*Y55)-AA55)/2,((((M55*T55)*Y55)-Z55)+(((M55*T55)*Y55)-AA55))/2))</f>
        <v>546.79499999999996</v>
      </c>
      <c r="AC55" s="16">
        <f t="shared" si="14"/>
        <v>2000.0833333333333</v>
      </c>
      <c r="AD55" s="16">
        <f t="shared" ref="AD55:AD76" si="55">($O$5+1)-($O$2/12)</f>
        <v>1</v>
      </c>
      <c r="AE55" s="16">
        <f t="shared" si="16"/>
        <v>2005.0833333333333</v>
      </c>
      <c r="AF55" s="16">
        <f t="shared" ref="AF55:AF76" si="56">$O$4+($O$3/12)</f>
        <v>0</v>
      </c>
      <c r="AG55" s="16">
        <f t="shared" si="18"/>
        <v>-8.3333333333333329E-2</v>
      </c>
      <c r="AI55" s="116">
        <f t="shared" ref="AI55:AI76" si="57">+IF((AE55-AF55)&gt;3,((M55-O55)/(AE55-AF55)),(M55-O55)/3)</f>
        <v>0</v>
      </c>
      <c r="AJ55" s="116"/>
      <c r="AK55" s="116">
        <f t="shared" ref="AK55:AK76" si="58">+AI55+U55</f>
        <v>0</v>
      </c>
      <c r="AL55" s="116"/>
      <c r="AM55" s="116">
        <f t="shared" ref="AM55:AM76" si="59">+IF(AE55&lt;AF55,-AB55,0)</f>
        <v>0</v>
      </c>
      <c r="AN55" s="116"/>
      <c r="AO55" s="116">
        <f t="shared" ref="AO55:AO76" si="60">IF(AE55&gt;AF55,IF(AI55&gt;0,IF(N55&gt;0,(M55-Z55)/2,IF(AC55&gt;=AF55,(((M55*T55)*Y55)-(AA55+AI55))/2,((((M55*T55)*Y55)-Z55)+(((M55*T55)*Y55)-(AA55+AI55)))/2)),0),0)</f>
        <v>0</v>
      </c>
      <c r="AP55" s="116"/>
      <c r="AQ55" s="116">
        <f t="shared" ref="AQ55:AQ76" si="61">+AB55+AM55+(IF(AO55&gt;0,(AO55-AB55),0))</f>
        <v>546.79499999999996</v>
      </c>
    </row>
    <row r="56" spans="1:43">
      <c r="A56" s="59"/>
      <c r="B56" s="49"/>
      <c r="C56" s="74" t="s">
        <v>196</v>
      </c>
      <c r="D56" s="78">
        <v>2004</v>
      </c>
      <c r="E56" s="78">
        <v>1</v>
      </c>
      <c r="F56" s="28">
        <v>0</v>
      </c>
      <c r="G56" s="16"/>
      <c r="H56" s="26" t="s">
        <v>51</v>
      </c>
      <c r="I56" s="78">
        <v>5</v>
      </c>
      <c r="J56" s="26">
        <f t="shared" si="43"/>
        <v>2009</v>
      </c>
      <c r="M56" s="79">
        <v>3391.76</v>
      </c>
      <c r="O56" s="16">
        <f t="shared" si="44"/>
        <v>3391.76</v>
      </c>
      <c r="P56" s="16">
        <f t="shared" si="45"/>
        <v>56.529333333333341</v>
      </c>
      <c r="Q56" s="16">
        <f t="shared" si="46"/>
        <v>0</v>
      </c>
      <c r="R56" s="16">
        <f t="shared" si="47"/>
        <v>0</v>
      </c>
      <c r="S56" s="16">
        <f t="shared" si="48"/>
        <v>0</v>
      </c>
      <c r="T56" s="16">
        <v>1</v>
      </c>
      <c r="U56" s="16">
        <f t="shared" si="49"/>
        <v>0</v>
      </c>
      <c r="V56" s="16"/>
      <c r="W56" s="16">
        <f t="shared" si="50"/>
        <v>0</v>
      </c>
      <c r="X56" s="16">
        <f t="shared" si="51"/>
        <v>0</v>
      </c>
      <c r="Y56" s="16">
        <v>1</v>
      </c>
      <c r="Z56" s="16">
        <f t="shared" si="52"/>
        <v>0</v>
      </c>
      <c r="AA56" s="16">
        <f t="shared" si="53"/>
        <v>0</v>
      </c>
      <c r="AB56" s="16">
        <f t="shared" si="54"/>
        <v>1695.88</v>
      </c>
      <c r="AC56" s="16">
        <f t="shared" si="14"/>
        <v>2004</v>
      </c>
      <c r="AD56" s="16">
        <f t="shared" si="55"/>
        <v>1</v>
      </c>
      <c r="AE56" s="16">
        <f t="shared" si="16"/>
        <v>2009</v>
      </c>
      <c r="AF56" s="16">
        <f t="shared" si="56"/>
        <v>0</v>
      </c>
      <c r="AG56" s="16">
        <f t="shared" si="18"/>
        <v>-8.3333333333333329E-2</v>
      </c>
      <c r="AI56" s="116">
        <f t="shared" si="57"/>
        <v>0</v>
      </c>
      <c r="AJ56" s="116"/>
      <c r="AK56" s="116">
        <f t="shared" si="58"/>
        <v>0</v>
      </c>
      <c r="AL56" s="116"/>
      <c r="AM56" s="116">
        <f t="shared" si="59"/>
        <v>0</v>
      </c>
      <c r="AN56" s="116"/>
      <c r="AO56" s="116">
        <f t="shared" si="60"/>
        <v>0</v>
      </c>
      <c r="AP56" s="116"/>
      <c r="AQ56" s="116">
        <f t="shared" si="61"/>
        <v>1695.88</v>
      </c>
    </row>
    <row r="57" spans="1:43">
      <c r="A57" s="59"/>
      <c r="B57" s="49"/>
      <c r="C57" s="74" t="s">
        <v>197</v>
      </c>
      <c r="D57" s="78">
        <v>2004</v>
      </c>
      <c r="E57" s="78">
        <v>1</v>
      </c>
      <c r="F57" s="28">
        <v>0</v>
      </c>
      <c r="H57" s="26" t="s">
        <v>51</v>
      </c>
      <c r="I57" s="78">
        <v>5</v>
      </c>
      <c r="J57" s="26">
        <f t="shared" si="43"/>
        <v>2009</v>
      </c>
      <c r="M57" s="79">
        <v>640</v>
      </c>
      <c r="O57" s="16">
        <f t="shared" si="44"/>
        <v>640</v>
      </c>
      <c r="P57" s="16">
        <f t="shared" si="45"/>
        <v>10.666666666666666</v>
      </c>
      <c r="Q57" s="16">
        <f t="shared" si="46"/>
        <v>0</v>
      </c>
      <c r="R57" s="16">
        <f t="shared" si="47"/>
        <v>0</v>
      </c>
      <c r="S57" s="16">
        <f t="shared" si="48"/>
        <v>0</v>
      </c>
      <c r="T57" s="16">
        <v>1</v>
      </c>
      <c r="U57" s="16">
        <f t="shared" si="49"/>
        <v>0</v>
      </c>
      <c r="V57" s="16"/>
      <c r="W57" s="16">
        <f t="shared" si="50"/>
        <v>0</v>
      </c>
      <c r="X57" s="16">
        <f t="shared" si="51"/>
        <v>0</v>
      </c>
      <c r="Y57" s="16">
        <v>1</v>
      </c>
      <c r="Z57" s="16">
        <f t="shared" si="52"/>
        <v>0</v>
      </c>
      <c r="AA57" s="16">
        <f t="shared" si="53"/>
        <v>0</v>
      </c>
      <c r="AB57" s="16">
        <f t="shared" si="54"/>
        <v>320</v>
      </c>
      <c r="AC57" s="16">
        <f t="shared" si="14"/>
        <v>2004</v>
      </c>
      <c r="AD57" s="16">
        <f t="shared" si="55"/>
        <v>1</v>
      </c>
      <c r="AE57" s="16">
        <f t="shared" si="16"/>
        <v>2009</v>
      </c>
      <c r="AF57" s="16">
        <f t="shared" si="56"/>
        <v>0</v>
      </c>
      <c r="AG57" s="16">
        <f t="shared" si="18"/>
        <v>-8.3333333333333329E-2</v>
      </c>
      <c r="AI57" s="116">
        <f t="shared" si="57"/>
        <v>0</v>
      </c>
      <c r="AJ57" s="116"/>
      <c r="AK57" s="116">
        <f t="shared" si="58"/>
        <v>0</v>
      </c>
      <c r="AL57" s="116"/>
      <c r="AM57" s="116">
        <f t="shared" si="59"/>
        <v>0</v>
      </c>
      <c r="AN57" s="116"/>
      <c r="AO57" s="116">
        <f t="shared" si="60"/>
        <v>0</v>
      </c>
      <c r="AP57" s="116"/>
      <c r="AQ57" s="116">
        <f t="shared" si="61"/>
        <v>320</v>
      </c>
    </row>
    <row r="58" spans="1:43">
      <c r="A58" s="59"/>
      <c r="B58" s="49"/>
      <c r="C58" s="74" t="s">
        <v>197</v>
      </c>
      <c r="D58" s="78">
        <v>2004</v>
      </c>
      <c r="E58" s="78">
        <v>1</v>
      </c>
      <c r="F58" s="28">
        <v>0</v>
      </c>
      <c r="H58" s="26" t="s">
        <v>51</v>
      </c>
      <c r="I58" s="78">
        <v>5</v>
      </c>
      <c r="J58" s="26">
        <f t="shared" si="43"/>
        <v>2009</v>
      </c>
      <c r="M58" s="79">
        <v>2200</v>
      </c>
      <c r="O58" s="16">
        <f t="shared" si="44"/>
        <v>2200</v>
      </c>
      <c r="P58" s="16">
        <f t="shared" si="45"/>
        <v>36.666666666666664</v>
      </c>
      <c r="Q58" s="16">
        <f t="shared" si="46"/>
        <v>0</v>
      </c>
      <c r="R58" s="16">
        <f t="shared" si="47"/>
        <v>0</v>
      </c>
      <c r="S58" s="16">
        <f t="shared" si="48"/>
        <v>0</v>
      </c>
      <c r="T58" s="16">
        <v>1</v>
      </c>
      <c r="U58" s="16">
        <f t="shared" si="49"/>
        <v>0</v>
      </c>
      <c r="V58" s="16"/>
      <c r="W58" s="16">
        <f t="shared" si="50"/>
        <v>0</v>
      </c>
      <c r="X58" s="16">
        <f t="shared" si="51"/>
        <v>0</v>
      </c>
      <c r="Y58" s="16">
        <v>1</v>
      </c>
      <c r="Z58" s="16">
        <f t="shared" si="52"/>
        <v>0</v>
      </c>
      <c r="AA58" s="16">
        <f t="shared" si="53"/>
        <v>0</v>
      </c>
      <c r="AB58" s="16">
        <f t="shared" si="54"/>
        <v>1100</v>
      </c>
      <c r="AC58" s="16">
        <f t="shared" si="14"/>
        <v>2004</v>
      </c>
      <c r="AD58" s="16">
        <f t="shared" si="55"/>
        <v>1</v>
      </c>
      <c r="AE58" s="16">
        <f t="shared" si="16"/>
        <v>2009</v>
      </c>
      <c r="AF58" s="16">
        <f t="shared" si="56"/>
        <v>0</v>
      </c>
      <c r="AG58" s="16">
        <f t="shared" si="18"/>
        <v>-8.3333333333333329E-2</v>
      </c>
      <c r="AI58" s="116">
        <f t="shared" si="57"/>
        <v>0</v>
      </c>
      <c r="AJ58" s="116"/>
      <c r="AK58" s="116">
        <f t="shared" si="58"/>
        <v>0</v>
      </c>
      <c r="AL58" s="116"/>
      <c r="AM58" s="116">
        <f t="shared" si="59"/>
        <v>0</v>
      </c>
      <c r="AN58" s="116"/>
      <c r="AO58" s="116">
        <f t="shared" si="60"/>
        <v>0</v>
      </c>
      <c r="AP58" s="116"/>
      <c r="AQ58" s="116">
        <f t="shared" si="61"/>
        <v>1100</v>
      </c>
    </row>
    <row r="59" spans="1:43">
      <c r="C59" s="74" t="s">
        <v>197</v>
      </c>
      <c r="D59" s="78">
        <v>2004</v>
      </c>
      <c r="E59" s="78">
        <v>1</v>
      </c>
      <c r="F59" s="28">
        <v>0</v>
      </c>
      <c r="H59" s="26" t="s">
        <v>51</v>
      </c>
      <c r="I59" s="78">
        <v>5</v>
      </c>
      <c r="J59" s="26">
        <f t="shared" si="43"/>
        <v>2009</v>
      </c>
      <c r="M59" s="79">
        <v>960</v>
      </c>
      <c r="O59" s="16">
        <f t="shared" si="44"/>
        <v>960</v>
      </c>
      <c r="P59" s="16">
        <f t="shared" si="45"/>
        <v>16</v>
      </c>
      <c r="Q59" s="16">
        <f t="shared" si="46"/>
        <v>0</v>
      </c>
      <c r="R59" s="16">
        <f t="shared" si="47"/>
        <v>0</v>
      </c>
      <c r="S59" s="16">
        <f t="shared" si="48"/>
        <v>0</v>
      </c>
      <c r="T59" s="16">
        <v>1</v>
      </c>
      <c r="U59" s="16">
        <f t="shared" si="49"/>
        <v>0</v>
      </c>
      <c r="V59" s="16"/>
      <c r="W59" s="16">
        <f t="shared" si="50"/>
        <v>0</v>
      </c>
      <c r="X59" s="16">
        <f t="shared" si="51"/>
        <v>0</v>
      </c>
      <c r="Y59" s="16">
        <v>1</v>
      </c>
      <c r="Z59" s="16">
        <f t="shared" si="52"/>
        <v>0</v>
      </c>
      <c r="AA59" s="16">
        <f t="shared" si="53"/>
        <v>0</v>
      </c>
      <c r="AB59" s="16">
        <f t="shared" si="54"/>
        <v>480</v>
      </c>
      <c r="AC59" s="16">
        <f t="shared" si="14"/>
        <v>2004</v>
      </c>
      <c r="AD59" s="16">
        <f t="shared" si="55"/>
        <v>1</v>
      </c>
      <c r="AE59" s="16">
        <f t="shared" si="16"/>
        <v>2009</v>
      </c>
      <c r="AF59" s="16">
        <f t="shared" si="56"/>
        <v>0</v>
      </c>
      <c r="AG59" s="16">
        <f t="shared" si="18"/>
        <v>-8.3333333333333329E-2</v>
      </c>
      <c r="AI59" s="116">
        <f t="shared" si="57"/>
        <v>0</v>
      </c>
      <c r="AJ59" s="116"/>
      <c r="AK59" s="116">
        <f t="shared" si="58"/>
        <v>0</v>
      </c>
      <c r="AL59" s="116"/>
      <c r="AM59" s="116">
        <f t="shared" si="59"/>
        <v>0</v>
      </c>
      <c r="AN59" s="116"/>
      <c r="AO59" s="116">
        <f t="shared" si="60"/>
        <v>0</v>
      </c>
      <c r="AP59" s="116"/>
      <c r="AQ59" s="116">
        <f t="shared" si="61"/>
        <v>480</v>
      </c>
    </row>
    <row r="60" spans="1:43">
      <c r="C60" s="74" t="s">
        <v>197</v>
      </c>
      <c r="D60" s="78">
        <v>2004</v>
      </c>
      <c r="E60" s="78">
        <v>2</v>
      </c>
      <c r="F60" s="28">
        <v>0</v>
      </c>
      <c r="H60" s="26" t="s">
        <v>51</v>
      </c>
      <c r="I60" s="78">
        <v>5</v>
      </c>
      <c r="J60" s="26">
        <f t="shared" si="43"/>
        <v>2009</v>
      </c>
      <c r="M60" s="79">
        <v>1000</v>
      </c>
      <c r="O60" s="16">
        <f t="shared" si="44"/>
        <v>1000</v>
      </c>
      <c r="P60" s="16">
        <f t="shared" si="45"/>
        <v>16.666666666666668</v>
      </c>
      <c r="Q60" s="16">
        <f t="shared" si="46"/>
        <v>0</v>
      </c>
      <c r="R60" s="16">
        <f t="shared" si="47"/>
        <v>0</v>
      </c>
      <c r="S60" s="16">
        <f t="shared" si="48"/>
        <v>0</v>
      </c>
      <c r="T60" s="16">
        <v>1</v>
      </c>
      <c r="U60" s="16">
        <f t="shared" si="49"/>
        <v>0</v>
      </c>
      <c r="V60" s="16"/>
      <c r="W60" s="16">
        <f t="shared" si="50"/>
        <v>0</v>
      </c>
      <c r="X60" s="16">
        <f t="shared" si="51"/>
        <v>0</v>
      </c>
      <c r="Y60" s="16">
        <v>1</v>
      </c>
      <c r="Z60" s="16">
        <f t="shared" si="52"/>
        <v>0</v>
      </c>
      <c r="AA60" s="16">
        <f t="shared" si="53"/>
        <v>0</v>
      </c>
      <c r="AB60" s="16">
        <f t="shared" si="54"/>
        <v>500</v>
      </c>
      <c r="AC60" s="16">
        <f t="shared" si="14"/>
        <v>2004.0833333333333</v>
      </c>
      <c r="AD60" s="16">
        <f t="shared" si="55"/>
        <v>1</v>
      </c>
      <c r="AE60" s="16">
        <f t="shared" si="16"/>
        <v>2009.0833333333333</v>
      </c>
      <c r="AF60" s="16">
        <f t="shared" si="56"/>
        <v>0</v>
      </c>
      <c r="AG60" s="16">
        <f t="shared" si="18"/>
        <v>-8.3333333333333329E-2</v>
      </c>
      <c r="AI60" s="116">
        <f t="shared" si="57"/>
        <v>0</v>
      </c>
      <c r="AJ60" s="116"/>
      <c r="AK60" s="116">
        <f t="shared" si="58"/>
        <v>0</v>
      </c>
      <c r="AL60" s="116"/>
      <c r="AM60" s="116">
        <f t="shared" si="59"/>
        <v>0</v>
      </c>
      <c r="AN60" s="116"/>
      <c r="AO60" s="116">
        <f t="shared" si="60"/>
        <v>0</v>
      </c>
      <c r="AP60" s="116"/>
      <c r="AQ60" s="116">
        <f t="shared" si="61"/>
        <v>500</v>
      </c>
    </row>
    <row r="61" spans="1:43">
      <c r="B61" s="49"/>
      <c r="C61" s="74" t="s">
        <v>197</v>
      </c>
      <c r="D61" s="78">
        <v>2004</v>
      </c>
      <c r="E61" s="78">
        <v>3</v>
      </c>
      <c r="F61" s="28">
        <v>0</v>
      </c>
      <c r="G61" s="16"/>
      <c r="H61" s="26" t="s">
        <v>51</v>
      </c>
      <c r="I61" s="78">
        <v>5</v>
      </c>
      <c r="J61" s="26">
        <f t="shared" si="43"/>
        <v>2009</v>
      </c>
      <c r="M61" s="79">
        <v>1280</v>
      </c>
      <c r="O61" s="16">
        <f t="shared" si="44"/>
        <v>1280</v>
      </c>
      <c r="P61" s="16">
        <f t="shared" si="45"/>
        <v>21.333333333333332</v>
      </c>
      <c r="Q61" s="16">
        <f t="shared" si="46"/>
        <v>0</v>
      </c>
      <c r="R61" s="16">
        <f t="shared" si="47"/>
        <v>0</v>
      </c>
      <c r="S61" s="16">
        <f t="shared" si="48"/>
        <v>0</v>
      </c>
      <c r="T61" s="16">
        <v>1</v>
      </c>
      <c r="U61" s="16">
        <f t="shared" si="49"/>
        <v>0</v>
      </c>
      <c r="V61" s="16"/>
      <c r="W61" s="16">
        <f t="shared" si="50"/>
        <v>0</v>
      </c>
      <c r="X61" s="16">
        <f t="shared" si="51"/>
        <v>0</v>
      </c>
      <c r="Y61" s="16">
        <v>1</v>
      </c>
      <c r="Z61" s="16">
        <f t="shared" si="52"/>
        <v>0</v>
      </c>
      <c r="AA61" s="16">
        <f t="shared" si="53"/>
        <v>0</v>
      </c>
      <c r="AB61" s="16">
        <f t="shared" si="54"/>
        <v>640</v>
      </c>
      <c r="AC61" s="16">
        <f t="shared" si="14"/>
        <v>2004.1666666666667</v>
      </c>
      <c r="AD61" s="16">
        <f t="shared" si="55"/>
        <v>1</v>
      </c>
      <c r="AE61" s="16">
        <f t="shared" si="16"/>
        <v>2009.1666666666667</v>
      </c>
      <c r="AF61" s="16">
        <f t="shared" si="56"/>
        <v>0</v>
      </c>
      <c r="AG61" s="16">
        <f t="shared" si="18"/>
        <v>-8.3333333333333329E-2</v>
      </c>
      <c r="AI61" s="116">
        <f t="shared" si="57"/>
        <v>0</v>
      </c>
      <c r="AJ61" s="116"/>
      <c r="AK61" s="116">
        <f t="shared" si="58"/>
        <v>0</v>
      </c>
      <c r="AL61" s="116"/>
      <c r="AM61" s="116">
        <f t="shared" si="59"/>
        <v>0</v>
      </c>
      <c r="AN61" s="116"/>
      <c r="AO61" s="116">
        <f t="shared" si="60"/>
        <v>0</v>
      </c>
      <c r="AP61" s="116"/>
      <c r="AQ61" s="116">
        <f t="shared" si="61"/>
        <v>640</v>
      </c>
    </row>
    <row r="62" spans="1:43">
      <c r="A62" s="32"/>
      <c r="B62" s="32" t="s">
        <v>54</v>
      </c>
      <c r="C62" s="74" t="s">
        <v>198</v>
      </c>
      <c r="D62" s="78">
        <v>2005</v>
      </c>
      <c r="E62" s="78">
        <v>3</v>
      </c>
      <c r="F62" s="28">
        <v>0</v>
      </c>
      <c r="G62" s="16"/>
      <c r="H62" s="26" t="s">
        <v>51</v>
      </c>
      <c r="I62" s="78">
        <v>5</v>
      </c>
      <c r="J62" s="26">
        <f t="shared" si="43"/>
        <v>2010</v>
      </c>
      <c r="M62" s="79">
        <v>850</v>
      </c>
      <c r="O62" s="16">
        <f t="shared" si="44"/>
        <v>850</v>
      </c>
      <c r="P62" s="16">
        <f t="shared" si="45"/>
        <v>14.166666666666666</v>
      </c>
      <c r="Q62" s="16">
        <f t="shared" si="46"/>
        <v>0</v>
      </c>
      <c r="R62" s="16">
        <f t="shared" si="47"/>
        <v>0</v>
      </c>
      <c r="S62" s="16">
        <f t="shared" si="48"/>
        <v>0</v>
      </c>
      <c r="T62" s="16">
        <v>1</v>
      </c>
      <c r="U62" s="16">
        <f t="shared" si="49"/>
        <v>0</v>
      </c>
      <c r="V62" s="16"/>
      <c r="W62" s="16">
        <f t="shared" si="50"/>
        <v>0</v>
      </c>
      <c r="X62" s="16">
        <f t="shared" si="51"/>
        <v>0</v>
      </c>
      <c r="Y62" s="16">
        <v>1</v>
      </c>
      <c r="Z62" s="16">
        <f t="shared" si="52"/>
        <v>0</v>
      </c>
      <c r="AA62" s="16">
        <f t="shared" si="53"/>
        <v>0</v>
      </c>
      <c r="AB62" s="16">
        <f t="shared" si="54"/>
        <v>425</v>
      </c>
      <c r="AC62" s="16">
        <f t="shared" si="14"/>
        <v>2005.1666666666667</v>
      </c>
      <c r="AD62" s="16">
        <f t="shared" si="55"/>
        <v>1</v>
      </c>
      <c r="AE62" s="16">
        <f t="shared" si="16"/>
        <v>2010.1666666666667</v>
      </c>
      <c r="AF62" s="16">
        <f t="shared" si="56"/>
        <v>0</v>
      </c>
      <c r="AG62" s="16">
        <f t="shared" si="18"/>
        <v>-8.3333333333333329E-2</v>
      </c>
      <c r="AI62" s="116">
        <f t="shared" si="57"/>
        <v>0</v>
      </c>
      <c r="AJ62" s="116"/>
      <c r="AK62" s="116">
        <f t="shared" si="58"/>
        <v>0</v>
      </c>
      <c r="AL62" s="116"/>
      <c r="AM62" s="116">
        <f t="shared" si="59"/>
        <v>0</v>
      </c>
      <c r="AN62" s="116"/>
      <c r="AO62" s="116">
        <f t="shared" si="60"/>
        <v>0</v>
      </c>
      <c r="AP62" s="116"/>
      <c r="AQ62" s="116">
        <f t="shared" si="61"/>
        <v>425</v>
      </c>
    </row>
    <row r="63" spans="1:43">
      <c r="A63" s="32"/>
      <c r="B63" s="32"/>
      <c r="C63" s="74" t="s">
        <v>204</v>
      </c>
      <c r="D63" s="78">
        <v>2007</v>
      </c>
      <c r="E63" s="78">
        <v>3</v>
      </c>
      <c r="F63" s="28">
        <v>0</v>
      </c>
      <c r="G63" s="16"/>
      <c r="H63" s="26" t="s">
        <v>51</v>
      </c>
      <c r="I63" s="78">
        <v>5</v>
      </c>
      <c r="J63" s="26">
        <f t="shared" si="43"/>
        <v>2012</v>
      </c>
      <c r="M63" s="79">
        <v>875</v>
      </c>
      <c r="O63" s="16">
        <f t="shared" si="44"/>
        <v>875</v>
      </c>
      <c r="P63" s="16">
        <f t="shared" si="45"/>
        <v>14.583333333333334</v>
      </c>
      <c r="Q63" s="16">
        <f t="shared" si="46"/>
        <v>0</v>
      </c>
      <c r="R63" s="16">
        <f t="shared" si="47"/>
        <v>0</v>
      </c>
      <c r="S63" s="16">
        <f t="shared" si="48"/>
        <v>0</v>
      </c>
      <c r="T63" s="16">
        <v>1</v>
      </c>
      <c r="U63" s="16">
        <f t="shared" si="49"/>
        <v>0</v>
      </c>
      <c r="V63" s="16"/>
      <c r="W63" s="16">
        <f t="shared" si="50"/>
        <v>0</v>
      </c>
      <c r="X63" s="16">
        <f t="shared" si="51"/>
        <v>0</v>
      </c>
      <c r="Y63" s="16">
        <v>1</v>
      </c>
      <c r="Z63" s="16">
        <f t="shared" si="52"/>
        <v>0</v>
      </c>
      <c r="AA63" s="16">
        <f t="shared" si="53"/>
        <v>0</v>
      </c>
      <c r="AB63" s="16">
        <f t="shared" si="54"/>
        <v>437.5</v>
      </c>
      <c r="AC63" s="16">
        <f t="shared" si="14"/>
        <v>2007.1666666666667</v>
      </c>
      <c r="AD63" s="16">
        <f t="shared" si="55"/>
        <v>1</v>
      </c>
      <c r="AE63" s="16">
        <f t="shared" si="16"/>
        <v>2012.1666666666667</v>
      </c>
      <c r="AF63" s="16">
        <f t="shared" si="56"/>
        <v>0</v>
      </c>
      <c r="AG63" s="16">
        <f t="shared" si="18"/>
        <v>-8.3333333333333329E-2</v>
      </c>
      <c r="AI63" s="116">
        <f t="shared" si="57"/>
        <v>0</v>
      </c>
      <c r="AJ63" s="116"/>
      <c r="AK63" s="116">
        <f t="shared" si="58"/>
        <v>0</v>
      </c>
      <c r="AL63" s="116"/>
      <c r="AM63" s="116">
        <f t="shared" si="59"/>
        <v>0</v>
      </c>
      <c r="AN63" s="116"/>
      <c r="AO63" s="116">
        <f t="shared" si="60"/>
        <v>0</v>
      </c>
      <c r="AP63" s="116"/>
      <c r="AQ63" s="116">
        <f t="shared" si="61"/>
        <v>437.5</v>
      </c>
    </row>
    <row r="64" spans="1:43">
      <c r="A64" s="32"/>
      <c r="B64" s="32"/>
      <c r="C64" s="74" t="s">
        <v>207</v>
      </c>
      <c r="D64" s="78">
        <v>2007</v>
      </c>
      <c r="E64" s="78">
        <v>11</v>
      </c>
      <c r="F64" s="28">
        <v>0</v>
      </c>
      <c r="G64" s="16"/>
      <c r="H64" s="26" t="s">
        <v>51</v>
      </c>
      <c r="I64" s="78">
        <v>5</v>
      </c>
      <c r="J64" s="26">
        <f t="shared" si="43"/>
        <v>2012</v>
      </c>
      <c r="M64" s="79">
        <v>2041.01</v>
      </c>
      <c r="O64" s="16">
        <f t="shared" si="44"/>
        <v>2041.01</v>
      </c>
      <c r="P64" s="16">
        <f t="shared" si="45"/>
        <v>34.016833333333331</v>
      </c>
      <c r="Q64" s="16">
        <f t="shared" si="46"/>
        <v>0</v>
      </c>
      <c r="R64" s="16">
        <f t="shared" si="47"/>
        <v>0</v>
      </c>
      <c r="S64" s="16">
        <f t="shared" si="48"/>
        <v>0</v>
      </c>
      <c r="T64" s="16">
        <v>1</v>
      </c>
      <c r="U64" s="16">
        <f t="shared" si="49"/>
        <v>0</v>
      </c>
      <c r="V64" s="16"/>
      <c r="W64" s="16">
        <f t="shared" si="50"/>
        <v>0</v>
      </c>
      <c r="X64" s="16">
        <f t="shared" si="51"/>
        <v>0</v>
      </c>
      <c r="Y64" s="16">
        <v>1</v>
      </c>
      <c r="Z64" s="16">
        <f t="shared" si="52"/>
        <v>0</v>
      </c>
      <c r="AA64" s="16">
        <f t="shared" si="53"/>
        <v>0</v>
      </c>
      <c r="AB64" s="16">
        <f t="shared" si="54"/>
        <v>1020.505</v>
      </c>
      <c r="AC64" s="16">
        <f t="shared" si="14"/>
        <v>2007.8333333333333</v>
      </c>
      <c r="AD64" s="16">
        <f t="shared" si="55"/>
        <v>1</v>
      </c>
      <c r="AE64" s="16">
        <f t="shared" si="16"/>
        <v>2012.8333333333333</v>
      </c>
      <c r="AF64" s="16">
        <f t="shared" si="56"/>
        <v>0</v>
      </c>
      <c r="AG64" s="16">
        <f t="shared" si="18"/>
        <v>-8.3333333333333329E-2</v>
      </c>
      <c r="AI64" s="116">
        <f t="shared" si="57"/>
        <v>0</v>
      </c>
      <c r="AJ64" s="116"/>
      <c r="AK64" s="116">
        <f t="shared" si="58"/>
        <v>0</v>
      </c>
      <c r="AL64" s="116"/>
      <c r="AM64" s="116">
        <f t="shared" si="59"/>
        <v>0</v>
      </c>
      <c r="AN64" s="116"/>
      <c r="AO64" s="116">
        <f t="shared" si="60"/>
        <v>0</v>
      </c>
      <c r="AP64" s="116"/>
      <c r="AQ64" s="116">
        <f t="shared" si="61"/>
        <v>1020.505</v>
      </c>
    </row>
    <row r="65" spans="1:43">
      <c r="A65" s="32"/>
      <c r="B65" s="32"/>
      <c r="C65" s="74" t="s">
        <v>242</v>
      </c>
      <c r="D65" s="78">
        <v>2011</v>
      </c>
      <c r="E65" s="78">
        <v>12</v>
      </c>
      <c r="F65" s="28">
        <v>0</v>
      </c>
      <c r="G65" s="16"/>
      <c r="H65" s="26" t="s">
        <v>51</v>
      </c>
      <c r="I65" s="78">
        <v>5</v>
      </c>
      <c r="J65" s="26">
        <f t="shared" si="43"/>
        <v>2016</v>
      </c>
      <c r="M65" s="79">
        <v>850.89</v>
      </c>
      <c r="O65" s="16">
        <f t="shared" si="44"/>
        <v>850.89</v>
      </c>
      <c r="P65" s="16">
        <f t="shared" si="45"/>
        <v>14.1815</v>
      </c>
      <c r="Q65" s="16">
        <f t="shared" si="46"/>
        <v>0</v>
      </c>
      <c r="R65" s="16">
        <f t="shared" si="47"/>
        <v>0</v>
      </c>
      <c r="S65" s="16">
        <f t="shared" si="48"/>
        <v>0</v>
      </c>
      <c r="T65" s="16">
        <v>1</v>
      </c>
      <c r="U65" s="16">
        <f t="shared" si="49"/>
        <v>0</v>
      </c>
      <c r="V65" s="16"/>
      <c r="W65" s="16">
        <f t="shared" si="50"/>
        <v>0</v>
      </c>
      <c r="X65" s="16">
        <f t="shared" si="51"/>
        <v>0</v>
      </c>
      <c r="Y65" s="16">
        <v>1</v>
      </c>
      <c r="Z65" s="16">
        <f t="shared" si="52"/>
        <v>0</v>
      </c>
      <c r="AA65" s="16">
        <f t="shared" si="53"/>
        <v>0</v>
      </c>
      <c r="AB65" s="16">
        <f t="shared" si="54"/>
        <v>425.44499999999999</v>
      </c>
      <c r="AC65" s="16">
        <f t="shared" si="14"/>
        <v>2011.9166666666667</v>
      </c>
      <c r="AD65" s="16">
        <f t="shared" si="55"/>
        <v>1</v>
      </c>
      <c r="AE65" s="16">
        <f t="shared" si="16"/>
        <v>2016.9166666666667</v>
      </c>
      <c r="AF65" s="16">
        <f t="shared" si="56"/>
        <v>0</v>
      </c>
      <c r="AG65" s="16">
        <f t="shared" si="18"/>
        <v>-8.3333333333333329E-2</v>
      </c>
      <c r="AI65" s="116">
        <f t="shared" si="57"/>
        <v>0</v>
      </c>
      <c r="AJ65" s="116"/>
      <c r="AK65" s="116">
        <f t="shared" si="58"/>
        <v>0</v>
      </c>
      <c r="AL65" s="116"/>
      <c r="AM65" s="116">
        <f t="shared" si="59"/>
        <v>0</v>
      </c>
      <c r="AN65" s="116"/>
      <c r="AO65" s="116">
        <f t="shared" si="60"/>
        <v>0</v>
      </c>
      <c r="AP65" s="116"/>
      <c r="AQ65" s="116">
        <f t="shared" si="61"/>
        <v>425.44499999999999</v>
      </c>
    </row>
    <row r="66" spans="1:43">
      <c r="A66" s="32"/>
      <c r="B66" s="32"/>
      <c r="C66" s="74" t="s">
        <v>281</v>
      </c>
      <c r="D66" s="78">
        <v>2014</v>
      </c>
      <c r="E66" s="78">
        <v>4</v>
      </c>
      <c r="F66" s="28">
        <v>0</v>
      </c>
      <c r="G66" s="16"/>
      <c r="H66" s="26" t="s">
        <v>51</v>
      </c>
      <c r="I66" s="78">
        <v>5</v>
      </c>
      <c r="J66" s="26">
        <f t="shared" si="43"/>
        <v>2019</v>
      </c>
      <c r="M66" s="79">
        <v>332.17</v>
      </c>
      <c r="O66" s="16">
        <f t="shared" si="44"/>
        <v>332.17</v>
      </c>
      <c r="P66" s="16">
        <f t="shared" si="45"/>
        <v>5.5361666666666665</v>
      </c>
      <c r="Q66" s="16">
        <f t="shared" si="46"/>
        <v>0</v>
      </c>
      <c r="R66" s="16">
        <f t="shared" si="47"/>
        <v>0</v>
      </c>
      <c r="S66" s="16">
        <f t="shared" si="48"/>
        <v>0</v>
      </c>
      <c r="T66" s="16">
        <v>1</v>
      </c>
      <c r="U66" s="16">
        <f t="shared" si="49"/>
        <v>0</v>
      </c>
      <c r="V66" s="16"/>
      <c r="W66" s="16">
        <f t="shared" si="50"/>
        <v>0</v>
      </c>
      <c r="X66" s="16">
        <f t="shared" si="51"/>
        <v>0</v>
      </c>
      <c r="Y66" s="16">
        <v>1</v>
      </c>
      <c r="Z66" s="16">
        <f t="shared" si="52"/>
        <v>0</v>
      </c>
      <c r="AA66" s="16">
        <f t="shared" si="53"/>
        <v>0</v>
      </c>
      <c r="AB66" s="16">
        <f t="shared" si="54"/>
        <v>166.08500000000001</v>
      </c>
      <c r="AC66" s="16">
        <f t="shared" si="14"/>
        <v>2014.25</v>
      </c>
      <c r="AD66" s="16">
        <f t="shared" si="55"/>
        <v>1</v>
      </c>
      <c r="AE66" s="16">
        <f t="shared" si="16"/>
        <v>2019.25</v>
      </c>
      <c r="AF66" s="16">
        <f t="shared" si="56"/>
        <v>0</v>
      </c>
      <c r="AG66" s="16">
        <f t="shared" si="18"/>
        <v>-8.3333333333333329E-2</v>
      </c>
      <c r="AI66" s="116">
        <f t="shared" si="57"/>
        <v>0</v>
      </c>
      <c r="AJ66" s="116"/>
      <c r="AK66" s="116">
        <f t="shared" si="58"/>
        <v>0</v>
      </c>
      <c r="AL66" s="116"/>
      <c r="AM66" s="116">
        <f t="shared" si="59"/>
        <v>0</v>
      </c>
      <c r="AN66" s="116"/>
      <c r="AO66" s="116">
        <f t="shared" si="60"/>
        <v>0</v>
      </c>
      <c r="AP66" s="116"/>
      <c r="AQ66" s="116">
        <f t="shared" si="61"/>
        <v>166.08500000000001</v>
      </c>
    </row>
    <row r="67" spans="1:43">
      <c r="A67" s="26" t="s">
        <v>299</v>
      </c>
      <c r="B67" s="32"/>
      <c r="C67" s="74" t="s">
        <v>300</v>
      </c>
      <c r="D67" s="78">
        <v>2014</v>
      </c>
      <c r="E67" s="78">
        <v>8</v>
      </c>
      <c r="F67" s="28">
        <v>0</v>
      </c>
      <c r="G67" s="16"/>
      <c r="H67" s="26" t="s">
        <v>51</v>
      </c>
      <c r="I67" s="78">
        <v>5</v>
      </c>
      <c r="J67" s="26">
        <f t="shared" si="43"/>
        <v>2019</v>
      </c>
      <c r="M67" s="79">
        <f>750.03+103.54</f>
        <v>853.56999999999994</v>
      </c>
      <c r="O67" s="16">
        <f t="shared" si="44"/>
        <v>853.56999999999994</v>
      </c>
      <c r="P67" s="16">
        <f t="shared" si="45"/>
        <v>14.226166666666666</v>
      </c>
      <c r="Q67" s="16">
        <f t="shared" si="46"/>
        <v>0</v>
      </c>
      <c r="R67" s="16">
        <f t="shared" si="47"/>
        <v>0</v>
      </c>
      <c r="S67" s="16">
        <f t="shared" si="48"/>
        <v>0</v>
      </c>
      <c r="T67" s="16">
        <v>1</v>
      </c>
      <c r="U67" s="16">
        <f t="shared" si="49"/>
        <v>0</v>
      </c>
      <c r="V67" s="16"/>
      <c r="W67" s="16">
        <f t="shared" si="50"/>
        <v>0</v>
      </c>
      <c r="X67" s="16">
        <f t="shared" si="51"/>
        <v>0</v>
      </c>
      <c r="Y67" s="16">
        <v>1</v>
      </c>
      <c r="Z67" s="16">
        <f t="shared" si="52"/>
        <v>0</v>
      </c>
      <c r="AA67" s="16">
        <f t="shared" si="53"/>
        <v>0</v>
      </c>
      <c r="AB67" s="16">
        <f t="shared" si="54"/>
        <v>426.78499999999997</v>
      </c>
      <c r="AC67" s="16">
        <f t="shared" si="14"/>
        <v>2014.5833333333333</v>
      </c>
      <c r="AD67" s="16">
        <f t="shared" si="55"/>
        <v>1</v>
      </c>
      <c r="AE67" s="16">
        <f t="shared" si="16"/>
        <v>2019.5833333333333</v>
      </c>
      <c r="AF67" s="16">
        <f t="shared" si="56"/>
        <v>0</v>
      </c>
      <c r="AG67" s="16">
        <f t="shared" si="18"/>
        <v>-8.3333333333333329E-2</v>
      </c>
      <c r="AI67" s="116">
        <f t="shared" si="57"/>
        <v>0</v>
      </c>
      <c r="AJ67" s="116"/>
      <c r="AK67" s="116">
        <f t="shared" si="58"/>
        <v>0</v>
      </c>
      <c r="AL67" s="116"/>
      <c r="AM67" s="116">
        <f t="shared" si="59"/>
        <v>0</v>
      </c>
      <c r="AN67" s="116"/>
      <c r="AO67" s="116">
        <f t="shared" si="60"/>
        <v>0</v>
      </c>
      <c r="AP67" s="116"/>
      <c r="AQ67" s="116">
        <f t="shared" si="61"/>
        <v>426.78499999999997</v>
      </c>
    </row>
    <row r="68" spans="1:43">
      <c r="A68" s="26">
        <v>122103</v>
      </c>
      <c r="B68" s="26">
        <v>7</v>
      </c>
      <c r="C68" s="74" t="s">
        <v>308</v>
      </c>
      <c r="D68" s="78">
        <v>2015</v>
      </c>
      <c r="E68" s="78">
        <v>4</v>
      </c>
      <c r="F68" s="28">
        <v>0</v>
      </c>
      <c r="G68" s="16"/>
      <c r="H68" s="26" t="s">
        <v>51</v>
      </c>
      <c r="I68" s="78">
        <v>5</v>
      </c>
      <c r="J68" s="26">
        <f t="shared" si="43"/>
        <v>2020</v>
      </c>
      <c r="M68" s="79">
        <v>2289.54</v>
      </c>
      <c r="O68" s="16">
        <f t="shared" si="44"/>
        <v>2289.54</v>
      </c>
      <c r="P68" s="16">
        <f t="shared" si="45"/>
        <v>38.158999999999999</v>
      </c>
      <c r="Q68" s="16">
        <f t="shared" si="46"/>
        <v>0</v>
      </c>
      <c r="R68" s="16">
        <f t="shared" si="47"/>
        <v>0</v>
      </c>
      <c r="S68" s="16">
        <f t="shared" si="48"/>
        <v>0</v>
      </c>
      <c r="T68" s="16">
        <v>1</v>
      </c>
      <c r="U68" s="16">
        <f t="shared" si="49"/>
        <v>0</v>
      </c>
      <c r="V68" s="16"/>
      <c r="W68" s="16">
        <f t="shared" si="50"/>
        <v>0</v>
      </c>
      <c r="X68" s="16">
        <f t="shared" si="51"/>
        <v>0</v>
      </c>
      <c r="Y68" s="16">
        <v>1</v>
      </c>
      <c r="Z68" s="16">
        <f t="shared" si="52"/>
        <v>0</v>
      </c>
      <c r="AA68" s="16">
        <f t="shared" si="53"/>
        <v>0</v>
      </c>
      <c r="AB68" s="16">
        <f t="shared" si="54"/>
        <v>1144.77</v>
      </c>
      <c r="AC68" s="16">
        <f t="shared" si="14"/>
        <v>2015.25</v>
      </c>
      <c r="AD68" s="16">
        <f t="shared" si="55"/>
        <v>1</v>
      </c>
      <c r="AE68" s="16">
        <f t="shared" si="16"/>
        <v>2020.25</v>
      </c>
      <c r="AF68" s="16">
        <f t="shared" si="56"/>
        <v>0</v>
      </c>
      <c r="AG68" s="16">
        <f t="shared" si="18"/>
        <v>-8.3333333333333329E-2</v>
      </c>
      <c r="AI68" s="116">
        <f t="shared" si="57"/>
        <v>0</v>
      </c>
      <c r="AJ68" s="116"/>
      <c r="AK68" s="116">
        <f t="shared" si="58"/>
        <v>0</v>
      </c>
      <c r="AL68" s="116"/>
      <c r="AM68" s="116">
        <f t="shared" si="59"/>
        <v>0</v>
      </c>
      <c r="AN68" s="116"/>
      <c r="AO68" s="116">
        <f t="shared" si="60"/>
        <v>0</v>
      </c>
      <c r="AP68" s="116"/>
      <c r="AQ68" s="116">
        <f t="shared" si="61"/>
        <v>1144.77</v>
      </c>
    </row>
    <row r="69" spans="1:43">
      <c r="A69" s="26">
        <v>123532</v>
      </c>
      <c r="C69" s="74" t="s">
        <v>310</v>
      </c>
      <c r="D69" s="78">
        <v>2015</v>
      </c>
      <c r="E69" s="78">
        <v>6</v>
      </c>
      <c r="F69" s="28">
        <v>0</v>
      </c>
      <c r="G69" s="16"/>
      <c r="H69" s="26" t="s">
        <v>51</v>
      </c>
      <c r="I69" s="78">
        <v>5</v>
      </c>
      <c r="J69" s="26">
        <f t="shared" si="43"/>
        <v>2020</v>
      </c>
      <c r="M69" s="79">
        <v>1032.77</v>
      </c>
      <c r="O69" s="16">
        <f t="shared" si="44"/>
        <v>1032.77</v>
      </c>
      <c r="P69" s="16">
        <f t="shared" si="45"/>
        <v>17.212833333333332</v>
      </c>
      <c r="Q69" s="16">
        <f t="shared" si="46"/>
        <v>0</v>
      </c>
      <c r="R69" s="16">
        <f t="shared" si="47"/>
        <v>0</v>
      </c>
      <c r="S69" s="16">
        <f t="shared" si="48"/>
        <v>0</v>
      </c>
      <c r="T69" s="16">
        <v>1</v>
      </c>
      <c r="U69" s="16">
        <f t="shared" si="49"/>
        <v>0</v>
      </c>
      <c r="V69" s="16"/>
      <c r="W69" s="16">
        <f t="shared" si="50"/>
        <v>0</v>
      </c>
      <c r="X69" s="16">
        <f t="shared" si="51"/>
        <v>0</v>
      </c>
      <c r="Y69" s="16">
        <v>1</v>
      </c>
      <c r="Z69" s="16">
        <f t="shared" si="52"/>
        <v>0</v>
      </c>
      <c r="AA69" s="16">
        <f t="shared" si="53"/>
        <v>0</v>
      </c>
      <c r="AB69" s="16">
        <f t="shared" si="54"/>
        <v>516.38499999999999</v>
      </c>
      <c r="AC69" s="16">
        <f t="shared" si="14"/>
        <v>2015.4166666666667</v>
      </c>
      <c r="AD69" s="16">
        <f t="shared" si="55"/>
        <v>1</v>
      </c>
      <c r="AE69" s="16">
        <f t="shared" si="16"/>
        <v>2020.4166666666667</v>
      </c>
      <c r="AF69" s="16">
        <f t="shared" si="56"/>
        <v>0</v>
      </c>
      <c r="AG69" s="16">
        <f t="shared" si="18"/>
        <v>-8.3333333333333329E-2</v>
      </c>
      <c r="AI69" s="116">
        <f t="shared" si="57"/>
        <v>0</v>
      </c>
      <c r="AJ69" s="116"/>
      <c r="AK69" s="116">
        <f t="shared" si="58"/>
        <v>0</v>
      </c>
      <c r="AL69" s="116"/>
      <c r="AM69" s="116">
        <f t="shared" si="59"/>
        <v>0</v>
      </c>
      <c r="AN69" s="116"/>
      <c r="AO69" s="116">
        <f t="shared" si="60"/>
        <v>0</v>
      </c>
      <c r="AP69" s="116"/>
      <c r="AQ69" s="116">
        <f t="shared" si="61"/>
        <v>516.38499999999999</v>
      </c>
    </row>
    <row r="70" spans="1:43">
      <c r="A70" s="26"/>
      <c r="C70" s="74"/>
      <c r="D70" s="78"/>
      <c r="E70" s="78"/>
      <c r="F70" s="28"/>
      <c r="G70" s="16"/>
      <c r="H70" s="26"/>
      <c r="I70" s="78"/>
      <c r="J70" s="26"/>
      <c r="M70" s="79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I70" s="116">
        <f t="shared" si="57"/>
        <v>0</v>
      </c>
      <c r="AJ70" s="116"/>
      <c r="AK70" s="116">
        <f t="shared" si="58"/>
        <v>0</v>
      </c>
      <c r="AL70" s="116"/>
      <c r="AM70" s="116">
        <f t="shared" si="59"/>
        <v>0</v>
      </c>
      <c r="AN70" s="116"/>
      <c r="AO70" s="116">
        <f t="shared" si="60"/>
        <v>0</v>
      </c>
      <c r="AP70" s="116"/>
      <c r="AQ70" s="116">
        <f t="shared" si="61"/>
        <v>0</v>
      </c>
    </row>
    <row r="71" spans="1:43">
      <c r="A71" s="26" t="s">
        <v>327</v>
      </c>
      <c r="B71" s="26">
        <v>34</v>
      </c>
      <c r="C71" s="74" t="s">
        <v>328</v>
      </c>
      <c r="D71" s="78">
        <v>2016</v>
      </c>
      <c r="E71" s="78">
        <v>3</v>
      </c>
      <c r="F71" s="28">
        <v>0</v>
      </c>
      <c r="G71" s="16"/>
      <c r="H71" s="26" t="s">
        <v>51</v>
      </c>
      <c r="I71" s="78">
        <v>5</v>
      </c>
      <c r="J71" s="26">
        <f>D71+I71</f>
        <v>2021</v>
      </c>
      <c r="M71" s="79">
        <f>8464.64+7326.53</f>
        <v>15791.169999999998</v>
      </c>
      <c r="O71" s="16">
        <f>M71-M71*F71</f>
        <v>15791.169999999998</v>
      </c>
      <c r="P71" s="16">
        <f>O71/I71/12</f>
        <v>263.18616666666662</v>
      </c>
      <c r="Q71" s="16">
        <f>IF(N71&gt;0,0,IF(OR(AC71&gt;AD71,AE71&lt;AF71),0,IF(AND(AE71&gt;=AF71,AE71&lt;=AD71),P71*((AE71-AF71)*12),IF(AND(AF71&lt;=AC71,AD71&gt;=AC71),((AD71-AC71)*12)*P71,IF(AE71&gt;AD71,12*P71,0)))))</f>
        <v>0</v>
      </c>
      <c r="R71" s="16">
        <f>IF(N71=0,0,IF(AND(AG71&gt;=AF71,AG71&lt;=AE71),((AG71-AF71)*12)*P71,0))</f>
        <v>0</v>
      </c>
      <c r="S71" s="16">
        <f>IF(R71&gt;0,R71,Q71)</f>
        <v>0</v>
      </c>
      <c r="T71" s="16">
        <v>1</v>
      </c>
      <c r="U71" s="16">
        <f>T71*SUM(Q71:R71)</f>
        <v>0</v>
      </c>
      <c r="V71" s="16"/>
      <c r="W71" s="16">
        <f>IF(AC71&gt;AD71,0,IF(AE71&lt;AF71,O71,IF(AND(AE71&gt;=AF71,AE71&lt;=AD71),(O71-S71),IF(AND(AF71&lt;=AC71,AD71&gt;=AC71),0,IF(AE71&gt;AD71,((AF71-AC71)*12)*P71,0)))))</f>
        <v>0</v>
      </c>
      <c r="X71" s="16">
        <f>W71*T71</f>
        <v>0</v>
      </c>
      <c r="Y71" s="16">
        <v>1</v>
      </c>
      <c r="Z71" s="16">
        <f>X71*Y71</f>
        <v>0</v>
      </c>
      <c r="AA71" s="16">
        <f>IF(N71&gt;0,0,Z71+U71*Y71)*Y71</f>
        <v>0</v>
      </c>
      <c r="AB71" s="16">
        <f>IF(N71&gt;0,(M71-Z71)/2,IF(AC71&gt;=AF71,(((M71*T71)*Y71)-AA71)/2,((((M71*T71)*Y71)-Z71)+(((M71*T71)*Y71)-AA71))/2))</f>
        <v>7895.5849999999991</v>
      </c>
      <c r="AC71" s="16">
        <f t="shared" si="14"/>
        <v>2016.1666666666667</v>
      </c>
      <c r="AD71" s="16">
        <f t="shared" si="55"/>
        <v>1</v>
      </c>
      <c r="AE71" s="16">
        <f t="shared" si="16"/>
        <v>2021.1666666666667</v>
      </c>
      <c r="AF71" s="16">
        <f t="shared" si="56"/>
        <v>0</v>
      </c>
      <c r="AG71" s="16">
        <f t="shared" si="18"/>
        <v>-8.3333333333333329E-2</v>
      </c>
      <c r="AI71" s="116">
        <f t="shared" si="57"/>
        <v>0</v>
      </c>
      <c r="AJ71" s="116"/>
      <c r="AK71" s="116">
        <f t="shared" si="58"/>
        <v>0</v>
      </c>
      <c r="AL71" s="116"/>
      <c r="AM71" s="116">
        <f t="shared" si="59"/>
        <v>0</v>
      </c>
      <c r="AN71" s="116"/>
      <c r="AO71" s="116">
        <f t="shared" si="60"/>
        <v>0</v>
      </c>
      <c r="AP71" s="116"/>
      <c r="AQ71" s="116">
        <f t="shared" si="61"/>
        <v>7895.5849999999991</v>
      </c>
    </row>
    <row r="72" spans="1:43">
      <c r="A72" s="26">
        <v>139784</v>
      </c>
      <c r="B72" s="26">
        <v>1</v>
      </c>
      <c r="C72" s="74" t="s">
        <v>329</v>
      </c>
      <c r="D72" s="78">
        <v>2016</v>
      </c>
      <c r="E72" s="78">
        <v>6</v>
      </c>
      <c r="F72" s="28">
        <v>0</v>
      </c>
      <c r="G72" s="16"/>
      <c r="H72" s="26" t="s">
        <v>51</v>
      </c>
      <c r="I72" s="78">
        <v>5</v>
      </c>
      <c r="J72" s="26">
        <f>D72+I72</f>
        <v>2021</v>
      </c>
      <c r="M72" s="79">
        <v>8319.6200000000008</v>
      </c>
      <c r="O72" s="16">
        <f>M72-M72*F72</f>
        <v>8319.6200000000008</v>
      </c>
      <c r="P72" s="16">
        <f>O72/I72/12</f>
        <v>138.66033333333334</v>
      </c>
      <c r="Q72" s="16">
        <f>IF(N72&gt;0,0,IF(OR(AC72&gt;AD72,AE72&lt;AF72),0,IF(AND(AE72&gt;=AF72,AE72&lt;=AD72),P72*((AE72-AF72)*12),IF(AND(AF72&lt;=AC72,AD72&gt;=AC72),((AD72-AC72)*12)*P72,IF(AE72&gt;AD72,12*P72,0)))))</f>
        <v>0</v>
      </c>
      <c r="R72" s="16">
        <f>IF(N72=0,0,IF(AND(AG72&gt;=AF72,AG72&lt;=AE72),((AG72-AF72)*12)*P72,0))</f>
        <v>0</v>
      </c>
      <c r="S72" s="16">
        <f>IF(R72&gt;0,R72,Q72)</f>
        <v>0</v>
      </c>
      <c r="T72" s="16">
        <v>1</v>
      </c>
      <c r="U72" s="16">
        <f>T72*SUM(Q72:R72)</f>
        <v>0</v>
      </c>
      <c r="V72" s="16"/>
      <c r="W72" s="16">
        <f>IF(AC72&gt;AD72,0,IF(AE72&lt;AF72,O72,IF(AND(AE72&gt;=AF72,AE72&lt;=AD72),(O72-S72),IF(AND(AF72&lt;=AC72,AD72&gt;=AC72),0,IF(AE72&gt;AD72,((AF72-AC72)*12)*P72,0)))))</f>
        <v>0</v>
      </c>
      <c r="X72" s="16">
        <f>W72*T72</f>
        <v>0</v>
      </c>
      <c r="Y72" s="16">
        <v>1</v>
      </c>
      <c r="Z72" s="16">
        <f>X72*Y72</f>
        <v>0</v>
      </c>
      <c r="AA72" s="16">
        <f>IF(N72&gt;0,0,Z72+U72*Y72)*Y72</f>
        <v>0</v>
      </c>
      <c r="AB72" s="16">
        <f>IF(N72&gt;0,(M72-Z72)/2,IF(AC72&gt;=AF72,(((M72*T72)*Y72)-AA72)/2,((((M72*T72)*Y72)-Z72)+(((M72*T72)*Y72)-AA72))/2))</f>
        <v>4159.8100000000004</v>
      </c>
      <c r="AC72" s="16">
        <f t="shared" si="14"/>
        <v>2016.4166666666667</v>
      </c>
      <c r="AD72" s="16">
        <f t="shared" si="55"/>
        <v>1</v>
      </c>
      <c r="AE72" s="16">
        <f t="shared" si="16"/>
        <v>2021.4166666666667</v>
      </c>
      <c r="AF72" s="16">
        <f t="shared" si="56"/>
        <v>0</v>
      </c>
      <c r="AG72" s="16">
        <f t="shared" si="18"/>
        <v>-8.3333333333333329E-2</v>
      </c>
      <c r="AI72" s="116">
        <f t="shared" si="57"/>
        <v>0</v>
      </c>
      <c r="AJ72" s="116"/>
      <c r="AK72" s="116">
        <f t="shared" si="58"/>
        <v>0</v>
      </c>
      <c r="AL72" s="116"/>
      <c r="AM72" s="116">
        <f t="shared" si="59"/>
        <v>0</v>
      </c>
      <c r="AN72" s="116"/>
      <c r="AO72" s="116">
        <f t="shared" si="60"/>
        <v>0</v>
      </c>
      <c r="AP72" s="116"/>
      <c r="AQ72" s="116">
        <f t="shared" si="61"/>
        <v>4159.8100000000004</v>
      </c>
    </row>
    <row r="73" spans="1:43">
      <c r="A73" s="26"/>
      <c r="C73" s="74"/>
      <c r="D73" s="78"/>
      <c r="E73" s="78"/>
      <c r="F73" s="28"/>
      <c r="G73" s="16"/>
      <c r="H73" s="26"/>
      <c r="I73" s="78"/>
      <c r="J73" s="26"/>
      <c r="M73" s="79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I73" s="116">
        <f t="shared" si="57"/>
        <v>0</v>
      </c>
      <c r="AJ73" s="116"/>
      <c r="AK73" s="116">
        <f t="shared" si="58"/>
        <v>0</v>
      </c>
      <c r="AL73" s="116"/>
      <c r="AM73" s="116">
        <f t="shared" si="59"/>
        <v>0</v>
      </c>
      <c r="AN73" s="116"/>
      <c r="AO73" s="116">
        <f t="shared" si="60"/>
        <v>0</v>
      </c>
      <c r="AP73" s="116"/>
      <c r="AQ73" s="116">
        <f t="shared" si="61"/>
        <v>0</v>
      </c>
    </row>
    <row r="74" spans="1:43">
      <c r="A74" s="75">
        <v>179236</v>
      </c>
      <c r="B74" s="26">
        <v>1</v>
      </c>
      <c r="C74" s="74" t="s">
        <v>361</v>
      </c>
      <c r="D74" s="78">
        <v>2017</v>
      </c>
      <c r="E74" s="78">
        <v>3</v>
      </c>
      <c r="F74" s="28">
        <v>0</v>
      </c>
      <c r="G74" s="16"/>
      <c r="H74" s="26" t="s">
        <v>51</v>
      </c>
      <c r="I74" s="78">
        <v>3</v>
      </c>
      <c r="J74" s="26">
        <f>D74+I74</f>
        <v>2020</v>
      </c>
      <c r="M74" s="79">
        <v>1195.8499999999999</v>
      </c>
      <c r="O74" s="16">
        <f>M74-M74*F74</f>
        <v>1195.8499999999999</v>
      </c>
      <c r="P74" s="16">
        <f>O74/I74/12</f>
        <v>33.218055555555551</v>
      </c>
      <c r="Q74" s="16">
        <f>IF(N74&gt;0,0,IF(OR(AC74&gt;AD74,AE74&lt;AF74),0,IF(AND(AE74&gt;=AF74,AE74&lt;=AD74),P74*((AE74-AF74)*12),IF(AND(AF74&lt;=AC74,AD74&gt;=AC74),((AD74-AC74)*12)*P74,IF(AE74&gt;AD74,12*P74,0)))))</f>
        <v>0</v>
      </c>
      <c r="R74" s="16">
        <f>IF(N74=0,0,IF(AND(AG74&gt;=AF74,AG74&lt;=AE74),((AG74-AF74)*12)*P74,0))</f>
        <v>0</v>
      </c>
      <c r="S74" s="16">
        <f>IF(R74&gt;0,R74,Q74)</f>
        <v>0</v>
      </c>
      <c r="T74" s="16">
        <v>1</v>
      </c>
      <c r="U74" s="16">
        <f>T74*SUM(Q74:R74)</f>
        <v>0</v>
      </c>
      <c r="V74" s="16"/>
      <c r="W74" s="16">
        <f>IF(AC74&gt;AD74,0,IF(AE74&lt;AF74,O74,IF(AND(AE74&gt;=AF74,AE74&lt;=AD74),(O74-S74),IF(AND(AF74&lt;=AC74,AD74&gt;=AC74),0,IF(AE74&gt;AD74,((AF74-AC74)*12)*P74,0)))))</f>
        <v>0</v>
      </c>
      <c r="X74" s="16">
        <f>W74*T74</f>
        <v>0</v>
      </c>
      <c r="Y74" s="16">
        <v>1</v>
      </c>
      <c r="Z74" s="16">
        <f>X74*Y74</f>
        <v>0</v>
      </c>
      <c r="AA74" s="16">
        <f>IF(N74&gt;0,0,Z74+U74*Y74)*Y74</f>
        <v>0</v>
      </c>
      <c r="AB74" s="16">
        <f>IF(N74&gt;0,(M74-Z74)/2,IF(AC74&gt;=AF74,(((M74*T74)*Y74)-AA74)/2,((((M74*T74)*Y74)-Z74)+(((M74*T74)*Y74)-AA74))/2))</f>
        <v>597.92499999999995</v>
      </c>
      <c r="AC74" s="16">
        <f t="shared" si="14"/>
        <v>2017.1666666666667</v>
      </c>
      <c r="AD74" s="16">
        <f t="shared" si="55"/>
        <v>1</v>
      </c>
      <c r="AE74" s="16">
        <f t="shared" si="16"/>
        <v>2020.1666666666667</v>
      </c>
      <c r="AF74" s="16">
        <f t="shared" si="56"/>
        <v>0</v>
      </c>
      <c r="AG74" s="16">
        <f t="shared" si="18"/>
        <v>-8.3333333333333329E-2</v>
      </c>
      <c r="AI74" s="116">
        <f t="shared" si="57"/>
        <v>0</v>
      </c>
      <c r="AJ74" s="116"/>
      <c r="AK74" s="116">
        <f t="shared" si="58"/>
        <v>0</v>
      </c>
      <c r="AL74" s="116"/>
      <c r="AM74" s="116">
        <f t="shared" si="59"/>
        <v>0</v>
      </c>
      <c r="AN74" s="116"/>
      <c r="AO74" s="116">
        <f t="shared" si="60"/>
        <v>0</v>
      </c>
      <c r="AP74" s="116"/>
      <c r="AQ74" s="116">
        <f t="shared" si="61"/>
        <v>597.92499999999995</v>
      </c>
    </row>
    <row r="75" spans="1:43">
      <c r="A75" s="75">
        <v>180542</v>
      </c>
      <c r="B75" s="26">
        <v>1</v>
      </c>
      <c r="C75" s="6" t="s">
        <v>360</v>
      </c>
      <c r="D75" s="78">
        <v>2017</v>
      </c>
      <c r="E75" s="78">
        <v>5</v>
      </c>
      <c r="F75" s="28">
        <v>0</v>
      </c>
      <c r="G75" s="16"/>
      <c r="H75" s="26" t="s">
        <v>51</v>
      </c>
      <c r="I75" s="78">
        <v>3</v>
      </c>
      <c r="J75" s="26">
        <f>D75+I75</f>
        <v>2020</v>
      </c>
      <c r="M75" s="79">
        <v>1342.11</v>
      </c>
      <c r="N75" s="30"/>
      <c r="O75" s="16">
        <f>M75-M75*F75</f>
        <v>1342.11</v>
      </c>
      <c r="P75" s="16">
        <f>O75/I75/12</f>
        <v>37.280833333333327</v>
      </c>
      <c r="Q75" s="16">
        <f>IF(N75&gt;0,0,IF(OR(AC75&gt;AD75,AE75&lt;AF75),0,IF(AND(AE75&gt;=AF75,AE75&lt;=AD75),P75*((AE75-AF75)*12),IF(AND(AF75&lt;=AC75,AD75&gt;=AC75),((AD75-AC75)*12)*P75,IF(AE75&gt;AD75,12*P75,0)))))</f>
        <v>0</v>
      </c>
      <c r="R75" s="16">
        <f>IF(N75=0,0,IF(AND(AG75&gt;=AF75,AG75&lt;=AE75),((AG75-AF75)*12)*P75,0))</f>
        <v>0</v>
      </c>
      <c r="S75" s="16">
        <f>IF(R75&gt;0,R75,Q75)</f>
        <v>0</v>
      </c>
      <c r="T75" s="16">
        <v>1</v>
      </c>
      <c r="U75" s="16">
        <f>T75*SUM(Q75:R75)</f>
        <v>0</v>
      </c>
      <c r="V75" s="16"/>
      <c r="W75" s="16">
        <f>IF(AC75&gt;AD75,0,IF(AE75&lt;AF75,O75,IF(AND(AE75&gt;=AF75,AE75&lt;=AD75),(O75-S75),IF(AND(AF75&lt;=AC75,AD75&gt;=AC75),0,IF(AE75&gt;AD75,((AF75-AC75)*12)*P75,0)))))</f>
        <v>0</v>
      </c>
      <c r="X75" s="16">
        <f>W75*T75</f>
        <v>0</v>
      </c>
      <c r="Y75" s="16">
        <v>1</v>
      </c>
      <c r="Z75" s="16">
        <f>X75*Y75</f>
        <v>0</v>
      </c>
      <c r="AA75" s="16">
        <f>IF(N75&gt;0,0,Z75+U75*Y75)*Y75</f>
        <v>0</v>
      </c>
      <c r="AB75" s="16">
        <f>IF(N75&gt;0,(M75-Z75)/2,IF(AC75&gt;=AF75,(((M75*T75)*Y75)-AA75)/2,((((M75*T75)*Y75)-Z75)+(((M75*T75)*Y75)-AA75))/2))</f>
        <v>671.05499999999995</v>
      </c>
      <c r="AC75" s="16">
        <f t="shared" si="14"/>
        <v>2017.3333333333333</v>
      </c>
      <c r="AD75" s="16">
        <f t="shared" si="55"/>
        <v>1</v>
      </c>
      <c r="AE75" s="16">
        <f t="shared" si="16"/>
        <v>2020.3333333333333</v>
      </c>
      <c r="AF75" s="16">
        <f t="shared" si="56"/>
        <v>0</v>
      </c>
      <c r="AG75" s="16">
        <f t="shared" si="18"/>
        <v>-8.3333333333333329E-2</v>
      </c>
      <c r="AI75" s="116">
        <f t="shared" si="57"/>
        <v>0</v>
      </c>
      <c r="AJ75" s="116"/>
      <c r="AK75" s="116">
        <f t="shared" si="58"/>
        <v>0</v>
      </c>
      <c r="AL75" s="116"/>
      <c r="AM75" s="116">
        <f t="shared" si="59"/>
        <v>0</v>
      </c>
      <c r="AN75" s="116"/>
      <c r="AO75" s="116">
        <f t="shared" si="60"/>
        <v>0</v>
      </c>
      <c r="AP75" s="116"/>
      <c r="AQ75" s="116">
        <f t="shared" si="61"/>
        <v>671.05499999999995</v>
      </c>
    </row>
    <row r="76" spans="1:43">
      <c r="A76" s="75">
        <v>183543</v>
      </c>
      <c r="B76" s="26">
        <v>1</v>
      </c>
      <c r="C76" s="74" t="s">
        <v>362</v>
      </c>
      <c r="D76" s="78">
        <v>2017</v>
      </c>
      <c r="E76" s="78">
        <v>5</v>
      </c>
      <c r="F76" s="28">
        <v>0</v>
      </c>
      <c r="G76" s="16"/>
      <c r="H76" s="26" t="s">
        <v>51</v>
      </c>
      <c r="I76" s="78">
        <v>3</v>
      </c>
      <c r="J76" s="26">
        <f>D76+I76</f>
        <v>2020</v>
      </c>
      <c r="M76" s="79">
        <v>6347</v>
      </c>
      <c r="N76" s="30"/>
      <c r="O76" s="16">
        <f>M76-M76*F76</f>
        <v>6347</v>
      </c>
      <c r="P76" s="16">
        <f>O76/I76/12</f>
        <v>176.30555555555554</v>
      </c>
      <c r="Q76" s="16">
        <f>IF(N76&gt;0,0,IF(OR(AC76&gt;AD76,AE76&lt;AF76),0,IF(AND(AE76&gt;=AF76,AE76&lt;=AD76),P76*((AE76-AF76)*12),IF(AND(AF76&lt;=AC76,AD76&gt;=AC76),((AD76-AC76)*12)*P76,IF(AE76&gt;AD76,12*P76,0)))))</f>
        <v>0</v>
      </c>
      <c r="R76" s="16">
        <f>IF(N76=0,0,IF(AND(AG76&gt;=AF76,AG76&lt;=AE76),((AG76-AF76)*12)*P76,0))</f>
        <v>0</v>
      </c>
      <c r="S76" s="16">
        <f>IF(R76&gt;0,R76,Q76)</f>
        <v>0</v>
      </c>
      <c r="T76" s="16">
        <v>1</v>
      </c>
      <c r="U76" s="16">
        <f>T76*SUM(Q76:R76)</f>
        <v>0</v>
      </c>
      <c r="V76" s="16"/>
      <c r="W76" s="16">
        <f>IF(AC76&gt;AD76,0,IF(AE76&lt;AF76,O76,IF(AND(AE76&gt;=AF76,AE76&lt;=AD76),(O76-S76),IF(AND(AF76&lt;=AC76,AD76&gt;=AC76),0,IF(AE76&gt;AD76,((AF76-AC76)*12)*P76,0)))))</f>
        <v>0</v>
      </c>
      <c r="X76" s="16">
        <f>W76*T76</f>
        <v>0</v>
      </c>
      <c r="Y76" s="16">
        <v>1</v>
      </c>
      <c r="Z76" s="16">
        <f>X76*Y76</f>
        <v>0</v>
      </c>
      <c r="AA76" s="16">
        <f>IF(N76&gt;0,0,Z76+U76*Y76)*Y76</f>
        <v>0</v>
      </c>
      <c r="AB76" s="16">
        <f>IF(N76&gt;0,(M76-Z76)/2,IF(AC76&gt;=AF76,(((M76*T76)*Y76)-AA76)/2,((((M76*T76)*Y76)-Z76)+(((M76*T76)*Y76)-AA76))/2))</f>
        <v>3173.5</v>
      </c>
      <c r="AC76" s="16">
        <f t="shared" si="14"/>
        <v>2017.3333333333333</v>
      </c>
      <c r="AD76" s="16">
        <f t="shared" si="55"/>
        <v>1</v>
      </c>
      <c r="AE76" s="16">
        <f t="shared" si="16"/>
        <v>2020.3333333333333</v>
      </c>
      <c r="AF76" s="16">
        <f t="shared" si="56"/>
        <v>0</v>
      </c>
      <c r="AG76" s="16">
        <f t="shared" si="18"/>
        <v>-8.3333333333333329E-2</v>
      </c>
      <c r="AI76" s="116">
        <f t="shared" si="57"/>
        <v>0</v>
      </c>
      <c r="AJ76" s="116"/>
      <c r="AK76" s="116">
        <f t="shared" si="58"/>
        <v>0</v>
      </c>
      <c r="AL76" s="116"/>
      <c r="AM76" s="116">
        <f t="shared" si="59"/>
        <v>0</v>
      </c>
      <c r="AN76" s="116"/>
      <c r="AO76" s="116">
        <f t="shared" si="60"/>
        <v>0</v>
      </c>
      <c r="AP76" s="116"/>
      <c r="AQ76" s="116">
        <f t="shared" si="61"/>
        <v>3173.5</v>
      </c>
    </row>
    <row r="77" spans="1:43">
      <c r="A77" s="32"/>
      <c r="B77" s="32"/>
      <c r="C77" s="74"/>
      <c r="D77" s="78"/>
      <c r="E77" s="78"/>
      <c r="F77" s="28"/>
      <c r="G77" s="16"/>
      <c r="H77" s="26"/>
      <c r="I77" s="78"/>
      <c r="J77" s="26"/>
      <c r="M77" s="79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43">
      <c r="A78" s="32"/>
      <c r="B78" s="32"/>
      <c r="C78" s="74"/>
      <c r="D78" s="78"/>
      <c r="E78" s="78"/>
      <c r="F78" s="51"/>
      <c r="G78" s="16"/>
      <c r="H78" s="32"/>
      <c r="I78" s="32"/>
      <c r="J78" s="32"/>
      <c r="K78" s="32"/>
      <c r="M78" s="32"/>
      <c r="N78" s="26"/>
      <c r="O78" s="32"/>
      <c r="P78" s="32"/>
      <c r="Q78" s="32"/>
      <c r="R78" s="26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26"/>
      <c r="AD78" s="26"/>
      <c r="AE78" s="26"/>
      <c r="AF78" s="26"/>
      <c r="AG78" s="26"/>
    </row>
    <row r="79" spans="1:43">
      <c r="A79" s="52"/>
      <c r="B79" s="52"/>
      <c r="C79" s="77" t="s">
        <v>17</v>
      </c>
      <c r="D79" s="78"/>
      <c r="E79" s="78"/>
      <c r="F79" s="54"/>
      <c r="G79" s="16"/>
      <c r="H79" s="52"/>
      <c r="I79" s="52"/>
      <c r="J79" s="52"/>
      <c r="K79" s="52"/>
      <c r="L79" s="55"/>
      <c r="M79" s="83">
        <f>SUM(M55:M78)</f>
        <v>52686.05</v>
      </c>
      <c r="N79" s="55"/>
      <c r="O79" s="83">
        <f>SUM(O55:O78)</f>
        <v>52686.05</v>
      </c>
      <c r="P79" s="83">
        <f>SUM(P55:P78)</f>
        <v>976.82261111111109</v>
      </c>
      <c r="Q79" s="83">
        <f>SUM(Q55:Q78)</f>
        <v>0</v>
      </c>
      <c r="R79" s="83">
        <f>SUM(R55:R78)</f>
        <v>0</v>
      </c>
      <c r="S79" s="83">
        <f>SUM(S55:S78)</f>
        <v>0</v>
      </c>
      <c r="T79" s="32"/>
      <c r="U79" s="83">
        <f>SUM(U55:U78)</f>
        <v>0</v>
      </c>
      <c r="V79" s="32"/>
      <c r="W79" s="56"/>
      <c r="X79" s="56"/>
      <c r="Y79" s="32"/>
      <c r="Z79" s="83">
        <f>SUM(Z55:Z78)</f>
        <v>0</v>
      </c>
      <c r="AA79" s="83">
        <f>SUM(AA55:AA78)</f>
        <v>0</v>
      </c>
      <c r="AB79" s="83">
        <f>SUM(AB55:AB78)</f>
        <v>26343.025000000001</v>
      </c>
      <c r="AI79" s="105">
        <f t="shared" ref="AI79:AQ79" si="62">SUM(AI55:AI78)</f>
        <v>0</v>
      </c>
      <c r="AJ79" s="105">
        <f t="shared" si="62"/>
        <v>0</v>
      </c>
      <c r="AK79" s="105">
        <f t="shared" si="62"/>
        <v>0</v>
      </c>
      <c r="AL79" s="105">
        <f t="shared" si="62"/>
        <v>0</v>
      </c>
      <c r="AM79" s="105">
        <f t="shared" si="62"/>
        <v>0</v>
      </c>
      <c r="AN79" s="105">
        <f t="shared" si="62"/>
        <v>0</v>
      </c>
      <c r="AO79" s="105">
        <f t="shared" si="62"/>
        <v>0</v>
      </c>
      <c r="AP79" s="105">
        <f t="shared" si="62"/>
        <v>0</v>
      </c>
      <c r="AQ79" s="105">
        <f t="shared" si="62"/>
        <v>26343.025000000001</v>
      </c>
    </row>
    <row r="80" spans="1:43">
      <c r="A80" s="59"/>
      <c r="B80" s="49"/>
      <c r="C80" s="59"/>
      <c r="D80" s="26"/>
      <c r="E80" s="78"/>
      <c r="F80" s="89"/>
      <c r="G80" s="16"/>
      <c r="H80" s="26"/>
      <c r="I80" s="26"/>
      <c r="J80" s="26"/>
      <c r="M80" s="59"/>
      <c r="N80" s="30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43">
      <c r="A81" s="59"/>
      <c r="B81" s="49"/>
      <c r="C81" s="80" t="s">
        <v>205</v>
      </c>
      <c r="D81" s="26"/>
      <c r="E81" s="26"/>
      <c r="F81" s="89"/>
      <c r="G81" s="16"/>
      <c r="H81" s="26"/>
      <c r="I81" s="26"/>
      <c r="J81" s="26"/>
      <c r="M81" s="59"/>
      <c r="N81" s="30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43">
      <c r="A82" s="59"/>
      <c r="B82" s="49"/>
      <c r="C82" s="59" t="s">
        <v>206</v>
      </c>
      <c r="D82" s="78">
        <v>2007</v>
      </c>
      <c r="E82" s="78">
        <v>12</v>
      </c>
      <c r="F82" s="28">
        <v>0</v>
      </c>
      <c r="G82" s="16"/>
      <c r="H82" s="26" t="s">
        <v>51</v>
      </c>
      <c r="I82" s="78">
        <v>10</v>
      </c>
      <c r="J82" s="26">
        <f t="shared" ref="J82:J88" si="63">D82+I82</f>
        <v>2017</v>
      </c>
      <c r="M82" s="79">
        <v>3782.08</v>
      </c>
      <c r="O82" s="16">
        <f t="shared" ref="O82:O90" si="64">M82-M82*F82</f>
        <v>3782.08</v>
      </c>
      <c r="P82" s="16">
        <f t="shared" ref="P82:P90" si="65">O82/I82/12</f>
        <v>31.51733333333333</v>
      </c>
      <c r="Q82" s="16">
        <f t="shared" ref="Q82:Q87" si="66">IF(N82&gt;0,0,IF(OR(AC82&gt;AD82,AE82&lt;AF82),0,IF(AND(AE82&gt;=AF82,AE82&lt;=AD82),P82*((AE82-AF82)*12),IF(AND(AF82&lt;=AC82,AD82&gt;=AC82),((AD82-AC82)*12)*P82,IF(AE82&gt;AD82,12*P82,0)))))</f>
        <v>0</v>
      </c>
      <c r="R82" s="16">
        <f t="shared" ref="R82:R87" si="67">IF(N82=0,0,IF(AND(AG82&gt;=AF82,AG82&lt;=AE82),((AG82-AF82)*12)*P82,0))</f>
        <v>0</v>
      </c>
      <c r="S82" s="16">
        <f t="shared" ref="S82:S87" si="68">IF(R82&gt;0,R82,Q82)</f>
        <v>0</v>
      </c>
      <c r="T82" s="16">
        <v>1</v>
      </c>
      <c r="U82" s="16">
        <f t="shared" ref="U82:U87" si="69">T82*SUM(Q82:R82)</f>
        <v>0</v>
      </c>
      <c r="V82" s="16"/>
      <c r="W82" s="16">
        <f t="shared" ref="W82:W87" si="70">IF(AC82&gt;AD82,0,IF(AE82&lt;AF82,O82,IF(AND(AE82&gt;=AF82,AE82&lt;=AD82),(O82-S82),IF(AND(AF82&lt;=AC82,AD82&gt;=AC82),0,IF(AE82&gt;AD82,((AF82-AC82)*12)*P82,0)))))</f>
        <v>0</v>
      </c>
      <c r="X82" s="16">
        <f t="shared" ref="X82:X87" si="71">W82*T82</f>
        <v>0</v>
      </c>
      <c r="Y82" s="16">
        <v>1</v>
      </c>
      <c r="Z82" s="16">
        <f t="shared" ref="Z82:Z87" si="72">X82*Y82</f>
        <v>0</v>
      </c>
      <c r="AA82" s="16">
        <f t="shared" ref="AA82:AA87" si="73">IF(N82&gt;0,0,Z82+U82*Y82)*Y82</f>
        <v>0</v>
      </c>
      <c r="AB82" s="16">
        <f t="shared" ref="AB82:AB87" si="74">IF(N82&gt;0,(M82-Z82)/2,IF(AC82&gt;=AF82,(((M82*T82)*Y82)-AA82)/2,((((M82*T82)*Y82)-Z82)+(((M82*T82)*Y82)-AA82))/2))</f>
        <v>1891.04</v>
      </c>
      <c r="AC82" s="16">
        <f t="shared" ref="AC82:AC90" si="75">$D82+(($E82-1)/12)</f>
        <v>2007.9166666666667</v>
      </c>
      <c r="AD82" s="16">
        <f t="shared" ref="AD82:AD90" si="76">($O$5+1)-($O$2/12)</f>
        <v>1</v>
      </c>
      <c r="AE82" s="16">
        <f t="shared" ref="AE82:AE90" si="77">$J82+(($E82-1)/12)</f>
        <v>2017.9166666666667</v>
      </c>
      <c r="AF82" s="16">
        <f t="shared" ref="AF82:AF90" si="78">$O$4+($O$3/12)</f>
        <v>0</v>
      </c>
      <c r="AG82" s="16">
        <f t="shared" ref="AG82:AG90" si="79">$K82+(($L82-1)/12)</f>
        <v>-8.3333333333333329E-2</v>
      </c>
      <c r="AI82" s="116">
        <f t="shared" ref="AI82:AI87" si="80">+IF((AE82-AF82)&gt;3,((M82-O82)/(AE82-AF82)),(M82-O82)/3)</f>
        <v>0</v>
      </c>
      <c r="AJ82" s="116"/>
      <c r="AK82" s="116">
        <f t="shared" ref="AK82:AK87" si="81">+AI82+U82</f>
        <v>0</v>
      </c>
      <c r="AL82" s="116"/>
      <c r="AM82" s="116">
        <f t="shared" ref="AM82:AM87" si="82">+IF(AE82&lt;AF82,-AB82,0)</f>
        <v>0</v>
      </c>
      <c r="AN82" s="116"/>
      <c r="AO82" s="116">
        <f t="shared" ref="AO82:AO87" si="83">IF(AE82&gt;AF82,IF(AI82&gt;0,IF(N82&gt;0,(M82-Z82)/2,IF(AC82&gt;=AF82,(((M82*T82)*Y82)-(AA82+AI82))/2,((((M82*T82)*Y82)-Z82)+(((M82*T82)*Y82)-(AA82+AI82)))/2)),0),0)</f>
        <v>0</v>
      </c>
      <c r="AP82" s="116"/>
      <c r="AQ82" s="116">
        <f t="shared" ref="AQ82:AQ87" si="84">+AB82+AM82+(IF(AO82&gt;0,(AO82-AB82),0))</f>
        <v>1891.04</v>
      </c>
    </row>
    <row r="83" spans="1:43">
      <c r="A83" s="59"/>
      <c r="B83" s="49"/>
      <c r="C83" s="59" t="s">
        <v>211</v>
      </c>
      <c r="D83" s="78">
        <v>2007</v>
      </c>
      <c r="E83" s="78">
        <v>12</v>
      </c>
      <c r="F83" s="28">
        <v>0</v>
      </c>
      <c r="G83" s="16"/>
      <c r="H83" s="26" t="s">
        <v>51</v>
      </c>
      <c r="I83" s="78">
        <v>10</v>
      </c>
      <c r="J83" s="26">
        <f t="shared" si="63"/>
        <v>2017</v>
      </c>
      <c r="M83" s="79">
        <v>503.62</v>
      </c>
      <c r="O83" s="16">
        <f t="shared" si="64"/>
        <v>503.62</v>
      </c>
      <c r="P83" s="16">
        <f t="shared" si="65"/>
        <v>4.1968333333333332</v>
      </c>
      <c r="Q83" s="16">
        <f t="shared" si="66"/>
        <v>0</v>
      </c>
      <c r="R83" s="16">
        <f t="shared" si="67"/>
        <v>0</v>
      </c>
      <c r="S83" s="16">
        <f t="shared" si="68"/>
        <v>0</v>
      </c>
      <c r="T83" s="16">
        <v>1</v>
      </c>
      <c r="U83" s="16">
        <f t="shared" si="69"/>
        <v>0</v>
      </c>
      <c r="V83" s="16"/>
      <c r="W83" s="16">
        <f t="shared" si="70"/>
        <v>0</v>
      </c>
      <c r="X83" s="16">
        <f t="shared" si="71"/>
        <v>0</v>
      </c>
      <c r="Y83" s="16">
        <v>1</v>
      </c>
      <c r="Z83" s="16">
        <f t="shared" si="72"/>
        <v>0</v>
      </c>
      <c r="AA83" s="16">
        <f t="shared" si="73"/>
        <v>0</v>
      </c>
      <c r="AB83" s="16">
        <f t="shared" si="74"/>
        <v>251.81</v>
      </c>
      <c r="AC83" s="16">
        <f t="shared" si="75"/>
        <v>2007.9166666666667</v>
      </c>
      <c r="AD83" s="16">
        <f t="shared" si="76"/>
        <v>1</v>
      </c>
      <c r="AE83" s="16">
        <f t="shared" si="77"/>
        <v>2017.9166666666667</v>
      </c>
      <c r="AF83" s="16">
        <f t="shared" si="78"/>
        <v>0</v>
      </c>
      <c r="AG83" s="16">
        <f t="shared" si="79"/>
        <v>-8.3333333333333329E-2</v>
      </c>
      <c r="AI83" s="116">
        <f t="shared" si="80"/>
        <v>0</v>
      </c>
      <c r="AJ83" s="116"/>
      <c r="AK83" s="116">
        <f t="shared" si="81"/>
        <v>0</v>
      </c>
      <c r="AL83" s="116"/>
      <c r="AM83" s="116">
        <f t="shared" si="82"/>
        <v>0</v>
      </c>
      <c r="AN83" s="116"/>
      <c r="AO83" s="116">
        <f t="shared" si="83"/>
        <v>0</v>
      </c>
      <c r="AP83" s="116"/>
      <c r="AQ83" s="116">
        <f t="shared" si="84"/>
        <v>251.81</v>
      </c>
    </row>
    <row r="84" spans="1:43">
      <c r="A84" s="59"/>
      <c r="B84" s="49"/>
      <c r="C84" s="6" t="s">
        <v>222</v>
      </c>
      <c r="D84" s="78">
        <v>2009</v>
      </c>
      <c r="E84" s="78">
        <v>1</v>
      </c>
      <c r="F84" s="28">
        <v>0</v>
      </c>
      <c r="G84" s="16"/>
      <c r="H84" s="26" t="s">
        <v>51</v>
      </c>
      <c r="I84" s="78">
        <v>10</v>
      </c>
      <c r="J84" s="26">
        <f t="shared" si="63"/>
        <v>2019</v>
      </c>
      <c r="M84" s="30">
        <v>11780.91</v>
      </c>
      <c r="N84" s="30">
        <v>0</v>
      </c>
      <c r="O84" s="16">
        <f t="shared" si="64"/>
        <v>11780.91</v>
      </c>
      <c r="P84" s="16">
        <f t="shared" si="65"/>
        <v>98.174249999999986</v>
      </c>
      <c r="Q84" s="16">
        <f t="shared" si="66"/>
        <v>0</v>
      </c>
      <c r="R84" s="16">
        <f t="shared" si="67"/>
        <v>0</v>
      </c>
      <c r="S84" s="16">
        <f t="shared" si="68"/>
        <v>0</v>
      </c>
      <c r="T84" s="16">
        <v>1</v>
      </c>
      <c r="U84" s="16">
        <f t="shared" si="69"/>
        <v>0</v>
      </c>
      <c r="V84" s="16"/>
      <c r="W84" s="16">
        <f t="shared" si="70"/>
        <v>0</v>
      </c>
      <c r="X84" s="16">
        <f t="shared" si="71"/>
        <v>0</v>
      </c>
      <c r="Y84" s="16">
        <v>1</v>
      </c>
      <c r="Z84" s="16">
        <f t="shared" si="72"/>
        <v>0</v>
      </c>
      <c r="AA84" s="16">
        <f t="shared" si="73"/>
        <v>0</v>
      </c>
      <c r="AB84" s="16">
        <f t="shared" si="74"/>
        <v>5890.4549999999999</v>
      </c>
      <c r="AC84" s="16">
        <f t="shared" si="75"/>
        <v>2009</v>
      </c>
      <c r="AD84" s="16">
        <f t="shared" si="76"/>
        <v>1</v>
      </c>
      <c r="AE84" s="16">
        <f t="shared" si="77"/>
        <v>2019</v>
      </c>
      <c r="AF84" s="16">
        <f t="shared" si="78"/>
        <v>0</v>
      </c>
      <c r="AG84" s="16">
        <f t="shared" si="79"/>
        <v>-8.3333333333333329E-2</v>
      </c>
      <c r="AI84" s="116">
        <f t="shared" si="80"/>
        <v>0</v>
      </c>
      <c r="AJ84" s="116"/>
      <c r="AK84" s="116">
        <f t="shared" si="81"/>
        <v>0</v>
      </c>
      <c r="AL84" s="116"/>
      <c r="AM84" s="116">
        <f t="shared" si="82"/>
        <v>0</v>
      </c>
      <c r="AN84" s="116"/>
      <c r="AO84" s="116">
        <f t="shared" si="83"/>
        <v>0</v>
      </c>
      <c r="AP84" s="116"/>
      <c r="AQ84" s="116">
        <f t="shared" si="84"/>
        <v>5890.4549999999999</v>
      </c>
    </row>
    <row r="85" spans="1:43">
      <c r="A85" s="59"/>
      <c r="B85" s="49"/>
      <c r="C85" s="6" t="s">
        <v>254</v>
      </c>
      <c r="D85" s="78">
        <v>2012</v>
      </c>
      <c r="E85" s="78">
        <v>10</v>
      </c>
      <c r="F85" s="28">
        <v>0</v>
      </c>
      <c r="G85" s="16"/>
      <c r="H85" s="26" t="s">
        <v>51</v>
      </c>
      <c r="I85" s="78">
        <v>15</v>
      </c>
      <c r="J85" s="26">
        <f t="shared" si="63"/>
        <v>2027</v>
      </c>
      <c r="M85" s="30">
        <v>40799.589999999997</v>
      </c>
      <c r="N85" s="30">
        <v>0</v>
      </c>
      <c r="O85" s="16">
        <f t="shared" si="64"/>
        <v>40799.589999999997</v>
      </c>
      <c r="P85" s="16">
        <f t="shared" si="65"/>
        <v>226.66438888888888</v>
      </c>
      <c r="Q85" s="16">
        <f t="shared" si="66"/>
        <v>0</v>
      </c>
      <c r="R85" s="16">
        <f t="shared" si="67"/>
        <v>0</v>
      </c>
      <c r="S85" s="16">
        <f t="shared" si="68"/>
        <v>0</v>
      </c>
      <c r="T85" s="16">
        <v>1</v>
      </c>
      <c r="U85" s="16">
        <f t="shared" si="69"/>
        <v>0</v>
      </c>
      <c r="V85" s="16"/>
      <c r="W85" s="16">
        <f t="shared" si="70"/>
        <v>0</v>
      </c>
      <c r="X85" s="16">
        <f t="shared" si="71"/>
        <v>0</v>
      </c>
      <c r="Y85" s="16">
        <v>1</v>
      </c>
      <c r="Z85" s="16">
        <f t="shared" si="72"/>
        <v>0</v>
      </c>
      <c r="AA85" s="16">
        <f t="shared" si="73"/>
        <v>0</v>
      </c>
      <c r="AB85" s="16">
        <f t="shared" si="74"/>
        <v>20399.794999999998</v>
      </c>
      <c r="AC85" s="16">
        <f t="shared" si="75"/>
        <v>2012.75</v>
      </c>
      <c r="AD85" s="16">
        <f t="shared" si="76"/>
        <v>1</v>
      </c>
      <c r="AE85" s="16">
        <f t="shared" si="77"/>
        <v>2027.75</v>
      </c>
      <c r="AF85" s="16">
        <f t="shared" si="78"/>
        <v>0</v>
      </c>
      <c r="AG85" s="16">
        <f t="shared" si="79"/>
        <v>-8.3333333333333329E-2</v>
      </c>
      <c r="AI85" s="116">
        <f t="shared" si="80"/>
        <v>0</v>
      </c>
      <c r="AJ85" s="116"/>
      <c r="AK85" s="116">
        <f t="shared" si="81"/>
        <v>0</v>
      </c>
      <c r="AL85" s="116"/>
      <c r="AM85" s="116">
        <f t="shared" si="82"/>
        <v>0</v>
      </c>
      <c r="AN85" s="116"/>
      <c r="AO85" s="116">
        <f t="shared" si="83"/>
        <v>0</v>
      </c>
      <c r="AP85" s="116"/>
      <c r="AQ85" s="116">
        <f t="shared" si="84"/>
        <v>20399.794999999998</v>
      </c>
    </row>
    <row r="86" spans="1:43">
      <c r="A86" s="90">
        <v>102299</v>
      </c>
      <c r="B86" s="49"/>
      <c r="C86" s="6" t="s">
        <v>254</v>
      </c>
      <c r="D86" s="78">
        <v>2013</v>
      </c>
      <c r="E86" s="78">
        <v>1</v>
      </c>
      <c r="F86" s="28">
        <v>0</v>
      </c>
      <c r="G86" s="16"/>
      <c r="H86" s="26" t="s">
        <v>51</v>
      </c>
      <c r="I86" s="78">
        <v>15</v>
      </c>
      <c r="J86" s="26">
        <f t="shared" si="63"/>
        <v>2028</v>
      </c>
      <c r="M86" s="30">
        <v>7461.17</v>
      </c>
      <c r="N86" s="30"/>
      <c r="O86" s="16">
        <f t="shared" si="64"/>
        <v>7461.17</v>
      </c>
      <c r="P86" s="16">
        <f t="shared" si="65"/>
        <v>41.450944444444445</v>
      </c>
      <c r="Q86" s="16">
        <f t="shared" si="66"/>
        <v>0</v>
      </c>
      <c r="R86" s="16">
        <f t="shared" si="67"/>
        <v>0</v>
      </c>
      <c r="S86" s="16">
        <f t="shared" si="68"/>
        <v>0</v>
      </c>
      <c r="T86" s="16">
        <v>1</v>
      </c>
      <c r="U86" s="16">
        <f t="shared" si="69"/>
        <v>0</v>
      </c>
      <c r="V86" s="16"/>
      <c r="W86" s="16">
        <f t="shared" si="70"/>
        <v>0</v>
      </c>
      <c r="X86" s="16">
        <f t="shared" si="71"/>
        <v>0</v>
      </c>
      <c r="Y86" s="16">
        <v>1</v>
      </c>
      <c r="Z86" s="16">
        <f t="shared" si="72"/>
        <v>0</v>
      </c>
      <c r="AA86" s="16">
        <f t="shared" si="73"/>
        <v>0</v>
      </c>
      <c r="AB86" s="16">
        <f t="shared" si="74"/>
        <v>3730.585</v>
      </c>
      <c r="AC86" s="16">
        <f t="shared" si="75"/>
        <v>2013</v>
      </c>
      <c r="AD86" s="16">
        <f t="shared" si="76"/>
        <v>1</v>
      </c>
      <c r="AE86" s="16">
        <f t="shared" si="77"/>
        <v>2028</v>
      </c>
      <c r="AF86" s="16">
        <f t="shared" si="78"/>
        <v>0</v>
      </c>
      <c r="AG86" s="16">
        <f t="shared" si="79"/>
        <v>-8.3333333333333329E-2</v>
      </c>
      <c r="AI86" s="116">
        <f t="shared" si="80"/>
        <v>0</v>
      </c>
      <c r="AJ86" s="116"/>
      <c r="AK86" s="116">
        <f t="shared" si="81"/>
        <v>0</v>
      </c>
      <c r="AL86" s="116"/>
      <c r="AM86" s="116">
        <f t="shared" si="82"/>
        <v>0</v>
      </c>
      <c r="AN86" s="116"/>
      <c r="AO86" s="116">
        <f t="shared" si="83"/>
        <v>0</v>
      </c>
      <c r="AP86" s="116"/>
      <c r="AQ86" s="116">
        <f t="shared" si="84"/>
        <v>3730.585</v>
      </c>
    </row>
    <row r="87" spans="1:43">
      <c r="A87" s="90" t="s">
        <v>333</v>
      </c>
      <c r="B87" s="49"/>
      <c r="C87" s="6" t="s">
        <v>324</v>
      </c>
      <c r="D87" s="78">
        <v>2016</v>
      </c>
      <c r="E87" s="78">
        <v>6</v>
      </c>
      <c r="F87" s="28">
        <v>0</v>
      </c>
      <c r="G87" s="16"/>
      <c r="H87" s="26" t="s">
        <v>51</v>
      </c>
      <c r="I87" s="78">
        <v>15</v>
      </c>
      <c r="J87" s="26">
        <f t="shared" si="63"/>
        <v>2031</v>
      </c>
      <c r="M87" s="30">
        <v>63313.38</v>
      </c>
      <c r="N87" s="30"/>
      <c r="O87" s="16">
        <f t="shared" si="64"/>
        <v>63313.38</v>
      </c>
      <c r="P87" s="16">
        <f t="shared" si="65"/>
        <v>351.74099999999999</v>
      </c>
      <c r="Q87" s="16">
        <f t="shared" si="66"/>
        <v>0</v>
      </c>
      <c r="R87" s="16">
        <f t="shared" si="67"/>
        <v>0</v>
      </c>
      <c r="S87" s="16">
        <f t="shared" si="68"/>
        <v>0</v>
      </c>
      <c r="T87" s="16">
        <v>1</v>
      </c>
      <c r="U87" s="16">
        <f t="shared" si="69"/>
        <v>0</v>
      </c>
      <c r="V87" s="16"/>
      <c r="W87" s="16">
        <f t="shared" si="70"/>
        <v>0</v>
      </c>
      <c r="X87" s="16">
        <f t="shared" si="71"/>
        <v>0</v>
      </c>
      <c r="Y87" s="16">
        <v>1</v>
      </c>
      <c r="Z87" s="16">
        <f t="shared" si="72"/>
        <v>0</v>
      </c>
      <c r="AA87" s="16">
        <f t="shared" si="73"/>
        <v>0</v>
      </c>
      <c r="AB87" s="16">
        <f t="shared" si="74"/>
        <v>31656.69</v>
      </c>
      <c r="AC87" s="16">
        <f t="shared" si="75"/>
        <v>2016.4166666666667</v>
      </c>
      <c r="AD87" s="16">
        <f t="shared" si="76"/>
        <v>1</v>
      </c>
      <c r="AE87" s="16">
        <f t="shared" si="77"/>
        <v>2031.4166666666667</v>
      </c>
      <c r="AF87" s="16">
        <f t="shared" si="78"/>
        <v>0</v>
      </c>
      <c r="AG87" s="16">
        <f t="shared" si="79"/>
        <v>-8.3333333333333329E-2</v>
      </c>
      <c r="AI87" s="116">
        <f t="shared" si="80"/>
        <v>0</v>
      </c>
      <c r="AJ87" s="116"/>
      <c r="AK87" s="116">
        <f t="shared" si="81"/>
        <v>0</v>
      </c>
      <c r="AL87" s="116"/>
      <c r="AM87" s="116">
        <f t="shared" si="82"/>
        <v>0</v>
      </c>
      <c r="AN87" s="116"/>
      <c r="AO87" s="116">
        <f t="shared" si="83"/>
        <v>0</v>
      </c>
      <c r="AP87" s="116"/>
      <c r="AQ87" s="116">
        <f t="shared" si="84"/>
        <v>31656.69</v>
      </c>
    </row>
    <row r="88" spans="1:43">
      <c r="A88" s="90" t="s">
        <v>398</v>
      </c>
      <c r="B88" s="49"/>
      <c r="C88" s="6" t="s">
        <v>401</v>
      </c>
      <c r="D88" s="78">
        <v>2017</v>
      </c>
      <c r="E88" s="78">
        <v>12</v>
      </c>
      <c r="F88" s="28">
        <v>0</v>
      </c>
      <c r="G88" s="16"/>
      <c r="H88" s="26" t="s">
        <v>51</v>
      </c>
      <c r="I88" s="78">
        <v>10</v>
      </c>
      <c r="J88" s="26">
        <f t="shared" si="63"/>
        <v>2027</v>
      </c>
      <c r="M88" s="30">
        <v>107611.16</v>
      </c>
      <c r="N88" s="30"/>
      <c r="O88" s="16">
        <f t="shared" si="64"/>
        <v>107611.16</v>
      </c>
      <c r="P88" s="16">
        <f t="shared" si="65"/>
        <v>896.7596666666667</v>
      </c>
      <c r="Q88" s="16">
        <f>IF(N88&gt;0,0,IF(OR(AC88&gt;AD88,AE88&lt;AF88),0,IF(AND(AE88&gt;=AF88,AE88&lt;=AD88),P88*((AE88-AF88)*12),IF(AND(AF88&lt;=AC88,AD88&gt;=AC88),((AD88-AC88)*12)*P88,IF(AE88&gt;AD88,12*P88,0)))))</f>
        <v>0</v>
      </c>
      <c r="R88" s="16">
        <f>IF(N88=0,0,IF(AND(AG88&gt;=AF88,AG88&lt;=AE88),((AG88-AF88)*12)*P88,0))</f>
        <v>0</v>
      </c>
      <c r="S88" s="16">
        <f>IF(R88&gt;0,R88,Q88)</f>
        <v>0</v>
      </c>
      <c r="T88" s="16">
        <v>1</v>
      </c>
      <c r="U88" s="16">
        <f>T88*SUM(Q88:R88)</f>
        <v>0</v>
      </c>
      <c r="V88" s="16"/>
      <c r="W88" s="16">
        <f>IF(AC88&gt;AD88,0,IF(AE88&lt;AF88,O88,IF(AND(AE88&gt;=AF88,AE88&lt;=AD88),(O88-S88),IF(AND(AF88&lt;=AC88,AD88&gt;=AC88),0,IF(AE88&gt;AD88,((AF88-AC88)*12)*P88,0)))))</f>
        <v>0</v>
      </c>
      <c r="X88" s="16">
        <f>W88*T88</f>
        <v>0</v>
      </c>
      <c r="Y88" s="16">
        <v>1</v>
      </c>
      <c r="Z88" s="16">
        <f>X88*Y88</f>
        <v>0</v>
      </c>
      <c r="AA88" s="16">
        <f>IF(N88&gt;0,0,Z88+U88*Y88)*Y88</f>
        <v>0</v>
      </c>
      <c r="AB88" s="16">
        <f>IF(N88&gt;0,(M88-Z88)/2,IF(AC88&gt;=AF88,(((M88*T88)*Y88)-AA88)/2,((((M88*T88)*Y88)-Z88)+(((M88*T88)*Y88)-AA88))/2))</f>
        <v>53805.58</v>
      </c>
      <c r="AC88" s="16">
        <f t="shared" si="75"/>
        <v>2017.9166666666667</v>
      </c>
      <c r="AD88" s="16">
        <f t="shared" si="76"/>
        <v>1</v>
      </c>
      <c r="AE88" s="16">
        <f t="shared" si="77"/>
        <v>2027.9166666666667</v>
      </c>
      <c r="AF88" s="16">
        <f t="shared" si="78"/>
        <v>0</v>
      </c>
      <c r="AG88" s="16">
        <f t="shared" si="79"/>
        <v>-8.3333333333333329E-2</v>
      </c>
      <c r="AI88" s="116"/>
      <c r="AJ88" s="116"/>
      <c r="AK88" s="116"/>
      <c r="AL88" s="116"/>
      <c r="AM88" s="116"/>
      <c r="AN88" s="116"/>
      <c r="AO88" s="116"/>
      <c r="AP88" s="116"/>
      <c r="AQ88" s="116"/>
    </row>
    <row r="89" spans="1:43">
      <c r="A89" s="90" t="s">
        <v>399</v>
      </c>
      <c r="B89" s="49"/>
      <c r="C89" s="6" t="s">
        <v>402</v>
      </c>
      <c r="D89" s="78">
        <v>2017</v>
      </c>
      <c r="E89" s="78">
        <v>12</v>
      </c>
      <c r="F89" s="28">
        <v>0</v>
      </c>
      <c r="G89" s="16"/>
      <c r="H89" s="26" t="s">
        <v>51</v>
      </c>
      <c r="I89" s="78">
        <v>10</v>
      </c>
      <c r="J89" s="26">
        <f>D89+I89</f>
        <v>2027</v>
      </c>
      <c r="M89" s="30">
        <v>49999.44</v>
      </c>
      <c r="N89" s="30"/>
      <c r="O89" s="16">
        <f t="shared" si="64"/>
        <v>49999.44</v>
      </c>
      <c r="P89" s="16">
        <f t="shared" si="65"/>
        <v>416.66200000000003</v>
      </c>
      <c r="Q89" s="16">
        <f>IF(N89&gt;0,0,IF(OR(AC89&gt;AD89,AE89&lt;AF89),0,IF(AND(AE89&gt;=AF89,AE89&lt;=AD89),P89*((AE89-AF89)*12),IF(AND(AF89&lt;=AC89,AD89&gt;=AC89),((AD89-AC89)*12)*P89,IF(AE89&gt;AD89,12*P89,0)))))</f>
        <v>0</v>
      </c>
      <c r="R89" s="16">
        <f>IF(N89=0,0,IF(AND(AG89&gt;=AF89,AG89&lt;=AE89),((AG89-AF89)*12)*P89,0))</f>
        <v>0</v>
      </c>
      <c r="S89" s="16">
        <f>IF(R89&gt;0,R89,Q89)</f>
        <v>0</v>
      </c>
      <c r="T89" s="16">
        <v>1</v>
      </c>
      <c r="U89" s="16">
        <f>T89*SUM(Q89:R89)</f>
        <v>0</v>
      </c>
      <c r="V89" s="16"/>
      <c r="W89" s="16">
        <f>IF(AC89&gt;AD89,0,IF(AE89&lt;AF89,O89,IF(AND(AE89&gt;=AF89,AE89&lt;=AD89),(O89-S89),IF(AND(AF89&lt;=AC89,AD89&gt;=AC89),0,IF(AE89&gt;AD89,((AF89-AC89)*12)*P89,0)))))</f>
        <v>0</v>
      </c>
      <c r="X89" s="16">
        <f>W89*T89</f>
        <v>0</v>
      </c>
      <c r="Y89" s="16">
        <v>1</v>
      </c>
      <c r="Z89" s="16">
        <f>X89*Y89</f>
        <v>0</v>
      </c>
      <c r="AA89" s="16">
        <f>IF(N89&gt;0,0,Z89+U89*Y89)*Y89</f>
        <v>0</v>
      </c>
      <c r="AB89" s="16">
        <f>IF(N89&gt;0,(M89-Z89)/2,IF(AC89&gt;=AF89,(((M89*T89)*Y89)-AA89)/2,((((M89*T89)*Y89)-Z89)+(((M89*T89)*Y89)-AA89))/2))</f>
        <v>24999.72</v>
      </c>
      <c r="AC89" s="16">
        <f t="shared" si="75"/>
        <v>2017.9166666666667</v>
      </c>
      <c r="AD89" s="16">
        <f t="shared" si="76"/>
        <v>1</v>
      </c>
      <c r="AE89" s="16">
        <f t="shared" si="77"/>
        <v>2027.9166666666667</v>
      </c>
      <c r="AF89" s="16">
        <f t="shared" si="78"/>
        <v>0</v>
      </c>
      <c r="AG89" s="16">
        <f t="shared" si="79"/>
        <v>-8.3333333333333329E-2</v>
      </c>
      <c r="AI89" s="116"/>
      <c r="AJ89" s="116"/>
      <c r="AK89" s="116"/>
      <c r="AL89" s="116"/>
      <c r="AM89" s="116"/>
      <c r="AN89" s="116"/>
      <c r="AO89" s="116"/>
      <c r="AP89" s="116"/>
      <c r="AQ89" s="116"/>
    </row>
    <row r="90" spans="1:43">
      <c r="A90" s="90" t="s">
        <v>400</v>
      </c>
      <c r="B90" s="49"/>
      <c r="C90" s="6" t="s">
        <v>403</v>
      </c>
      <c r="D90" s="78">
        <v>2017</v>
      </c>
      <c r="E90" s="78">
        <v>12</v>
      </c>
      <c r="F90" s="28">
        <v>0</v>
      </c>
      <c r="G90" s="16"/>
      <c r="H90" s="26" t="s">
        <v>51</v>
      </c>
      <c r="I90" s="78">
        <v>10</v>
      </c>
      <c r="J90" s="26">
        <f>D90+I90</f>
        <v>2027</v>
      </c>
      <c r="M90" s="30">
        <v>16010.54</v>
      </c>
      <c r="N90" s="30"/>
      <c r="O90" s="16">
        <f t="shared" si="64"/>
        <v>16010.54</v>
      </c>
      <c r="P90" s="16">
        <f t="shared" si="65"/>
        <v>133.42116666666666</v>
      </c>
      <c r="Q90" s="16">
        <f>IF(N90&gt;0,0,IF(OR(AC90&gt;AD90,AE90&lt;AF90),0,IF(AND(AE90&gt;=AF90,AE90&lt;=AD90),P90*((AE90-AF90)*12),IF(AND(AF90&lt;=AC90,AD90&gt;=AC90),((AD90-AC90)*12)*P90,IF(AE90&gt;AD90,12*P90,0)))))</f>
        <v>0</v>
      </c>
      <c r="R90" s="16">
        <f>IF(N90=0,0,IF(AND(AG90&gt;=AF90,AG90&lt;=AE90),((AG90-AF90)*12)*P90,0))</f>
        <v>0</v>
      </c>
      <c r="S90" s="16">
        <f>IF(R90&gt;0,R90,Q90)</f>
        <v>0</v>
      </c>
      <c r="T90" s="16">
        <v>1</v>
      </c>
      <c r="U90" s="16">
        <f>T90*SUM(Q90:R90)</f>
        <v>0</v>
      </c>
      <c r="V90" s="16"/>
      <c r="W90" s="16">
        <f>IF(AC90&gt;AD90,0,IF(AE90&lt;AF90,O90,IF(AND(AE90&gt;=AF90,AE90&lt;=AD90),(O90-S90),IF(AND(AF90&lt;=AC90,AD90&gt;=AC90),0,IF(AE90&gt;AD90,((AF90-AC90)*12)*P90,0)))))</f>
        <v>0</v>
      </c>
      <c r="X90" s="16">
        <f>W90*T90</f>
        <v>0</v>
      </c>
      <c r="Y90" s="16">
        <v>1</v>
      </c>
      <c r="Z90" s="16">
        <f>X90*Y90</f>
        <v>0</v>
      </c>
      <c r="AA90" s="16">
        <f>IF(N90&gt;0,0,Z90+U90*Y90)*Y90</f>
        <v>0</v>
      </c>
      <c r="AB90" s="16">
        <f>IF(N90&gt;0,(M90-Z90)/2,IF(AC90&gt;=AF90,(((M90*T90)*Y90)-AA90)/2,((((M90*T90)*Y90)-Z90)+(((M90*T90)*Y90)-AA90))/2))</f>
        <v>8005.27</v>
      </c>
      <c r="AC90" s="16">
        <f t="shared" si="75"/>
        <v>2017.9166666666667</v>
      </c>
      <c r="AD90" s="16">
        <f t="shared" si="76"/>
        <v>1</v>
      </c>
      <c r="AE90" s="16">
        <f t="shared" si="77"/>
        <v>2027.9166666666667</v>
      </c>
      <c r="AF90" s="16">
        <f t="shared" si="78"/>
        <v>0</v>
      </c>
      <c r="AG90" s="16">
        <f t="shared" si="79"/>
        <v>-8.3333333333333329E-2</v>
      </c>
      <c r="AI90" s="116"/>
      <c r="AJ90" s="116"/>
      <c r="AK90" s="116"/>
      <c r="AL90" s="116"/>
      <c r="AM90" s="116"/>
      <c r="AN90" s="116"/>
      <c r="AO90" s="116"/>
      <c r="AP90" s="116"/>
      <c r="AQ90" s="116"/>
    </row>
    <row r="91" spans="1:43">
      <c r="A91" s="59"/>
      <c r="B91" s="49"/>
      <c r="C91" s="59"/>
      <c r="D91" s="78"/>
      <c r="E91" s="78"/>
      <c r="F91" s="28"/>
      <c r="G91" s="16"/>
      <c r="H91" s="26"/>
      <c r="I91" s="78"/>
      <c r="J91" s="26"/>
      <c r="M91" s="79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43" s="31" customFormat="1">
      <c r="A92" s="80"/>
      <c r="B92" s="82"/>
      <c r="C92" s="77" t="s">
        <v>17</v>
      </c>
      <c r="D92" s="32"/>
      <c r="E92" s="32"/>
      <c r="F92" s="51"/>
      <c r="G92" s="83"/>
      <c r="H92" s="32"/>
      <c r="I92" s="32"/>
      <c r="J92" s="32"/>
      <c r="M92" s="80">
        <f>SUM(M82:M91)</f>
        <v>301261.88999999996</v>
      </c>
      <c r="N92" s="34"/>
      <c r="O92" s="80">
        <f>SUM(O82:O91)</f>
        <v>301261.88999999996</v>
      </c>
      <c r="P92" s="80">
        <f>SUM(P82:P91)</f>
        <v>2200.5875833333334</v>
      </c>
      <c r="Q92" s="80">
        <f>SUM(Q82:Q91)</f>
        <v>0</v>
      </c>
      <c r="R92" s="80">
        <f>SUM(R82:R91)</f>
        <v>0</v>
      </c>
      <c r="S92" s="80">
        <f>SUM(S82:S91)</f>
        <v>0</v>
      </c>
      <c r="T92" s="80"/>
      <c r="U92" s="80">
        <f>SUM(U82:U91)</f>
        <v>0</v>
      </c>
      <c r="V92" s="80">
        <f>SUM(V82:V91)</f>
        <v>0</v>
      </c>
      <c r="W92" s="80">
        <f>SUM(W82:W91)</f>
        <v>0</v>
      </c>
      <c r="X92" s="80">
        <f>SUM(X82:X91)</f>
        <v>0</v>
      </c>
      <c r="Y92" s="80"/>
      <c r="Z92" s="80">
        <f>SUM(Z82:Z91)</f>
        <v>0</v>
      </c>
      <c r="AA92" s="80">
        <f>SUM(AA82:AA91)</f>
        <v>0</v>
      </c>
      <c r="AB92" s="80">
        <f>SUM(AB82:AB91)</f>
        <v>150630.94499999998</v>
      </c>
      <c r="AC92" s="83"/>
      <c r="AD92" s="83"/>
      <c r="AE92" s="83"/>
      <c r="AF92" s="83"/>
      <c r="AG92" s="83"/>
      <c r="AI92" s="106">
        <f t="shared" ref="AI92:AQ92" si="85">SUM(AI82:AI91)</f>
        <v>0</v>
      </c>
      <c r="AJ92" s="106">
        <f t="shared" si="85"/>
        <v>0</v>
      </c>
      <c r="AK92" s="106">
        <f t="shared" si="85"/>
        <v>0</v>
      </c>
      <c r="AL92" s="106">
        <f t="shared" si="85"/>
        <v>0</v>
      </c>
      <c r="AM92" s="106">
        <f t="shared" si="85"/>
        <v>0</v>
      </c>
      <c r="AN92" s="106">
        <f t="shared" si="85"/>
        <v>0</v>
      </c>
      <c r="AO92" s="106">
        <f t="shared" si="85"/>
        <v>0</v>
      </c>
      <c r="AP92" s="106">
        <f t="shared" si="85"/>
        <v>0</v>
      </c>
      <c r="AQ92" s="106">
        <f t="shared" si="85"/>
        <v>63820.375</v>
      </c>
    </row>
    <row r="93" spans="1:43">
      <c r="A93" s="59"/>
      <c r="B93" s="28"/>
      <c r="C93" s="59"/>
      <c r="D93" s="26"/>
      <c r="E93" s="26"/>
      <c r="F93" s="89"/>
      <c r="G93" s="16"/>
      <c r="H93" s="26"/>
      <c r="I93" s="26"/>
      <c r="J93" s="26"/>
      <c r="M93" s="59"/>
      <c r="N93" s="30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43">
      <c r="C94" s="59"/>
      <c r="D94" s="26"/>
      <c r="E94" s="26"/>
      <c r="F94" s="89"/>
      <c r="H94" s="26"/>
      <c r="I94" s="26"/>
      <c r="J94" s="26"/>
      <c r="M94" s="59"/>
      <c r="N94" s="30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43">
      <c r="B95" s="49"/>
      <c r="C95" s="43"/>
      <c r="E95" s="26"/>
      <c r="M95" s="80"/>
    </row>
    <row r="96" spans="1:43">
      <c r="C96" s="43"/>
      <c r="E96" s="26"/>
      <c r="M96" s="80"/>
      <c r="O96" s="80"/>
      <c r="P96" s="80"/>
      <c r="Q96" s="80"/>
      <c r="S96" s="80"/>
      <c r="U96" s="80"/>
      <c r="V96" s="80"/>
      <c r="W96" s="80"/>
      <c r="X96" s="80"/>
      <c r="Y96" s="80"/>
      <c r="Z96" s="80"/>
      <c r="AA96" s="80"/>
      <c r="AB96" s="80"/>
    </row>
    <row r="97" spans="1:43">
      <c r="E97" s="26"/>
    </row>
    <row r="98" spans="1:43">
      <c r="E98" s="26"/>
    </row>
    <row r="99" spans="1:43">
      <c r="B99" s="49"/>
      <c r="C99" s="16"/>
      <c r="D99" s="16"/>
      <c r="E99" s="26"/>
      <c r="F99" s="16"/>
      <c r="G99" s="16"/>
      <c r="H99" s="16"/>
      <c r="I99" s="16"/>
      <c r="J99" s="26"/>
      <c r="R99" s="26"/>
      <c r="U99" s="32"/>
      <c r="W99" s="32"/>
      <c r="X99" s="32"/>
      <c r="Z99" s="32"/>
      <c r="AA99" s="32"/>
      <c r="AB99" s="32"/>
    </row>
    <row r="100" spans="1:43">
      <c r="B100" s="32"/>
      <c r="C100" s="50"/>
      <c r="D100" s="32"/>
      <c r="E100" s="26"/>
      <c r="F100" s="51"/>
      <c r="G100" s="16"/>
      <c r="H100" s="32"/>
      <c r="I100" s="32"/>
      <c r="J100" s="32"/>
      <c r="K100" s="32"/>
      <c r="M100" s="32"/>
      <c r="N100" s="26"/>
      <c r="O100" s="50"/>
      <c r="P100" s="50"/>
      <c r="Q100" s="32"/>
      <c r="R100" s="26"/>
      <c r="S100" s="32"/>
      <c r="T100" s="32"/>
      <c r="U100" s="32"/>
      <c r="W100" s="32"/>
      <c r="X100" s="32"/>
      <c r="Y100" s="26"/>
      <c r="Z100" s="32"/>
      <c r="AA100" s="32"/>
      <c r="AB100" s="32"/>
    </row>
    <row r="101" spans="1:43">
      <c r="B101" s="32"/>
      <c r="C101" s="50"/>
      <c r="D101" s="32"/>
      <c r="E101" s="26"/>
      <c r="F101" s="51"/>
      <c r="G101" s="16"/>
      <c r="H101" s="32"/>
      <c r="I101" s="32"/>
      <c r="J101" s="32"/>
      <c r="K101" s="32"/>
      <c r="M101" s="32"/>
      <c r="N101" s="26"/>
      <c r="O101" s="32"/>
      <c r="P101" s="32"/>
      <c r="Q101" s="32"/>
      <c r="R101" s="26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26"/>
      <c r="AD101" s="26"/>
      <c r="AE101" s="26"/>
      <c r="AF101" s="26"/>
      <c r="AG101" s="26"/>
    </row>
    <row r="102" spans="1:43">
      <c r="B102" s="52"/>
      <c r="C102" s="53"/>
      <c r="D102" s="52"/>
      <c r="E102" s="26"/>
      <c r="F102" s="54"/>
      <c r="G102" s="16"/>
      <c r="H102" s="52"/>
      <c r="I102" s="52"/>
      <c r="J102" s="52"/>
      <c r="K102" s="52"/>
      <c r="L102" s="55"/>
      <c r="M102" s="52"/>
      <c r="N102" s="55"/>
      <c r="O102" s="52"/>
      <c r="P102" s="52"/>
      <c r="Q102" s="52"/>
      <c r="R102" s="55"/>
      <c r="S102" s="32"/>
      <c r="T102" s="52"/>
      <c r="U102" s="32"/>
      <c r="V102" s="32"/>
      <c r="W102" s="56"/>
      <c r="X102" s="56"/>
      <c r="Y102" s="32"/>
      <c r="Z102" s="112"/>
      <c r="AA102" s="112"/>
      <c r="AB102" s="32"/>
    </row>
    <row r="103" spans="1:43">
      <c r="B103" s="49"/>
      <c r="C103" s="59"/>
      <c r="D103" s="26"/>
      <c r="E103" s="26"/>
      <c r="F103" s="89"/>
      <c r="G103" s="16"/>
      <c r="H103" s="26"/>
      <c r="I103" s="26"/>
      <c r="J103" s="26"/>
      <c r="M103" s="59"/>
      <c r="N103" s="30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43">
      <c r="B104" s="49"/>
      <c r="C104" s="566" t="s">
        <v>293</v>
      </c>
      <c r="D104" s="26"/>
      <c r="E104" s="26"/>
      <c r="F104" s="89"/>
      <c r="G104" s="16"/>
      <c r="H104" s="26"/>
      <c r="I104" s="26"/>
      <c r="J104" s="26"/>
      <c r="M104" s="59"/>
      <c r="N104" s="30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I104" s="116"/>
      <c r="AJ104" s="116"/>
      <c r="AK104" s="116"/>
      <c r="AL104" s="116"/>
      <c r="AM104" s="116"/>
      <c r="AN104" s="116"/>
      <c r="AO104" s="116"/>
      <c r="AP104" s="116"/>
      <c r="AQ104" s="116"/>
    </row>
    <row r="105" spans="1:43">
      <c r="A105" s="60"/>
      <c r="B105" s="49"/>
      <c r="C105" s="6" t="s">
        <v>182</v>
      </c>
      <c r="D105" s="78">
        <v>1997</v>
      </c>
      <c r="E105" s="78">
        <v>3</v>
      </c>
      <c r="F105" s="28">
        <v>0</v>
      </c>
      <c r="G105" s="16"/>
      <c r="H105" s="26" t="s">
        <v>51</v>
      </c>
      <c r="I105" s="78">
        <v>5</v>
      </c>
      <c r="J105" s="26">
        <f>D105+I105</f>
        <v>2002</v>
      </c>
      <c r="M105" s="79">
        <v>1000</v>
      </c>
      <c r="N105" s="30"/>
      <c r="O105" s="16">
        <f>M105-M105*F105</f>
        <v>1000</v>
      </c>
      <c r="P105" s="16">
        <f>O105/I105/12</f>
        <v>16.666666666666668</v>
      </c>
      <c r="Q105" s="16">
        <f>IF(N105&gt;0,0,IF(OR(AC105&gt;AD105,AE105&lt;AF105),0,IF(AND(AE105&gt;=AF105,AE105&lt;=AD105),P105*((AE105-AF105)*12),IF(AND(AF105&lt;=AC105,AD105&gt;=AC105),((AD105-AC105)*12)*P105,IF(AE105&gt;AD105,12*P105,0)))))</f>
        <v>0</v>
      </c>
      <c r="R105" s="16">
        <f>IF(N105=0,0,IF(AND(AG105&gt;=AF105,AG105&lt;=AE105),((AG105-AF105)*12)*P105,0))</f>
        <v>0</v>
      </c>
      <c r="S105" s="16">
        <f>IF(R105&gt;0,R105,Q105)</f>
        <v>0</v>
      </c>
      <c r="T105" s="16">
        <v>1</v>
      </c>
      <c r="U105" s="16">
        <f>T105*SUM(Q105:R105)</f>
        <v>0</v>
      </c>
      <c r="V105" s="16"/>
      <c r="W105" s="16">
        <f>IF(AC105&gt;AD105,0,IF(AE105&lt;AF105,O105,IF(AND(AE105&gt;=AF105,AE105&lt;=AD105),(O105-S105),IF(AND(AF105&lt;=AC105,AD105&gt;=AC105),0,IF(AE105&gt;AD105,((AF105-AC105)*12)*P105,0)))))</f>
        <v>0</v>
      </c>
      <c r="X105" s="16">
        <f>W105*T105</f>
        <v>0</v>
      </c>
      <c r="Y105" s="16">
        <v>1</v>
      </c>
      <c r="Z105" s="16">
        <f>X105*Y105</f>
        <v>0</v>
      </c>
      <c r="AA105" s="16">
        <f>IF(N105&gt;0,0,Z105+U105*Y105)*Y105</f>
        <v>0</v>
      </c>
      <c r="AB105" s="16">
        <f>IF(N105&gt;0,(M105-Z105)/2,IF(AC105&gt;=AF105,(((M105*T105)*Y105)-AA105)/2,((((M105*T105)*Y105)-Z105)+(((M105*T105)*Y105)-AA105))/2))</f>
        <v>500</v>
      </c>
      <c r="AC105" s="16">
        <f>$D105+(($E105-1)/12)</f>
        <v>1997.1666666666667</v>
      </c>
      <c r="AD105" s="16">
        <f>($O$5+1)-($O$2/12)</f>
        <v>1</v>
      </c>
      <c r="AE105" s="16">
        <f>$J105+(($E105-1)/12)</f>
        <v>2002.1666666666667</v>
      </c>
      <c r="AF105" s="16">
        <f>$O$4+($O$3/12)</f>
        <v>0</v>
      </c>
      <c r="AG105" s="16">
        <f>$K105+(($L105-1)/12)</f>
        <v>-8.3333333333333329E-2</v>
      </c>
      <c r="AI105" s="116"/>
      <c r="AJ105" s="116"/>
      <c r="AK105" s="116"/>
      <c r="AL105" s="116"/>
      <c r="AM105" s="116"/>
      <c r="AN105" s="116"/>
      <c r="AO105" s="116"/>
      <c r="AP105" s="116"/>
      <c r="AQ105" s="116"/>
    </row>
    <row r="106" spans="1:43">
      <c r="A106" s="60"/>
      <c r="B106" s="49"/>
      <c r="C106" s="27" t="s">
        <v>183</v>
      </c>
      <c r="D106" s="78">
        <v>1997</v>
      </c>
      <c r="E106" s="78">
        <v>2</v>
      </c>
      <c r="F106" s="28">
        <v>0</v>
      </c>
      <c r="G106" s="16"/>
      <c r="H106" s="26" t="s">
        <v>51</v>
      </c>
      <c r="I106" s="78">
        <v>5</v>
      </c>
      <c r="J106" s="26">
        <f>D106+I106</f>
        <v>2002</v>
      </c>
      <c r="M106" s="79">
        <v>3640.67</v>
      </c>
      <c r="N106" s="30"/>
      <c r="O106" s="16">
        <f>M106-M106*F106</f>
        <v>3640.67</v>
      </c>
      <c r="P106" s="16">
        <f>O106/I106/12</f>
        <v>60.677833333333332</v>
      </c>
      <c r="Q106" s="16">
        <f>IF(N106&gt;0,0,IF(OR(AC106&gt;AD106,AE106&lt;AF106),0,IF(AND(AE106&gt;=AF106,AE106&lt;=AD106),P106*((AE106-AF106)*12),IF(AND(AF106&lt;=AC106,AD106&gt;=AC106),((AD106-AC106)*12)*P106,IF(AE106&gt;AD106,12*P106,0)))))</f>
        <v>0</v>
      </c>
      <c r="R106" s="16">
        <f>IF(N106=0,0,IF(AND(AG106&gt;=AF106,AG106&lt;=AE106),((AG106-AF106)*12)*P106,0))</f>
        <v>0</v>
      </c>
      <c r="S106" s="16">
        <f>IF(R106&gt;0,R106,Q106)</f>
        <v>0</v>
      </c>
      <c r="T106" s="16">
        <v>1</v>
      </c>
      <c r="U106" s="16">
        <f>T106*SUM(Q106:R106)</f>
        <v>0</v>
      </c>
      <c r="V106" s="16"/>
      <c r="W106" s="16">
        <f>IF(AC106&gt;AD106,0,IF(AE106&lt;AF106,O106,IF(AND(AE106&gt;=AF106,AE106&lt;=AD106),(O106-S106),IF(AND(AF106&lt;=AC106,AD106&gt;=AC106),0,IF(AE106&gt;AD106,((AF106-AC106)*12)*P106,0)))))</f>
        <v>0</v>
      </c>
      <c r="X106" s="16">
        <f>W106*T106</f>
        <v>0</v>
      </c>
      <c r="Y106" s="16">
        <v>1</v>
      </c>
      <c r="Z106" s="16">
        <f>X106*Y106</f>
        <v>0</v>
      </c>
      <c r="AA106" s="16">
        <f>IF(N106&gt;0,0,Z106+U106*Y106)*Y106</f>
        <v>0</v>
      </c>
      <c r="AB106" s="16">
        <f>IF(N106&gt;0,(M106-Z106)/2,IF(AC106&gt;=AF106,(((M106*T106)*Y106)-AA106)/2,((((M106*T106)*Y106)-Z106)+(((M106*T106)*Y106)-AA106))/2))</f>
        <v>1820.335</v>
      </c>
      <c r="AC106" s="16">
        <f>$D106+(($E106-1)/12)</f>
        <v>1997.0833333333333</v>
      </c>
      <c r="AD106" s="16">
        <f>($O$5+1)-($O$2/12)</f>
        <v>1</v>
      </c>
      <c r="AE106" s="16">
        <f>$J106+(($E106-1)/12)</f>
        <v>2002.0833333333333</v>
      </c>
      <c r="AF106" s="16">
        <f>$O$4+($O$3/12)</f>
        <v>0</v>
      </c>
      <c r="AG106" s="16">
        <f>$K106+(($L106-1)/12)</f>
        <v>-8.3333333333333329E-2</v>
      </c>
      <c r="AI106" s="116"/>
      <c r="AJ106" s="116"/>
      <c r="AK106" s="116"/>
      <c r="AL106" s="116"/>
      <c r="AM106" s="116"/>
      <c r="AN106" s="116"/>
      <c r="AO106" s="116"/>
      <c r="AP106" s="116"/>
      <c r="AQ106" s="116"/>
    </row>
    <row r="107" spans="1:43">
      <c r="A107" s="60"/>
      <c r="B107" s="49"/>
      <c r="C107" s="6" t="s">
        <v>185</v>
      </c>
      <c r="D107" s="78">
        <v>1997</v>
      </c>
      <c r="E107" s="78">
        <v>7</v>
      </c>
      <c r="F107" s="28">
        <v>0</v>
      </c>
      <c r="G107" s="16"/>
      <c r="H107" s="26" t="s">
        <v>51</v>
      </c>
      <c r="I107" s="78">
        <v>5</v>
      </c>
      <c r="J107" s="26">
        <f>D107+I107</f>
        <v>2002</v>
      </c>
      <c r="M107" s="79">
        <v>3640.67</v>
      </c>
      <c r="N107" s="30"/>
      <c r="O107" s="16">
        <f>M107-M107*F107</f>
        <v>3640.67</v>
      </c>
      <c r="P107" s="16">
        <f>O107/I107/12</f>
        <v>60.677833333333332</v>
      </c>
      <c r="Q107" s="16">
        <f>IF(N107&gt;0,0,IF(OR(AC107&gt;AD107,AE107&lt;AF107),0,IF(AND(AE107&gt;=AF107,AE107&lt;=AD107),P107*((AE107-AF107)*12),IF(AND(AF107&lt;=AC107,AD107&gt;=AC107),((AD107-AC107)*12)*P107,IF(AE107&gt;AD107,12*P107,0)))))</f>
        <v>0</v>
      </c>
      <c r="R107" s="16">
        <f>IF(N107=0,0,IF(AND(AG107&gt;=AF107,AG107&lt;=AE107),((AG107-AF107)*12)*P107,0))</f>
        <v>0</v>
      </c>
      <c r="S107" s="16">
        <f>IF(R107&gt;0,R107,Q107)</f>
        <v>0</v>
      </c>
      <c r="T107" s="16">
        <v>1</v>
      </c>
      <c r="U107" s="16">
        <f>T107*SUM(Q107:R107)</f>
        <v>0</v>
      </c>
      <c r="V107" s="16"/>
      <c r="W107" s="16">
        <f>IF(AC107&gt;AD107,0,IF(AE107&lt;AF107,O107,IF(AND(AE107&gt;=AF107,AE107&lt;=AD107),(O107-S107),IF(AND(AF107&lt;=AC107,AD107&gt;=AC107),0,IF(AE107&gt;AD107,((AF107-AC107)*12)*P107,0)))))</f>
        <v>0</v>
      </c>
      <c r="X107" s="16">
        <f>W107*T107</f>
        <v>0</v>
      </c>
      <c r="Y107" s="16">
        <v>1</v>
      </c>
      <c r="Z107" s="16">
        <f>X107*Y107</f>
        <v>0</v>
      </c>
      <c r="AA107" s="16">
        <f>IF(N107&gt;0,0,Z107+U107*Y107)*Y107</f>
        <v>0</v>
      </c>
      <c r="AB107" s="16">
        <f>IF(N107&gt;0,(M107-Z107)/2,IF(AC107&gt;=AF107,(((M107*T107)*Y107)-AA107)/2,((((M107*T107)*Y107)-Z107)+(((M107*T107)*Y107)-AA107))/2))</f>
        <v>1820.335</v>
      </c>
      <c r="AC107" s="16">
        <f>$D107+(($E107-1)/12)</f>
        <v>1997.5</v>
      </c>
      <c r="AD107" s="16">
        <f>($O$5+1)-($O$2/12)</f>
        <v>1</v>
      </c>
      <c r="AE107" s="16">
        <f>$J107+(($E107-1)/12)</f>
        <v>2002.5</v>
      </c>
      <c r="AF107" s="16">
        <f>$O$4+($O$3/12)</f>
        <v>0</v>
      </c>
      <c r="AG107" s="16">
        <f>$K107+(($L107-1)/12)</f>
        <v>-8.3333333333333329E-2</v>
      </c>
      <c r="AI107" s="116"/>
      <c r="AJ107" s="116"/>
      <c r="AK107" s="116"/>
      <c r="AL107" s="116"/>
      <c r="AM107" s="116"/>
      <c r="AN107" s="116"/>
      <c r="AO107" s="116"/>
      <c r="AP107" s="116"/>
      <c r="AQ107" s="116"/>
    </row>
    <row r="108" spans="1:43">
      <c r="A108" s="60"/>
      <c r="B108" s="49"/>
      <c r="C108" s="6" t="s">
        <v>186</v>
      </c>
      <c r="D108" s="78">
        <v>1997</v>
      </c>
      <c r="E108" s="78">
        <v>7</v>
      </c>
      <c r="F108" s="28">
        <v>0</v>
      </c>
      <c r="G108" s="16"/>
      <c r="H108" s="26" t="s">
        <v>51</v>
      </c>
      <c r="I108" s="78">
        <v>5</v>
      </c>
      <c r="J108" s="26">
        <f>D108+I108</f>
        <v>2002</v>
      </c>
      <c r="M108" s="79">
        <v>8321.5400000000009</v>
      </c>
      <c r="N108" s="30"/>
      <c r="O108" s="16">
        <f>M108-M108*F108</f>
        <v>8321.5400000000009</v>
      </c>
      <c r="P108" s="16">
        <f>O108/I108/12</f>
        <v>138.69233333333335</v>
      </c>
      <c r="Q108" s="16">
        <f>IF(N108&gt;0,0,IF(OR(AC108&gt;AD108,AE108&lt;AF108),0,IF(AND(AE108&gt;=AF108,AE108&lt;=AD108),P108*((AE108-AF108)*12),IF(AND(AF108&lt;=AC108,AD108&gt;=AC108),((AD108-AC108)*12)*P108,IF(AE108&gt;AD108,12*P108,0)))))</f>
        <v>0</v>
      </c>
      <c r="R108" s="16">
        <f>IF(N108=0,0,IF(AND(AG108&gt;=AF108,AG108&lt;=AE108),((AG108-AF108)*12)*P108,0))</f>
        <v>0</v>
      </c>
      <c r="S108" s="16">
        <f>IF(R108&gt;0,R108,Q108)</f>
        <v>0</v>
      </c>
      <c r="T108" s="16">
        <v>1</v>
      </c>
      <c r="U108" s="16">
        <f>T108*SUM(Q108:R108)</f>
        <v>0</v>
      </c>
      <c r="V108" s="16"/>
      <c r="W108" s="16">
        <f>IF(AC108&gt;AD108,0,IF(AE108&lt;AF108,O108,IF(AND(AE108&gt;=AF108,AE108&lt;=AD108),(O108-S108),IF(AND(AF108&lt;=AC108,AD108&gt;=AC108),0,IF(AE108&gt;AD108,((AF108-AC108)*12)*P108,0)))))</f>
        <v>0</v>
      </c>
      <c r="X108" s="16">
        <f>W108*T108</f>
        <v>0</v>
      </c>
      <c r="Y108" s="16">
        <v>1</v>
      </c>
      <c r="Z108" s="16">
        <f>X108*Y108</f>
        <v>0</v>
      </c>
      <c r="AA108" s="16">
        <f>IF(N108&gt;0,0,Z108+U108*Y108)*Y108</f>
        <v>0</v>
      </c>
      <c r="AB108" s="16">
        <f>IF(N108&gt;0,(M108-Z108)/2,IF(AC108&gt;=AF108,(((M108*T108)*Y108)-AA108)/2,((((M108*T108)*Y108)-Z108)+(((M108*T108)*Y108)-AA108))/2))</f>
        <v>4160.7700000000004</v>
      </c>
      <c r="AC108" s="16">
        <f>$D108+(($E108-1)/12)</f>
        <v>1997.5</v>
      </c>
      <c r="AD108" s="16">
        <f>($O$5+1)-($O$2/12)</f>
        <v>1</v>
      </c>
      <c r="AE108" s="16">
        <f>$J108+(($E108-1)/12)</f>
        <v>2002.5</v>
      </c>
      <c r="AF108" s="16">
        <f>$O$4+($O$3/12)</f>
        <v>0</v>
      </c>
      <c r="AG108" s="16">
        <f>$K108+(($L108-1)/12)</f>
        <v>-8.3333333333333329E-2</v>
      </c>
      <c r="AI108" s="116"/>
      <c r="AJ108" s="116"/>
      <c r="AK108" s="116"/>
      <c r="AL108" s="116"/>
      <c r="AM108" s="116"/>
      <c r="AN108" s="116"/>
      <c r="AO108" s="116"/>
      <c r="AP108" s="116"/>
      <c r="AQ108" s="116"/>
    </row>
    <row r="109" spans="1:43">
      <c r="B109" s="28"/>
      <c r="C109" s="59"/>
      <c r="D109" s="26"/>
      <c r="E109" s="26"/>
      <c r="F109" s="89"/>
      <c r="G109" s="16"/>
      <c r="H109" s="26"/>
      <c r="I109" s="26"/>
      <c r="J109" s="26"/>
      <c r="M109" s="59"/>
      <c r="N109" s="30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I109" s="116"/>
      <c r="AJ109" s="116"/>
      <c r="AK109" s="116"/>
      <c r="AL109" s="116"/>
      <c r="AM109" s="116"/>
      <c r="AN109" s="116"/>
      <c r="AO109" s="116"/>
      <c r="AP109" s="116"/>
      <c r="AQ109" s="116"/>
    </row>
    <row r="110" spans="1:43">
      <c r="B110" s="49"/>
      <c r="C110" s="59"/>
      <c r="D110" s="26"/>
      <c r="E110" s="26"/>
      <c r="F110" s="89"/>
      <c r="G110" s="16"/>
      <c r="H110" s="26"/>
      <c r="I110" s="26"/>
      <c r="J110" s="26"/>
      <c r="M110" s="59"/>
      <c r="N110" s="3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I110" s="116"/>
      <c r="AJ110" s="116"/>
      <c r="AK110" s="116"/>
      <c r="AL110" s="116"/>
      <c r="AM110" s="116"/>
      <c r="AN110" s="116"/>
      <c r="AO110" s="116"/>
      <c r="AP110" s="116"/>
      <c r="AQ110" s="116"/>
    </row>
    <row r="111" spans="1:43">
      <c r="B111" s="49"/>
      <c r="C111" s="59"/>
      <c r="D111" s="26"/>
      <c r="E111" s="26"/>
      <c r="F111" s="89"/>
      <c r="G111" s="16"/>
      <c r="H111" s="26"/>
      <c r="I111" s="26"/>
      <c r="J111" s="26"/>
      <c r="M111" s="59"/>
      <c r="N111" s="30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:43">
      <c r="B112" s="49"/>
      <c r="C112" s="59"/>
      <c r="D112" s="26"/>
      <c r="E112" s="26"/>
      <c r="F112" s="89"/>
      <c r="G112" s="16"/>
      <c r="H112" s="26"/>
      <c r="I112" s="26"/>
      <c r="J112" s="26"/>
      <c r="M112" s="59"/>
      <c r="N112" s="3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spans="2:33">
      <c r="B113" s="49"/>
      <c r="C113" s="59"/>
      <c r="D113" s="26"/>
      <c r="E113" s="26"/>
      <c r="F113" s="89"/>
      <c r="G113" s="16"/>
      <c r="H113" s="26"/>
      <c r="I113" s="26"/>
      <c r="J113" s="26"/>
      <c r="M113" s="59"/>
      <c r="N113" s="30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2:33">
      <c r="B114" s="49"/>
      <c r="C114" s="59"/>
      <c r="D114" s="26"/>
      <c r="E114" s="26"/>
      <c r="F114" s="89"/>
      <c r="H114" s="26"/>
      <c r="I114" s="26"/>
      <c r="J114" s="26"/>
      <c r="M114" s="59"/>
      <c r="N114" s="30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2:33">
      <c r="B115" s="49"/>
      <c r="C115" s="59"/>
      <c r="D115" s="26"/>
      <c r="E115" s="26"/>
      <c r="F115" s="89"/>
      <c r="H115" s="26"/>
      <c r="I115" s="26"/>
      <c r="J115" s="26"/>
      <c r="M115" s="59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2:33">
      <c r="B116" s="49"/>
      <c r="C116" s="59"/>
      <c r="D116" s="26"/>
      <c r="E116" s="26"/>
      <c r="F116" s="89"/>
      <c r="H116" s="26"/>
      <c r="I116" s="26"/>
      <c r="J116" s="26"/>
      <c r="M116" s="59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2:33">
      <c r="B117" s="49"/>
      <c r="C117" s="59"/>
      <c r="D117" s="26"/>
      <c r="E117" s="26"/>
      <c r="F117" s="89"/>
      <c r="H117" s="26"/>
      <c r="I117" s="26"/>
      <c r="J117" s="26"/>
      <c r="M117" s="59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2:33">
      <c r="B118" s="49"/>
      <c r="C118" s="59"/>
      <c r="D118" s="26"/>
      <c r="E118" s="26"/>
      <c r="F118" s="89"/>
      <c r="H118" s="26"/>
      <c r="I118" s="26"/>
      <c r="J118" s="26"/>
      <c r="M118" s="59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2:33">
      <c r="B119" s="49"/>
      <c r="C119" s="59"/>
      <c r="D119" s="26"/>
      <c r="E119" s="26"/>
      <c r="F119" s="89"/>
      <c r="H119" s="26"/>
      <c r="I119" s="26"/>
      <c r="J119" s="26"/>
      <c r="M119" s="59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2:33">
      <c r="B120" s="49"/>
      <c r="C120" s="59"/>
      <c r="D120" s="26"/>
      <c r="E120" s="26"/>
      <c r="F120" s="89"/>
      <c r="H120" s="26"/>
      <c r="I120" s="26"/>
      <c r="J120" s="26"/>
      <c r="M120" s="59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2:33">
      <c r="B121" s="49"/>
      <c r="C121" s="59"/>
      <c r="D121" s="26"/>
      <c r="E121" s="26"/>
      <c r="F121" s="89"/>
      <c r="H121" s="26"/>
      <c r="I121" s="26"/>
      <c r="J121" s="26"/>
      <c r="M121" s="59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2:33">
      <c r="C122" s="59"/>
      <c r="D122" s="26"/>
      <c r="E122" s="26"/>
      <c r="F122" s="89"/>
      <c r="H122" s="26"/>
      <c r="I122" s="26"/>
      <c r="J122" s="26"/>
      <c r="M122" s="59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spans="2:33">
      <c r="B123" s="49"/>
      <c r="C123" s="59"/>
      <c r="D123" s="26"/>
      <c r="E123" s="26"/>
      <c r="F123" s="89"/>
      <c r="H123" s="26"/>
      <c r="I123" s="26"/>
      <c r="J123" s="26"/>
      <c r="M123" s="59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2:33">
      <c r="B124" s="49"/>
      <c r="C124" s="59"/>
      <c r="D124" s="26"/>
      <c r="E124" s="26"/>
      <c r="F124" s="89"/>
      <c r="H124" s="26"/>
      <c r="I124" s="26"/>
      <c r="J124" s="26"/>
      <c r="M124" s="59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spans="2:33">
      <c r="C125" s="27"/>
      <c r="D125" s="28"/>
      <c r="E125" s="28"/>
      <c r="F125" s="89"/>
      <c r="H125" s="26"/>
      <c r="I125" s="26"/>
      <c r="J125" s="26"/>
      <c r="M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</row>
    <row r="126" spans="2:33">
      <c r="C126" s="27"/>
      <c r="D126" s="28"/>
      <c r="E126" s="28"/>
      <c r="F126" s="89"/>
      <c r="H126" s="26"/>
      <c r="I126" s="26"/>
      <c r="J126" s="26"/>
      <c r="M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</row>
    <row r="127" spans="2:33">
      <c r="C127" s="27"/>
      <c r="D127" s="28"/>
      <c r="E127" s="28"/>
      <c r="F127" s="89"/>
      <c r="H127" s="26"/>
      <c r="I127" s="26"/>
      <c r="J127" s="26"/>
      <c r="M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2:33">
      <c r="C128" s="27"/>
      <c r="M128" s="16"/>
    </row>
    <row r="129" spans="2:33">
      <c r="B129" s="49"/>
      <c r="C129" s="43"/>
      <c r="M129" s="80"/>
      <c r="O129" s="80"/>
      <c r="P129" s="80"/>
      <c r="Q129" s="80"/>
      <c r="S129" s="80"/>
      <c r="U129" s="80"/>
      <c r="V129" s="80"/>
      <c r="W129" s="80"/>
      <c r="X129" s="80"/>
      <c r="Y129" s="80"/>
      <c r="Z129" s="80"/>
      <c r="AA129" s="80"/>
      <c r="AB129" s="80"/>
      <c r="AC129" s="80"/>
    </row>
    <row r="131" spans="2:33">
      <c r="B131" s="49"/>
      <c r="C131" s="16"/>
      <c r="D131" s="16"/>
      <c r="E131" s="16"/>
      <c r="F131" s="16"/>
      <c r="G131" s="16"/>
      <c r="H131" s="16"/>
      <c r="I131" s="16"/>
      <c r="J131" s="26"/>
      <c r="R131" s="26"/>
      <c r="U131" s="32"/>
      <c r="W131" s="32"/>
      <c r="X131" s="32"/>
      <c r="Z131" s="32"/>
      <c r="AA131" s="32"/>
      <c r="AB131" s="32"/>
    </row>
    <row r="132" spans="2:33">
      <c r="B132" s="32"/>
      <c r="C132" s="50"/>
      <c r="D132" s="32"/>
      <c r="E132" s="32"/>
      <c r="F132" s="51"/>
      <c r="G132" s="16"/>
      <c r="H132" s="32"/>
      <c r="I132" s="32"/>
      <c r="J132" s="32"/>
      <c r="K132" s="32"/>
      <c r="M132" s="32"/>
      <c r="N132" s="26"/>
      <c r="O132" s="50"/>
      <c r="P132" s="50"/>
      <c r="Q132" s="32"/>
      <c r="R132" s="26"/>
      <c r="S132" s="32"/>
      <c r="T132" s="32"/>
      <c r="U132" s="32"/>
      <c r="W132" s="32"/>
      <c r="X132" s="32"/>
      <c r="Y132" s="26"/>
      <c r="Z132" s="32"/>
      <c r="AA132" s="32"/>
      <c r="AB132" s="32"/>
    </row>
    <row r="133" spans="2:33">
      <c r="B133" s="32"/>
      <c r="C133" s="50"/>
      <c r="D133" s="32"/>
      <c r="E133" s="32"/>
      <c r="F133" s="51"/>
      <c r="G133" s="16"/>
      <c r="H133" s="32"/>
      <c r="I133" s="32"/>
      <c r="J133" s="32"/>
      <c r="K133" s="32"/>
      <c r="M133" s="32"/>
      <c r="N133" s="26"/>
      <c r="O133" s="32"/>
      <c r="P133" s="32"/>
      <c r="Q133" s="32"/>
      <c r="R133" s="26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26"/>
      <c r="AD133" s="26"/>
      <c r="AE133" s="26"/>
      <c r="AF133" s="26"/>
      <c r="AG133" s="26"/>
    </row>
    <row r="134" spans="2:33">
      <c r="B134" s="52"/>
      <c r="C134" s="53"/>
      <c r="D134" s="52"/>
      <c r="E134" s="52"/>
      <c r="F134" s="54"/>
      <c r="G134" s="16"/>
      <c r="H134" s="52"/>
      <c r="I134" s="52"/>
      <c r="J134" s="52"/>
      <c r="K134" s="52"/>
      <c r="L134" s="55"/>
      <c r="M134" s="52"/>
      <c r="N134" s="55"/>
      <c r="O134" s="52"/>
      <c r="P134" s="52"/>
      <c r="Q134" s="52"/>
      <c r="R134" s="55"/>
      <c r="S134" s="32"/>
      <c r="T134" s="52"/>
      <c r="U134" s="32"/>
      <c r="V134" s="32"/>
      <c r="W134" s="56"/>
      <c r="X134" s="56"/>
      <c r="Y134" s="32"/>
      <c r="Z134" s="112"/>
      <c r="AA134" s="112"/>
      <c r="AB134" s="32"/>
    </row>
    <row r="135" spans="2:33">
      <c r="B135" s="49"/>
      <c r="C135" s="59"/>
      <c r="D135" s="92"/>
      <c r="E135" s="26"/>
      <c r="F135" s="89"/>
      <c r="G135" s="16"/>
      <c r="H135" s="26"/>
      <c r="I135" s="49"/>
      <c r="J135" s="26"/>
      <c r="M135" s="59"/>
      <c r="N135" s="30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spans="2:33">
      <c r="B136" s="49"/>
      <c r="C136" s="59"/>
      <c r="D136" s="92"/>
      <c r="E136" s="26"/>
      <c r="F136" s="89"/>
      <c r="G136" s="16"/>
      <c r="H136" s="26"/>
      <c r="I136" s="26"/>
      <c r="J136" s="26"/>
      <c r="M136" s="59"/>
      <c r="N136" s="30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spans="2:33">
      <c r="B137" s="49"/>
      <c r="C137" s="59"/>
      <c r="D137" s="92"/>
      <c r="E137" s="26"/>
      <c r="F137" s="89"/>
      <c r="G137" s="16"/>
      <c r="H137" s="26"/>
      <c r="I137" s="26"/>
      <c r="J137" s="26"/>
      <c r="M137" s="59"/>
      <c r="N137" s="30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</row>
    <row r="138" spans="2:33">
      <c r="B138" s="49"/>
      <c r="C138" s="59"/>
      <c r="D138" s="92"/>
      <c r="E138" s="26"/>
      <c r="F138" s="89"/>
      <c r="G138" s="16"/>
      <c r="H138" s="26"/>
      <c r="I138" s="26"/>
      <c r="J138" s="26"/>
      <c r="M138" s="59"/>
      <c r="N138" s="30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spans="2:33">
      <c r="B139" s="49"/>
      <c r="C139" s="59"/>
      <c r="D139" s="92"/>
      <c r="E139" s="26"/>
      <c r="F139" s="89"/>
      <c r="G139" s="16"/>
      <c r="H139" s="26"/>
      <c r="I139" s="26"/>
      <c r="J139" s="26"/>
      <c r="M139" s="59"/>
      <c r="N139" s="30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</row>
    <row r="140" spans="2:33">
      <c r="B140" s="49"/>
      <c r="C140" s="59"/>
      <c r="D140" s="92"/>
      <c r="E140" s="26"/>
      <c r="F140" s="89"/>
      <c r="G140" s="16"/>
      <c r="H140" s="26"/>
      <c r="I140" s="26"/>
      <c r="J140" s="26"/>
      <c r="M140" s="59"/>
      <c r="N140" s="30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</row>
    <row r="141" spans="2:33">
      <c r="B141" s="49"/>
      <c r="C141" s="59"/>
      <c r="D141" s="92"/>
      <c r="E141" s="26"/>
      <c r="F141" s="89"/>
      <c r="G141" s="16"/>
      <c r="H141" s="26"/>
      <c r="I141" s="26"/>
      <c r="J141" s="26"/>
      <c r="M141" s="59"/>
      <c r="N141" s="30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</row>
    <row r="142" spans="2:33">
      <c r="B142" s="49"/>
      <c r="C142" s="59"/>
      <c r="D142" s="92"/>
      <c r="E142" s="26"/>
      <c r="F142" s="89"/>
      <c r="H142" s="26"/>
      <c r="I142" s="26"/>
      <c r="J142" s="26"/>
      <c r="M142" s="59"/>
      <c r="N142" s="30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</row>
    <row r="143" spans="2:33">
      <c r="B143" s="49"/>
      <c r="C143" s="59"/>
      <c r="D143" s="92"/>
      <c r="E143" s="26"/>
      <c r="F143" s="89"/>
      <c r="H143" s="26"/>
      <c r="I143" s="26"/>
      <c r="J143" s="26"/>
      <c r="M143" s="59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</row>
    <row r="144" spans="2:33">
      <c r="B144" s="49"/>
      <c r="C144" s="59"/>
      <c r="D144" s="92"/>
      <c r="E144" s="26"/>
      <c r="F144" s="89"/>
      <c r="H144" s="26"/>
      <c r="I144" s="26"/>
      <c r="J144" s="26"/>
      <c r="M144" s="59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</row>
    <row r="145" spans="2:33">
      <c r="B145" s="49"/>
      <c r="C145" s="59"/>
      <c r="D145" s="92"/>
      <c r="E145" s="26"/>
      <c r="F145" s="89"/>
      <c r="H145" s="26"/>
      <c r="I145" s="26"/>
      <c r="J145" s="26"/>
      <c r="M145" s="59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spans="2:33">
      <c r="B146" s="49"/>
      <c r="C146" s="59"/>
      <c r="D146" s="92"/>
      <c r="E146" s="26"/>
      <c r="F146" s="89"/>
      <c r="H146" s="26"/>
      <c r="I146" s="26"/>
      <c r="J146" s="26"/>
      <c r="M146" s="59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spans="2:33">
      <c r="B147" s="49"/>
      <c r="C147" s="59"/>
      <c r="D147" s="92"/>
      <c r="E147" s="26"/>
      <c r="F147" s="89"/>
      <c r="H147" s="26"/>
      <c r="I147" s="26"/>
      <c r="J147" s="26"/>
      <c r="M147" s="59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</row>
    <row r="148" spans="2:33">
      <c r="B148" s="49"/>
      <c r="C148" s="59"/>
      <c r="D148" s="92"/>
      <c r="E148" s="26"/>
      <c r="F148" s="89"/>
      <c r="H148" s="26"/>
      <c r="I148" s="26"/>
      <c r="J148" s="26"/>
      <c r="M148" s="59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spans="2:33">
      <c r="B149" s="49"/>
      <c r="C149" s="59"/>
      <c r="D149" s="92"/>
      <c r="E149" s="26"/>
      <c r="F149" s="89"/>
      <c r="H149" s="26"/>
      <c r="I149" s="26"/>
      <c r="J149" s="26"/>
      <c r="M149" s="59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</row>
    <row r="150" spans="2:33">
      <c r="B150" s="49"/>
      <c r="C150" s="59"/>
      <c r="D150" s="92"/>
      <c r="E150" s="26"/>
      <c r="F150" s="89"/>
      <c r="H150" s="26"/>
      <c r="I150" s="26"/>
      <c r="J150" s="26"/>
      <c r="M150" s="5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</row>
    <row r="151" spans="2:33">
      <c r="B151" s="49"/>
      <c r="C151" s="59"/>
      <c r="D151" s="92"/>
      <c r="E151" s="26"/>
      <c r="F151" s="89"/>
      <c r="H151" s="26"/>
      <c r="I151" s="26"/>
      <c r="J151" s="26"/>
      <c r="M151" s="5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</row>
    <row r="152" spans="2:33">
      <c r="B152" s="49"/>
      <c r="C152" s="59"/>
      <c r="D152" s="92"/>
      <c r="E152" s="26"/>
      <c r="F152" s="89"/>
      <c r="H152" s="26"/>
      <c r="I152" s="26"/>
      <c r="J152" s="26"/>
      <c r="M152" s="5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</row>
    <row r="153" spans="2:33">
      <c r="B153" s="49"/>
      <c r="C153" s="59"/>
      <c r="D153" s="92"/>
      <c r="E153" s="26"/>
      <c r="F153" s="89"/>
      <c r="H153" s="26"/>
      <c r="I153" s="26"/>
      <c r="J153" s="26"/>
      <c r="M153" s="5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</row>
    <row r="154" spans="2:33">
      <c r="B154" s="49"/>
      <c r="C154" s="59"/>
      <c r="D154" s="92"/>
      <c r="E154" s="26"/>
      <c r="F154" s="89"/>
      <c r="H154" s="26"/>
      <c r="I154" s="26"/>
      <c r="J154" s="26"/>
      <c r="M154" s="59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</row>
    <row r="155" spans="2:33">
      <c r="B155" s="49"/>
      <c r="C155" s="59"/>
      <c r="D155" s="92"/>
      <c r="E155" s="26"/>
      <c r="F155" s="89"/>
      <c r="H155" s="26"/>
      <c r="I155" s="26"/>
      <c r="J155" s="26"/>
      <c r="M155" s="59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</row>
    <row r="156" spans="2:33">
      <c r="B156" s="49"/>
      <c r="C156" s="59"/>
      <c r="D156" s="92"/>
      <c r="E156" s="26"/>
      <c r="F156" s="89"/>
      <c r="H156" s="26"/>
      <c r="I156" s="26"/>
      <c r="J156" s="26"/>
      <c r="M156" s="59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</row>
    <row r="157" spans="2:33">
      <c r="B157" s="49"/>
      <c r="C157" s="59"/>
      <c r="D157" s="92"/>
      <c r="E157" s="26"/>
      <c r="F157" s="89"/>
      <c r="H157" s="26"/>
      <c r="I157" s="26"/>
      <c r="J157" s="26"/>
      <c r="M157" s="59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</row>
    <row r="158" spans="2:33">
      <c r="B158" s="49"/>
      <c r="C158" s="59"/>
      <c r="D158" s="92"/>
      <c r="E158" s="26"/>
      <c r="F158" s="89"/>
      <c r="H158" s="26"/>
      <c r="I158" s="26"/>
      <c r="J158" s="26"/>
      <c r="M158" s="59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</row>
    <row r="159" spans="2:33">
      <c r="B159" s="49"/>
      <c r="C159" s="59"/>
      <c r="D159" s="92"/>
      <c r="E159" s="26"/>
      <c r="F159" s="89"/>
      <c r="H159" s="26"/>
      <c r="I159" s="26"/>
      <c r="J159" s="26"/>
      <c r="M159" s="59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</row>
    <row r="160" spans="2:33">
      <c r="B160" s="49"/>
      <c r="C160" s="59"/>
      <c r="D160" s="92"/>
      <c r="E160" s="26"/>
      <c r="F160" s="89"/>
      <c r="H160" s="26"/>
      <c r="I160" s="26"/>
      <c r="J160" s="26"/>
      <c r="M160" s="59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</row>
    <row r="161" spans="2:33">
      <c r="B161" s="49"/>
      <c r="C161" s="59"/>
      <c r="D161" s="92"/>
      <c r="E161" s="26"/>
      <c r="F161" s="89"/>
      <c r="H161" s="26"/>
      <c r="I161" s="26"/>
      <c r="J161" s="26"/>
      <c r="M161" s="59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spans="2:33">
      <c r="B162" s="49"/>
      <c r="C162" s="59"/>
      <c r="D162" s="92"/>
      <c r="E162" s="26"/>
      <c r="F162" s="89"/>
      <c r="H162" s="26"/>
      <c r="I162" s="26"/>
      <c r="J162" s="26"/>
      <c r="M162" s="59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</row>
    <row r="163" spans="2:33">
      <c r="B163" s="49"/>
      <c r="C163" s="59"/>
      <c r="D163" s="92"/>
      <c r="E163" s="26"/>
      <c r="F163" s="89"/>
      <c r="H163" s="26"/>
      <c r="I163" s="26"/>
      <c r="J163" s="26"/>
      <c r="M163" s="59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</row>
    <row r="164" spans="2:33">
      <c r="B164" s="49"/>
      <c r="C164" s="59"/>
      <c r="D164" s="92"/>
      <c r="E164" s="26"/>
      <c r="F164" s="89"/>
      <c r="H164" s="26"/>
      <c r="I164" s="26"/>
      <c r="J164" s="26"/>
      <c r="M164" s="59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</row>
    <row r="165" spans="2:33">
      <c r="B165" s="49"/>
      <c r="C165" s="59"/>
      <c r="D165" s="92"/>
      <c r="E165" s="26"/>
      <c r="F165" s="89"/>
      <c r="H165" s="26"/>
      <c r="I165" s="26"/>
      <c r="J165" s="26"/>
      <c r="M165" s="59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</row>
    <row r="166" spans="2:33">
      <c r="B166" s="49"/>
      <c r="C166" s="59"/>
      <c r="D166" s="92"/>
      <c r="E166" s="26"/>
      <c r="F166" s="89"/>
      <c r="H166" s="26"/>
      <c r="I166" s="26"/>
      <c r="J166" s="26"/>
      <c r="M166" s="59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</row>
    <row r="167" spans="2:33">
      <c r="B167" s="49"/>
      <c r="C167" s="59"/>
      <c r="D167" s="92"/>
      <c r="E167" s="26"/>
      <c r="F167" s="89"/>
      <c r="H167" s="26"/>
      <c r="I167" s="26"/>
      <c r="J167" s="26"/>
      <c r="M167" s="59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</row>
    <row r="168" spans="2:33">
      <c r="B168" s="49"/>
      <c r="C168" s="59"/>
      <c r="D168" s="92"/>
      <c r="E168" s="26"/>
      <c r="F168" s="89"/>
      <c r="H168" s="26"/>
      <c r="I168" s="26"/>
      <c r="J168" s="26"/>
      <c r="M168" s="59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</row>
    <row r="169" spans="2:33">
      <c r="B169" s="49"/>
      <c r="C169" s="59"/>
      <c r="D169" s="92"/>
      <c r="E169" s="26"/>
      <c r="F169" s="89"/>
      <c r="H169" s="26"/>
      <c r="I169" s="26"/>
      <c r="J169" s="26"/>
      <c r="M169" s="59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</row>
    <row r="170" spans="2:33">
      <c r="B170" s="49"/>
      <c r="C170" s="59"/>
      <c r="D170" s="92"/>
      <c r="E170" s="26"/>
      <c r="F170" s="89"/>
      <c r="H170" s="26"/>
      <c r="I170" s="26"/>
      <c r="J170" s="26"/>
      <c r="M170" s="59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</row>
    <row r="171" spans="2:33">
      <c r="B171" s="49"/>
      <c r="C171" s="59"/>
      <c r="D171" s="92"/>
      <c r="E171" s="26"/>
      <c r="F171" s="89"/>
      <c r="H171" s="26"/>
      <c r="I171" s="26"/>
      <c r="J171" s="26"/>
      <c r="M171" s="59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</row>
    <row r="172" spans="2:33">
      <c r="B172" s="49"/>
      <c r="C172" s="59"/>
      <c r="D172" s="92"/>
      <c r="E172" s="26"/>
      <c r="F172" s="89"/>
      <c r="H172" s="26"/>
      <c r="I172" s="26"/>
      <c r="J172" s="26"/>
      <c r="M172" s="59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</row>
    <row r="173" spans="2:33">
      <c r="B173" s="49"/>
      <c r="C173" s="59"/>
      <c r="D173" s="92"/>
      <c r="E173" s="26"/>
      <c r="F173" s="89"/>
      <c r="H173" s="26"/>
      <c r="I173" s="26"/>
      <c r="J173" s="26"/>
      <c r="M173" s="59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</row>
    <row r="174" spans="2:33">
      <c r="B174" s="49"/>
      <c r="C174" s="59"/>
      <c r="D174" s="92"/>
      <c r="E174" s="26"/>
      <c r="F174" s="89"/>
      <c r="H174" s="26"/>
      <c r="I174" s="26"/>
      <c r="J174" s="26"/>
      <c r="M174" s="59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</row>
    <row r="175" spans="2:33">
      <c r="B175" s="49"/>
      <c r="C175" s="59"/>
      <c r="D175" s="92"/>
      <c r="E175" s="26"/>
      <c r="F175" s="89"/>
      <c r="H175" s="26"/>
      <c r="I175" s="26"/>
      <c r="J175" s="26"/>
      <c r="M175" s="59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</row>
    <row r="176" spans="2:33">
      <c r="B176" s="49"/>
      <c r="C176" s="59"/>
      <c r="D176" s="92"/>
      <c r="E176" s="26"/>
      <c r="F176" s="89"/>
      <c r="H176" s="26"/>
      <c r="I176" s="26"/>
      <c r="J176" s="26"/>
      <c r="M176" s="59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</row>
    <row r="177" spans="2:43">
      <c r="B177" s="49"/>
      <c r="C177" s="59"/>
      <c r="D177" s="92"/>
      <c r="E177" s="26"/>
      <c r="F177" s="89"/>
      <c r="H177" s="26"/>
      <c r="I177" s="26"/>
      <c r="J177" s="26"/>
      <c r="M177" s="59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</row>
    <row r="178" spans="2:43">
      <c r="B178" s="49"/>
      <c r="C178" s="59"/>
      <c r="D178" s="92"/>
      <c r="E178" s="26"/>
      <c r="F178" s="89"/>
      <c r="H178" s="26"/>
      <c r="I178" s="26"/>
      <c r="J178" s="26"/>
      <c r="M178" s="59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</row>
    <row r="179" spans="2:43">
      <c r="B179" s="49"/>
      <c r="C179" s="59"/>
      <c r="D179" s="92"/>
      <c r="E179" s="26"/>
      <c r="F179" s="89"/>
      <c r="H179" s="26"/>
      <c r="I179" s="26"/>
      <c r="J179" s="26"/>
      <c r="M179" s="59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</row>
    <row r="180" spans="2:43">
      <c r="B180" s="49"/>
      <c r="C180" s="59"/>
      <c r="D180" s="92"/>
      <c r="E180" s="26"/>
      <c r="F180" s="89"/>
      <c r="H180" s="26"/>
      <c r="I180" s="26"/>
      <c r="M180" s="59"/>
    </row>
    <row r="181" spans="2:43">
      <c r="B181" s="49"/>
      <c r="C181" s="59"/>
      <c r="D181" s="92"/>
      <c r="E181" s="26"/>
      <c r="F181" s="89"/>
      <c r="H181" s="26"/>
      <c r="I181" s="26"/>
      <c r="J181" s="26"/>
      <c r="M181" s="59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</row>
    <row r="182" spans="2:43">
      <c r="B182" s="49"/>
      <c r="C182" s="59"/>
      <c r="D182" s="92"/>
      <c r="E182" s="26"/>
      <c r="F182" s="89"/>
      <c r="H182" s="26"/>
      <c r="I182" s="26"/>
      <c r="J182" s="26"/>
      <c r="M182" s="59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</row>
    <row r="183" spans="2:43">
      <c r="B183" s="49"/>
      <c r="C183" s="59"/>
      <c r="D183" s="59"/>
    </row>
    <row r="184" spans="2:43" s="31" customFormat="1">
      <c r="B184" s="81"/>
      <c r="C184" s="43"/>
      <c r="D184" s="81"/>
      <c r="M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I184" s="108"/>
      <c r="AJ184" s="108"/>
      <c r="AK184" s="108"/>
      <c r="AL184" s="108"/>
      <c r="AM184" s="108"/>
      <c r="AN184" s="108"/>
      <c r="AO184" s="108"/>
      <c r="AP184" s="108"/>
      <c r="AQ184" s="108"/>
    </row>
  </sheetData>
  <mergeCells count="1">
    <mergeCell ref="AI5:AQ6"/>
  </mergeCells>
  <pageMargins left="0.75" right="0.75" top="1" bottom="1" header="0.5" footer="0.5"/>
  <pageSetup scale="53" orientation="landscape" r:id="rId1"/>
  <headerFooter alignWithMargins="0"/>
  <colBreaks count="1" manualBreakCount="1">
    <brk id="52" max="1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26CA-E131-40CB-82D7-958563564C9C}">
  <dimension ref="A1:F42"/>
  <sheetViews>
    <sheetView showGridLines="0" tabSelected="1" zoomScale="85" zoomScaleNormal="85" workbookViewId="0">
      <selection activeCell="F37" sqref="F37"/>
    </sheetView>
  </sheetViews>
  <sheetFormatPr defaultRowHeight="15.75"/>
  <cols>
    <col min="1" max="1" width="20.21875" bestFit="1" customWidth="1"/>
    <col min="2" max="2" width="15.44140625" bestFit="1" customWidth="1"/>
    <col min="3" max="3" width="21.21875" bestFit="1" customWidth="1"/>
    <col min="4" max="5" width="19" bestFit="1" customWidth="1"/>
    <col min="6" max="6" width="31.109375" bestFit="1" customWidth="1"/>
    <col min="7" max="7" width="23" bestFit="1" customWidth="1"/>
    <col min="11" max="11" width="15.109375" bestFit="1" customWidth="1"/>
    <col min="12" max="12" width="15.77734375" bestFit="1" customWidth="1"/>
    <col min="13" max="13" width="21.77734375" bestFit="1" customWidth="1"/>
    <col min="14" max="15" width="19.44140625" bestFit="1" customWidth="1"/>
    <col min="16" max="16" width="31.77734375" bestFit="1" customWidth="1"/>
  </cols>
  <sheetData>
    <row r="1" spans="1:6">
      <c r="A1" s="320" t="s">
        <v>1769</v>
      </c>
      <c r="B1" t="s">
        <v>59</v>
      </c>
      <c r="D1" s="567" t="s">
        <v>2306</v>
      </c>
    </row>
    <row r="3" spans="1:6">
      <c r="A3" s="320" t="s">
        <v>1886</v>
      </c>
      <c r="B3" t="s">
        <v>1888</v>
      </c>
      <c r="C3" t="s">
        <v>1889</v>
      </c>
      <c r="D3" t="s">
        <v>1890</v>
      </c>
      <c r="E3" t="s">
        <v>1891</v>
      </c>
      <c r="F3" t="s">
        <v>1892</v>
      </c>
    </row>
    <row r="4" spans="1:6">
      <c r="A4" s="321" t="s">
        <v>513</v>
      </c>
      <c r="B4" s="337">
        <v>254696.61999999997</v>
      </c>
      <c r="C4" s="337">
        <v>17686.325833333332</v>
      </c>
      <c r="D4" s="337">
        <v>49951.220793651715</v>
      </c>
      <c r="E4" s="337">
        <v>67637.768055556444</v>
      </c>
      <c r="F4" s="337">
        <v>187058.85194444351</v>
      </c>
    </row>
    <row r="5" spans="1:6">
      <c r="A5" s="321" t="s">
        <v>255</v>
      </c>
      <c r="B5" s="337">
        <v>187121.11</v>
      </c>
      <c r="C5" s="337">
        <v>26731.587142857137</v>
      </c>
      <c r="D5" s="337">
        <v>16184.171428573894</v>
      </c>
      <c r="E5" s="337">
        <v>42915.758571431041</v>
      </c>
      <c r="F5" s="337">
        <v>144205.35142856895</v>
      </c>
    </row>
    <row r="6" spans="1:6">
      <c r="A6" s="321" t="s">
        <v>1881</v>
      </c>
      <c r="B6" s="337">
        <v>1278245.28</v>
      </c>
      <c r="C6" s="337">
        <v>48924.829666666665</v>
      </c>
      <c r="D6" s="337">
        <v>835737.6725000001</v>
      </c>
      <c r="E6" s="337">
        <v>884662.50216666656</v>
      </c>
      <c r="F6" s="337">
        <v>393582.77783333336</v>
      </c>
    </row>
    <row r="7" spans="1:6">
      <c r="A7" s="321" t="s">
        <v>1642</v>
      </c>
      <c r="B7" s="337">
        <v>184230</v>
      </c>
      <c r="C7" s="337">
        <v>0</v>
      </c>
      <c r="D7" s="337"/>
      <c r="E7" s="337"/>
      <c r="F7" s="337">
        <v>184230</v>
      </c>
    </row>
    <row r="8" spans="1:6">
      <c r="A8" s="321" t="s">
        <v>1882</v>
      </c>
      <c r="B8" s="337">
        <v>648123.14999999991</v>
      </c>
      <c r="C8" s="337">
        <v>89314.395000000004</v>
      </c>
      <c r="D8" s="337">
        <v>337877.92375000555</v>
      </c>
      <c r="E8" s="337">
        <v>427192.31875000551</v>
      </c>
      <c r="F8" s="337">
        <v>220930.83124999446</v>
      </c>
    </row>
    <row r="9" spans="1:6">
      <c r="A9" s="321" t="s">
        <v>1883</v>
      </c>
      <c r="B9" s="337">
        <v>97977.16</v>
      </c>
      <c r="C9" s="337">
        <v>0</v>
      </c>
      <c r="D9" s="337">
        <v>97977.16</v>
      </c>
      <c r="E9" s="337">
        <v>97977.16</v>
      </c>
      <c r="F9" s="337">
        <v>0</v>
      </c>
    </row>
    <row r="10" spans="1:6">
      <c r="A10" s="321" t="s">
        <v>1647</v>
      </c>
      <c r="B10" s="337">
        <v>731910.58</v>
      </c>
      <c r="C10" s="337">
        <v>36595.529000000002</v>
      </c>
      <c r="D10" s="337">
        <v>57942.920916672192</v>
      </c>
      <c r="E10" s="337">
        <v>94538.449916672194</v>
      </c>
      <c r="F10" s="337">
        <v>637372.13008332776</v>
      </c>
    </row>
    <row r="11" spans="1:6">
      <c r="A11" s="321" t="s">
        <v>81</v>
      </c>
      <c r="B11" s="337">
        <v>23219.59</v>
      </c>
      <c r="C11" s="337">
        <v>3980.6100000000006</v>
      </c>
      <c r="D11" s="337">
        <v>8925.9573611124324</v>
      </c>
      <c r="E11" s="337">
        <v>16474.189444444593</v>
      </c>
      <c r="F11" s="337">
        <v>6745.4005555554068</v>
      </c>
    </row>
    <row r="12" spans="1:6">
      <c r="A12" s="321" t="s">
        <v>257</v>
      </c>
      <c r="B12" s="337">
        <v>150046.81</v>
      </c>
      <c r="C12" s="337">
        <v>5732.1666666666661</v>
      </c>
      <c r="D12" s="337">
        <v>84500.726666666684</v>
      </c>
      <c r="E12" s="337">
        <v>90232.893333333341</v>
      </c>
      <c r="F12" s="337">
        <v>59813.916666666657</v>
      </c>
    </row>
    <row r="13" spans="1:6">
      <c r="A13" s="321" t="s">
        <v>1879</v>
      </c>
      <c r="B13" s="337">
        <v>716836.3899999999</v>
      </c>
      <c r="C13" s="337">
        <v>69660.875571428565</v>
      </c>
      <c r="D13" s="337">
        <v>56745.053928571433</v>
      </c>
      <c r="E13" s="337">
        <v>126405.9295</v>
      </c>
      <c r="F13" s="337">
        <v>590430.46050000004</v>
      </c>
    </row>
    <row r="14" spans="1:6">
      <c r="A14" s="321" t="s">
        <v>80</v>
      </c>
      <c r="B14" s="337">
        <v>55055.16</v>
      </c>
      <c r="C14" s="337">
        <v>9029.2193333333325</v>
      </c>
      <c r="D14" s="337">
        <v>24571.697555556879</v>
      </c>
      <c r="E14" s="337">
        <v>33600.916888890213</v>
      </c>
      <c r="F14" s="337">
        <v>21454.243111109787</v>
      </c>
    </row>
    <row r="15" spans="1:6">
      <c r="A15" s="321" t="s">
        <v>1894</v>
      </c>
      <c r="B15" s="337">
        <v>40406.06</v>
      </c>
      <c r="C15" s="337">
        <v>8081.2120000000004</v>
      </c>
      <c r="D15" s="337">
        <v>4160.1748333338555</v>
      </c>
      <c r="E15" s="337">
        <v>12241.386833333856</v>
      </c>
      <c r="F15" s="337">
        <v>28164.673166666147</v>
      </c>
    </row>
    <row r="16" spans="1:6">
      <c r="A16" s="321" t="s">
        <v>1895</v>
      </c>
      <c r="B16" s="337">
        <v>16974.919999999998</v>
      </c>
      <c r="C16" s="337">
        <v>2424.988571428571</v>
      </c>
      <c r="D16" s="337">
        <v>3435.4004761906599</v>
      </c>
      <c r="E16" s="337">
        <v>5860.389047619231</v>
      </c>
      <c r="F16" s="337">
        <v>11114.530952380766</v>
      </c>
    </row>
    <row r="17" spans="1:6">
      <c r="A17" s="321" t="s">
        <v>1227</v>
      </c>
      <c r="B17" s="337">
        <v>219986.24</v>
      </c>
      <c r="C17" s="337">
        <v>20237.672000000002</v>
      </c>
      <c r="D17" s="337">
        <v>18543.510000000002</v>
      </c>
      <c r="E17" s="337">
        <v>38781.182000000001</v>
      </c>
      <c r="F17" s="337">
        <v>181205.05800000002</v>
      </c>
    </row>
    <row r="18" spans="1:6">
      <c r="A18" s="321" t="s">
        <v>1884</v>
      </c>
      <c r="B18" s="337">
        <v>336407</v>
      </c>
      <c r="C18" s="337">
        <v>33640.700000000004</v>
      </c>
      <c r="D18" s="337">
        <v>0</v>
      </c>
      <c r="E18" s="337">
        <v>33640.700000000004</v>
      </c>
      <c r="F18" s="337">
        <v>302766.3</v>
      </c>
    </row>
    <row r="19" spans="1:6">
      <c r="A19" s="321" t="s">
        <v>1887</v>
      </c>
      <c r="B19" s="337">
        <v>4941236.07</v>
      </c>
      <c r="C19" s="337">
        <v>372040.11078571435</v>
      </c>
      <c r="D19" s="337">
        <v>1596553.5902103351</v>
      </c>
      <c r="E19" s="337">
        <v>1972161.5445079531</v>
      </c>
      <c r="F19" s="337">
        <v>2969074.5254920474</v>
      </c>
    </row>
    <row r="21" spans="1:6">
      <c r="A21" s="321" t="s">
        <v>1893</v>
      </c>
    </row>
    <row r="22" spans="1:6">
      <c r="A22" s="322" t="s">
        <v>1886</v>
      </c>
      <c r="B22" s="322" t="s">
        <v>1888</v>
      </c>
      <c r="C22" s="322" t="s">
        <v>1889</v>
      </c>
      <c r="D22" s="322" t="s">
        <v>1890</v>
      </c>
      <c r="E22" s="322" t="s">
        <v>1891</v>
      </c>
      <c r="F22" s="322" t="s">
        <v>1892</v>
      </c>
    </row>
    <row r="23" spans="1:6">
      <c r="A23" s="321" t="s">
        <v>513</v>
      </c>
      <c r="B23" s="337">
        <v>254696.61999999997</v>
      </c>
      <c r="C23" s="337">
        <v>17686.325833333332</v>
      </c>
      <c r="D23" s="337">
        <v>49951.220793651715</v>
      </c>
      <c r="E23" s="337">
        <v>67637.768055556444</v>
      </c>
      <c r="F23" s="337">
        <v>187058.85194444351</v>
      </c>
    </row>
    <row r="24" spans="1:6">
      <c r="A24" s="321" t="s">
        <v>255</v>
      </c>
      <c r="B24" s="337">
        <v>187121.11</v>
      </c>
      <c r="C24" s="337">
        <v>26731.587142857137</v>
      </c>
      <c r="D24" s="337">
        <v>16184.171428573894</v>
      </c>
      <c r="E24" s="337">
        <v>42915.758571431041</v>
      </c>
      <c r="F24" s="337">
        <v>144205.35142856895</v>
      </c>
    </row>
    <row r="25" spans="1:6">
      <c r="A25" s="321" t="s">
        <v>1881</v>
      </c>
      <c r="B25" s="337">
        <v>1278245.28</v>
      </c>
      <c r="C25" s="337">
        <v>48924.829666666665</v>
      </c>
      <c r="D25" s="337">
        <v>835737.6725000001</v>
      </c>
      <c r="E25" s="337">
        <v>884662.50216666656</v>
      </c>
      <c r="F25" s="337">
        <v>393582.77783333336</v>
      </c>
    </row>
    <row r="26" spans="1:6">
      <c r="A26" s="321" t="s">
        <v>1642</v>
      </c>
      <c r="B26" s="337">
        <v>184230</v>
      </c>
      <c r="C26" s="337">
        <v>0</v>
      </c>
      <c r="D26" s="337"/>
      <c r="E26" s="337"/>
      <c r="F26" s="337">
        <v>184230</v>
      </c>
    </row>
    <row r="27" spans="1:6">
      <c r="A27" s="321" t="s">
        <v>1882</v>
      </c>
      <c r="B27" s="337">
        <v>648123.14999999991</v>
      </c>
      <c r="C27" s="337">
        <v>89314.395000000004</v>
      </c>
      <c r="D27" s="337">
        <v>337877.92375000555</v>
      </c>
      <c r="E27" s="337">
        <v>427192.31875000551</v>
      </c>
      <c r="F27" s="337">
        <v>220930.83124999446</v>
      </c>
    </row>
    <row r="28" spans="1:6">
      <c r="A28" s="321" t="s">
        <v>1883</v>
      </c>
      <c r="B28" s="337">
        <v>97977.16</v>
      </c>
      <c r="C28" s="337">
        <v>0</v>
      </c>
      <c r="D28" s="337">
        <v>97977.16</v>
      </c>
      <c r="E28" s="337">
        <v>97977.16</v>
      </c>
      <c r="F28" s="337">
        <v>0</v>
      </c>
    </row>
    <row r="29" spans="1:6">
      <c r="A29" s="321" t="s">
        <v>1647</v>
      </c>
      <c r="B29" s="337">
        <v>731910.58</v>
      </c>
      <c r="C29" s="337">
        <v>36595.529000000002</v>
      </c>
      <c r="D29" s="337">
        <v>57942.920916672192</v>
      </c>
      <c r="E29" s="337">
        <v>94538.449916672194</v>
      </c>
      <c r="F29" s="337">
        <v>637372.13008332776</v>
      </c>
    </row>
    <row r="30" spans="1:6">
      <c r="A30" s="321" t="s">
        <v>81</v>
      </c>
      <c r="B30" s="337">
        <v>23219.59</v>
      </c>
      <c r="C30" s="337">
        <v>3980.6100000000006</v>
      </c>
      <c r="D30" s="337">
        <v>8925.9573611124324</v>
      </c>
      <c r="E30" s="337">
        <v>16474.189444444593</v>
      </c>
      <c r="F30" s="337">
        <v>6745.4005555554068</v>
      </c>
    </row>
    <row r="31" spans="1:6">
      <c r="A31" s="321" t="s">
        <v>257</v>
      </c>
      <c r="B31" s="337">
        <v>150046.81</v>
      </c>
      <c r="C31" s="337">
        <v>5732.1666666666661</v>
      </c>
      <c r="D31" s="337">
        <v>84500.726666666684</v>
      </c>
      <c r="E31" s="337">
        <v>90232.893333333341</v>
      </c>
      <c r="F31" s="337">
        <v>59813.916666666657</v>
      </c>
    </row>
    <row r="32" spans="1:6">
      <c r="A32" s="321" t="s">
        <v>1879</v>
      </c>
      <c r="B32" s="337">
        <v>716836.3899999999</v>
      </c>
      <c r="C32" s="337">
        <v>69660.875571428565</v>
      </c>
      <c r="D32" s="337">
        <v>56745.053928571433</v>
      </c>
      <c r="E32" s="337">
        <v>126405.9295</v>
      </c>
      <c r="F32" s="337">
        <v>590430.46050000004</v>
      </c>
    </row>
    <row r="33" spans="1:6">
      <c r="A33" s="321" t="s">
        <v>80</v>
      </c>
      <c r="B33" s="337">
        <v>55055.16</v>
      </c>
      <c r="C33" s="337">
        <v>9029.2193333333325</v>
      </c>
      <c r="D33" s="337">
        <v>24571.697555556879</v>
      </c>
      <c r="E33" s="337">
        <v>33600.916888890213</v>
      </c>
      <c r="F33" s="337">
        <v>21454.243111109787</v>
      </c>
    </row>
    <row r="34" spans="1:6">
      <c r="A34" s="321" t="s">
        <v>1894</v>
      </c>
      <c r="B34" s="337">
        <v>40406.06</v>
      </c>
      <c r="C34" s="337">
        <v>8081.2120000000004</v>
      </c>
      <c r="D34" s="337">
        <v>4160.1748333338555</v>
      </c>
      <c r="E34" s="337">
        <v>12241.386833333856</v>
      </c>
      <c r="F34" s="337">
        <v>28164.673166666147</v>
      </c>
    </row>
    <row r="35" spans="1:6">
      <c r="A35" s="321" t="s">
        <v>1895</v>
      </c>
      <c r="B35" s="337">
        <v>16974.919999999998</v>
      </c>
      <c r="C35" s="337">
        <v>2424.988571428571</v>
      </c>
      <c r="D35" s="337">
        <v>3435.4004761906599</v>
      </c>
      <c r="E35" s="337">
        <v>5860.389047619231</v>
      </c>
      <c r="F35" s="337">
        <v>11114.530952380766</v>
      </c>
    </row>
    <row r="36" spans="1:6">
      <c r="A36" s="321" t="s">
        <v>1227</v>
      </c>
      <c r="B36" s="337">
        <v>219986.24</v>
      </c>
      <c r="C36" s="337">
        <v>20237.672000000002</v>
      </c>
      <c r="D36" s="337">
        <v>18543.510000000002</v>
      </c>
      <c r="E36" s="337">
        <v>38781.182000000001</v>
      </c>
      <c r="F36" s="337">
        <v>181205.05800000002</v>
      </c>
    </row>
    <row r="37" spans="1:6">
      <c r="A37" s="321" t="s">
        <v>1884</v>
      </c>
      <c r="B37" s="337">
        <v>336407</v>
      </c>
      <c r="C37" s="337">
        <v>33640.700000000004</v>
      </c>
      <c r="D37" s="337">
        <v>0</v>
      </c>
      <c r="E37" s="337">
        <v>33640.700000000004</v>
      </c>
      <c r="F37" s="337">
        <v>302766.3</v>
      </c>
    </row>
    <row r="38" spans="1:6">
      <c r="A38" s="323" t="s">
        <v>1887</v>
      </c>
      <c r="B38" s="515">
        <v>4941236.07</v>
      </c>
      <c r="C38" s="515">
        <v>372040.11078571435</v>
      </c>
      <c r="D38" s="515">
        <v>1596553.5902103351</v>
      </c>
      <c r="E38" s="515">
        <v>1972161.5445079531</v>
      </c>
      <c r="F38" s="515">
        <v>2969074.5254920474</v>
      </c>
    </row>
    <row r="40" spans="1:6">
      <c r="B40" s="337"/>
      <c r="C40" s="337"/>
      <c r="D40" s="337"/>
      <c r="E40" s="337"/>
      <c r="F40" s="337"/>
    </row>
    <row r="41" spans="1:6">
      <c r="A41" s="321"/>
      <c r="B41" s="336"/>
      <c r="C41" s="336"/>
      <c r="D41" s="336"/>
      <c r="E41" s="336"/>
      <c r="F41" s="336"/>
    </row>
    <row r="42" spans="1:6">
      <c r="B42" s="337"/>
      <c r="C42" s="337"/>
      <c r="D42" s="337"/>
      <c r="E42" s="337"/>
      <c r="F42" s="337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7632-938F-4B59-BF05-6D5BEAD1FF7F}">
  <sheetPr codeName="Sheet1">
    <tabColor theme="6" tint="0.59999389629810485"/>
    <pageSetUpPr fitToPage="1"/>
  </sheetPr>
  <dimension ref="A1:AU686"/>
  <sheetViews>
    <sheetView tabSelected="1" zoomScale="70" zoomScaleNormal="70" workbookViewId="0">
      <pane xSplit="4" ySplit="13" topLeftCell="AE162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8.88671875" defaultRowHeight="15" outlineLevelRow="1"/>
  <cols>
    <col min="1" max="2" width="8.88671875" style="338"/>
    <col min="3" max="3" width="11.5546875" style="338" customWidth="1"/>
    <col min="4" max="4" width="29.88671875" style="338" customWidth="1"/>
    <col min="5" max="5" width="13.6640625" style="338" customWidth="1"/>
    <col min="6" max="6" width="20" style="338" bestFit="1" customWidth="1"/>
    <col min="7" max="7" width="11.44140625" style="338" customWidth="1"/>
    <col min="8" max="8" width="10.44140625" style="338" customWidth="1"/>
    <col min="9" max="9" width="12" style="338" customWidth="1"/>
    <col min="10" max="10" width="9" style="338" customWidth="1"/>
    <col min="11" max="11" width="15.77734375" style="338" customWidth="1"/>
    <col min="12" max="12" width="12.6640625" style="338" customWidth="1"/>
    <col min="13" max="13" width="8.88671875" style="338" customWidth="1"/>
    <col min="14" max="14" width="14.88671875" style="338" customWidth="1"/>
    <col min="15" max="15" width="9.88671875" style="338" customWidth="1"/>
    <col min="16" max="16" width="12.109375" style="338" customWidth="1"/>
    <col min="17" max="17" width="12" style="338" customWidth="1"/>
    <col min="18" max="18" width="12.88671875" style="338" customWidth="1"/>
    <col min="19" max="19" width="15.21875" style="338" customWidth="1"/>
    <col min="20" max="20" width="11.21875" style="338" customWidth="1"/>
    <col min="21" max="21" width="10" style="339" customWidth="1"/>
    <col min="22" max="22" width="14.109375" style="338" customWidth="1"/>
    <col min="23" max="23" width="10.109375" style="338" customWidth="1"/>
    <col min="24" max="33" width="8.88671875" style="338" customWidth="1"/>
    <col min="34" max="34" width="12.21875" style="338" bestFit="1" customWidth="1"/>
    <col min="35" max="35" width="13.5546875" style="293" bestFit="1" customWidth="1" collapsed="1"/>
    <col min="36" max="36" width="24.33203125" style="293" bestFit="1" customWidth="1"/>
    <col min="37" max="39" width="13.44140625" style="293" customWidth="1"/>
    <col min="40" max="40" width="15.33203125" style="293" customWidth="1"/>
    <col min="41" max="45" width="13.44140625" style="293" customWidth="1"/>
    <col min="46" max="46" width="19.44140625" style="293" customWidth="1"/>
    <col min="47" max="47" width="15" style="293" customWidth="1"/>
    <col min="48" max="16384" width="8.88671875" style="338"/>
  </cols>
  <sheetData>
    <row r="1" spans="1:47" hidden="1" outlineLevel="1">
      <c r="A1" s="487" t="s">
        <v>1872</v>
      </c>
      <c r="B1" s="338" t="s">
        <v>1871</v>
      </c>
      <c r="C1" s="338" t="s">
        <v>1870</v>
      </c>
      <c r="D1" s="338" t="s">
        <v>1869</v>
      </c>
      <c r="E1" s="338" t="s">
        <v>1868</v>
      </c>
      <c r="F1" s="338" t="s">
        <v>1867</v>
      </c>
      <c r="G1" s="338" t="s">
        <v>1866</v>
      </c>
      <c r="H1" s="338" t="s">
        <v>1865</v>
      </c>
      <c r="I1" s="338" t="s">
        <v>1864</v>
      </c>
      <c r="J1" s="338" t="s">
        <v>1863</v>
      </c>
      <c r="K1" s="338" t="s">
        <v>1862</v>
      </c>
      <c r="L1" s="338" t="s">
        <v>1861</v>
      </c>
      <c r="M1" s="338" t="s">
        <v>1860</v>
      </c>
      <c r="N1" s="338" t="s">
        <v>1859</v>
      </c>
      <c r="O1" s="338" t="s">
        <v>1858</v>
      </c>
      <c r="P1" s="338" t="s">
        <v>1857</v>
      </c>
      <c r="Q1" s="338" t="s">
        <v>1856</v>
      </c>
      <c r="R1" s="338" t="s">
        <v>1855</v>
      </c>
      <c r="S1" s="338" t="s">
        <v>1854</v>
      </c>
      <c r="U1" s="339" t="s">
        <v>1853</v>
      </c>
      <c r="V1" s="338" t="s">
        <v>1852</v>
      </c>
      <c r="W1" s="338" t="s">
        <v>1851</v>
      </c>
      <c r="X1" s="338" t="s">
        <v>1850</v>
      </c>
      <c r="Y1" s="338" t="s">
        <v>1849</v>
      </c>
      <c r="Z1" s="338" t="s">
        <v>1848</v>
      </c>
      <c r="AA1" s="338" t="s">
        <v>1847</v>
      </c>
      <c r="AB1" s="338" t="s">
        <v>1788</v>
      </c>
      <c r="AC1" s="338" t="s">
        <v>1846</v>
      </c>
      <c r="AD1" s="338" t="s">
        <v>1845</v>
      </c>
      <c r="AE1" s="338" t="s">
        <v>1844</v>
      </c>
      <c r="AF1" s="338" t="s">
        <v>1843</v>
      </c>
      <c r="AG1" s="338" t="s">
        <v>1842</v>
      </c>
      <c r="AH1" s="338" t="s">
        <v>1841</v>
      </c>
    </row>
    <row r="2" spans="1:47" hidden="1" outlineLevel="1">
      <c r="A2" s="341"/>
      <c r="B2" s="345"/>
      <c r="C2" s="341"/>
      <c r="D2" s="340"/>
      <c r="E2" s="341"/>
      <c r="F2" s="340"/>
      <c r="G2" s="340"/>
      <c r="H2" s="340"/>
      <c r="I2" s="340"/>
      <c r="J2" s="340"/>
      <c r="K2" s="340"/>
      <c r="L2" s="344"/>
      <c r="M2" s="344"/>
      <c r="N2" s="340"/>
      <c r="O2" s="341"/>
      <c r="P2" s="341"/>
      <c r="Q2" s="342"/>
      <c r="R2" s="341"/>
      <c r="S2" s="342"/>
      <c r="T2" s="342">
        <f>Q2-S2</f>
        <v>0</v>
      </c>
      <c r="U2" s="343"/>
      <c r="V2" s="341"/>
      <c r="W2" s="342"/>
      <c r="X2" s="340"/>
      <c r="Y2" s="340"/>
      <c r="Z2" s="340"/>
      <c r="AA2" s="340"/>
      <c r="AB2" s="340"/>
      <c r="AC2" s="340"/>
      <c r="AD2" s="341"/>
      <c r="AE2" s="340"/>
      <c r="AF2" s="341"/>
      <c r="AG2" s="340"/>
      <c r="AH2" s="340"/>
    </row>
    <row r="3" spans="1:47" hidden="1" outlineLevel="1">
      <c r="A3" s="338" t="str">
        <f ca="1">_xll.ReportRange("FARReport",A21:AH687,A1:AH1,A2:AH2,_xll.Param($B$9,$B$10,B12,$K$9,$K$10,$K$11,$Q$9,K12,$W$10,$W$9,Q10,Q11,CELL("address",$D$6)),TRUE,FALSE)</f>
        <v>OK!: ReportRange Formula OK [jAction{}]</v>
      </c>
      <c r="J3" s="365" t="s">
        <v>1840</v>
      </c>
      <c r="K3" s="364">
        <f ca="1">MONTH(NOW())</f>
        <v>9</v>
      </c>
      <c r="Q3" s="338" t="str">
        <f ca="1">_xll.ReportDrill([7]ProjDepr!D3,,_xll.PairGroup(_xll.Pair('FAR 7.31.23'!B9,[7]ProjDepr!D19),_xll.Pair("C:B",[7]ProjDepr!D20),_xll.Pair("C:C",[7]ProjDepr!D21),_xll.Pair("C:V",[7]ProjDepr!D22)),"Projected Depr")</f>
        <v>OK!: ReportDrill 'Projected Depr' Formula OK [jAction{}]</v>
      </c>
      <c r="W3" s="338" t="str">
        <f>_xll.jFreezePanes(#REF!,#REF!)</f>
        <v>Error for jFreezePanes: Unknown Error.</v>
      </c>
      <c r="Z3" s="338" t="str">
        <f ca="1">_xll.jFocus(B9)</f>
        <v xml:space="preserve">&gt; jFocus is ready. </v>
      </c>
    </row>
    <row r="4" spans="1:47" hidden="1" outlineLevel="1">
      <c r="J4" s="365" t="s">
        <v>1839</v>
      </c>
      <c r="K4" s="364">
        <f ca="1">IF(K3=12,YEAR(NOW()),YEAR(NOW()))</f>
        <v>2023</v>
      </c>
      <c r="P4" s="340"/>
      <c r="Q4" s="340" t="s">
        <v>1838</v>
      </c>
      <c r="R4" s="340"/>
      <c r="S4" s="340" t="str">
        <f ca="1">_xll.ReportDrill([7]Invoice!$C$2,,_xll.PairGroup(_xll.Pair("C:P",[7]Invoice!$E$7),_xll.Pair("",[7]Invoice!$E$8,"N"),_xll.Pair("",[7]Invoice!$E$9,"n")),"Drill To All Invoices by PO#")</f>
        <v>OK!: ReportDrill 'Drill To All Invoices by PO#' Formula OK [jAction{}]</v>
      </c>
      <c r="T4" s="340"/>
      <c r="U4" s="363"/>
      <c r="V4" s="340" t="str">
        <f ca="1">_xll.ReportDrill([7]Invoice!$C$2,,_xll.PairGroup(_xll.Pair("C:P",[7]Invoice!$E$7),_xll.Pair("",[7]Invoice!$E$8,"N"),_xll.Pair("C:Z",[7]Invoice!$E$9,"n")),"Drill to Invoice by PO# and Invoice #")</f>
        <v>OK!: ReportDrill 'Drill to Invoice by PO# and Invoice #' Formula OK [jAction{}]</v>
      </c>
    </row>
    <row r="5" spans="1:47" s="348" customFormat="1" ht="18.75" collapsed="1">
      <c r="A5" s="362" t="s">
        <v>1837</v>
      </c>
      <c r="F5" s="361" t="s">
        <v>1836</v>
      </c>
      <c r="G5" s="360">
        <f>COUNT(B21:B687)</f>
        <v>666</v>
      </c>
      <c r="T5" s="351"/>
      <c r="AI5" s="324">
        <v>8</v>
      </c>
      <c r="AJ5" s="330" t="s">
        <v>1896</v>
      </c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</row>
    <row r="6" spans="1:47" s="348" customFormat="1">
      <c r="A6" s="360" t="s">
        <v>1835</v>
      </c>
      <c r="D6" s="348" t="s">
        <v>2141</v>
      </c>
      <c r="U6" s="351"/>
      <c r="AI6" s="324">
        <v>7</v>
      </c>
      <c r="AJ6" s="330" t="s">
        <v>1897</v>
      </c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</row>
    <row r="7" spans="1:47" s="348" customFormat="1">
      <c r="F7" s="353"/>
      <c r="G7" s="353"/>
      <c r="U7" s="351"/>
      <c r="AI7" s="326">
        <v>2022</v>
      </c>
      <c r="AJ7" s="330" t="s">
        <v>1834</v>
      </c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</row>
    <row r="8" spans="1:47" s="348" customFormat="1">
      <c r="A8" s="360"/>
      <c r="P8" s="353"/>
      <c r="U8" s="351"/>
      <c r="AI8" s="326">
        <v>2023</v>
      </c>
      <c r="AJ8" s="330" t="s">
        <v>11</v>
      </c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</row>
    <row r="9" spans="1:47" s="348" customFormat="1">
      <c r="A9" s="353" t="s">
        <v>1833</v>
      </c>
      <c r="B9" s="504" t="s">
        <v>2140</v>
      </c>
      <c r="D9" s="357"/>
      <c r="E9" s="576" t="s">
        <v>1832</v>
      </c>
      <c r="F9" s="576"/>
      <c r="G9" s="576"/>
      <c r="H9" s="576"/>
      <c r="J9" s="353" t="s">
        <v>1831</v>
      </c>
      <c r="K9" s="354"/>
      <c r="L9" s="354"/>
      <c r="M9" s="355" t="s">
        <v>1820</v>
      </c>
      <c r="P9" s="353" t="s">
        <v>1830</v>
      </c>
      <c r="Q9" s="359"/>
      <c r="R9" s="357" t="s">
        <v>1829</v>
      </c>
      <c r="U9" s="351"/>
      <c r="V9" s="353" t="s">
        <v>1828</v>
      </c>
      <c r="W9" s="356"/>
      <c r="AI9" s="327">
        <f>+AI8+(AI6/12)</f>
        <v>2023.5833333333333</v>
      </c>
      <c r="AJ9" s="330" t="s">
        <v>1898</v>
      </c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</row>
    <row r="10" spans="1:47" s="348" customFormat="1">
      <c r="A10" s="353" t="s">
        <v>1827</v>
      </c>
      <c r="B10" s="485" t="s">
        <v>1826</v>
      </c>
      <c r="C10" s="486"/>
      <c r="D10" s="357" t="s">
        <v>1825</v>
      </c>
      <c r="E10" s="576"/>
      <c r="F10" s="576"/>
      <c r="G10" s="576"/>
      <c r="H10" s="576"/>
      <c r="J10" s="353" t="s">
        <v>1824</v>
      </c>
      <c r="K10" s="354"/>
      <c r="L10" s="354"/>
      <c r="M10" s="355" t="s">
        <v>1820</v>
      </c>
      <c r="P10" s="353" t="s">
        <v>1823</v>
      </c>
      <c r="Q10" s="358"/>
      <c r="R10" s="357"/>
      <c r="U10" s="351"/>
      <c r="V10" s="353" t="s">
        <v>1822</v>
      </c>
      <c r="W10" s="356"/>
      <c r="AI10" s="331">
        <f>+AI7+(AI5/12)</f>
        <v>2022.6666666666667</v>
      </c>
      <c r="AJ10" s="330" t="s">
        <v>1899</v>
      </c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</row>
    <row r="11" spans="1:47" s="348" customFormat="1">
      <c r="J11" s="353" t="s">
        <v>1821</v>
      </c>
      <c r="K11" s="354"/>
      <c r="L11" s="354"/>
      <c r="M11" s="355" t="s">
        <v>1820</v>
      </c>
      <c r="P11" s="353" t="s">
        <v>1819</v>
      </c>
      <c r="Q11" s="354"/>
      <c r="U11" s="351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</row>
    <row r="12" spans="1:47" s="348" customFormat="1">
      <c r="A12" s="353" t="s">
        <v>1818</v>
      </c>
      <c r="B12" s="354"/>
      <c r="J12" s="353" t="s">
        <v>1817</v>
      </c>
      <c r="K12" s="352"/>
      <c r="L12" s="352"/>
      <c r="M12" s="348" t="s">
        <v>1815</v>
      </c>
      <c r="P12" s="353" t="s">
        <v>1816</v>
      </c>
      <c r="Q12" s="352"/>
      <c r="R12" s="348" t="s">
        <v>1815</v>
      </c>
      <c r="U12" s="351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</row>
    <row r="13" spans="1:47" s="348" customFormat="1" ht="30.75" thickBot="1">
      <c r="A13" s="349" t="s">
        <v>1814</v>
      </c>
      <c r="B13" s="349" t="s">
        <v>1813</v>
      </c>
      <c r="C13" s="349" t="s">
        <v>1812</v>
      </c>
      <c r="D13" s="349" t="s">
        <v>1811</v>
      </c>
      <c r="E13" s="349" t="s">
        <v>1810</v>
      </c>
      <c r="F13" s="349" t="s">
        <v>1809</v>
      </c>
      <c r="G13" s="349" t="s">
        <v>1808</v>
      </c>
      <c r="H13" s="349" t="s">
        <v>1807</v>
      </c>
      <c r="I13" s="349" t="s">
        <v>1806</v>
      </c>
      <c r="J13" s="349" t="s">
        <v>1805</v>
      </c>
      <c r="K13" s="349" t="s">
        <v>1804</v>
      </c>
      <c r="L13" s="349" t="s">
        <v>1803</v>
      </c>
      <c r="M13" s="349" t="s">
        <v>1802</v>
      </c>
      <c r="N13" s="349" t="s">
        <v>1801</v>
      </c>
      <c r="O13" s="349" t="s">
        <v>1800</v>
      </c>
      <c r="P13" s="349" t="s">
        <v>1799</v>
      </c>
      <c r="Q13" s="349" t="s">
        <v>42</v>
      </c>
      <c r="R13" s="349" t="s">
        <v>1798</v>
      </c>
      <c r="S13" s="349" t="s">
        <v>1797</v>
      </c>
      <c r="T13" s="349" t="s">
        <v>1796</v>
      </c>
      <c r="U13" s="350" t="s">
        <v>1795</v>
      </c>
      <c r="V13" s="349" t="s">
        <v>1794</v>
      </c>
      <c r="W13" s="349" t="s">
        <v>1793</v>
      </c>
      <c r="X13" s="349" t="s">
        <v>1792</v>
      </c>
      <c r="Y13" s="349" t="s">
        <v>1791</v>
      </c>
      <c r="Z13" s="349" t="s">
        <v>1790</v>
      </c>
      <c r="AA13" s="349" t="s">
        <v>1789</v>
      </c>
      <c r="AB13" s="349" t="s">
        <v>1788</v>
      </c>
      <c r="AC13" s="349" t="s">
        <v>1787</v>
      </c>
      <c r="AD13" s="349" t="s">
        <v>1786</v>
      </c>
      <c r="AE13" s="349" t="s">
        <v>1785</v>
      </c>
      <c r="AF13" s="349" t="s">
        <v>1784</v>
      </c>
      <c r="AG13" s="349" t="s">
        <v>1783</v>
      </c>
      <c r="AH13" s="349" t="s">
        <v>1782</v>
      </c>
      <c r="AI13" s="295" t="s">
        <v>1781</v>
      </c>
      <c r="AJ13" s="296" t="s">
        <v>1780</v>
      </c>
      <c r="AK13" s="296" t="s">
        <v>1779</v>
      </c>
      <c r="AL13" s="296" t="s">
        <v>1778</v>
      </c>
      <c r="AM13" s="296" t="s">
        <v>1777</v>
      </c>
      <c r="AN13" s="296" t="s">
        <v>1776</v>
      </c>
      <c r="AO13" s="296" t="s">
        <v>1775</v>
      </c>
      <c r="AP13" s="296" t="s">
        <v>1774</v>
      </c>
      <c r="AQ13" s="296" t="s">
        <v>1773</v>
      </c>
      <c r="AR13" s="296" t="s">
        <v>1772</v>
      </c>
      <c r="AS13" s="296" t="s">
        <v>1771</v>
      </c>
      <c r="AT13" s="296" t="s">
        <v>1770</v>
      </c>
      <c r="AU13" s="295" t="s">
        <v>1769</v>
      </c>
    </row>
    <row r="14" spans="1:47" s="348" customFormat="1" ht="15.75">
      <c r="A14" s="498">
        <v>2112</v>
      </c>
      <c r="B14" s="499">
        <v>313091</v>
      </c>
      <c r="C14" s="498" t="s">
        <v>574</v>
      </c>
      <c r="D14" s="500" t="s">
        <v>427</v>
      </c>
      <c r="E14" s="498">
        <v>720</v>
      </c>
      <c r="F14" s="500"/>
      <c r="G14" s="500" t="s">
        <v>1394</v>
      </c>
      <c r="H14" s="500">
        <v>0</v>
      </c>
      <c r="I14" s="500" t="s">
        <v>2271</v>
      </c>
      <c r="J14" s="500"/>
      <c r="K14" s="501" t="s">
        <v>1564</v>
      </c>
      <c r="L14" s="501">
        <v>45092</v>
      </c>
      <c r="M14" s="501">
        <v>45092</v>
      </c>
      <c r="N14" s="498" t="s">
        <v>2272</v>
      </c>
      <c r="O14" s="498">
        <v>500</v>
      </c>
      <c r="P14" s="498">
        <v>14050</v>
      </c>
      <c r="Q14" s="502">
        <v>8014.68</v>
      </c>
      <c r="R14" s="498">
        <v>14056</v>
      </c>
      <c r="S14" s="502">
        <v>0</v>
      </c>
      <c r="T14" s="502">
        <f t="shared" ref="T14:T20" si="0">Q14-S14</f>
        <v>8014.68</v>
      </c>
      <c r="U14" s="498">
        <v>0</v>
      </c>
      <c r="V14" s="498">
        <v>54260</v>
      </c>
      <c r="W14" s="500">
        <v>0</v>
      </c>
      <c r="X14" s="500" t="s">
        <v>574</v>
      </c>
      <c r="Y14" s="500"/>
      <c r="Z14" s="500">
        <v>34802</v>
      </c>
      <c r="AA14" s="500"/>
      <c r="AB14" s="500" t="s">
        <v>571</v>
      </c>
      <c r="AC14" s="500" t="s">
        <v>570</v>
      </c>
      <c r="AD14" s="498" t="s">
        <v>569</v>
      </c>
      <c r="AE14" s="498"/>
      <c r="AF14" s="367" t="s">
        <v>568</v>
      </c>
      <c r="AG14" s="500">
        <v>0</v>
      </c>
      <c r="AH14" s="500">
        <v>0</v>
      </c>
      <c r="AI14" s="512"/>
      <c r="AJ14" s="513" t="s">
        <v>1894</v>
      </c>
      <c r="AK14" s="333">
        <f t="shared" ref="AK14:AK77" si="1">MONTH($L14)</f>
        <v>6</v>
      </c>
      <c r="AL14" s="333">
        <f t="shared" ref="AL14:AL77" si="2">YEAR($L14)</f>
        <v>2023</v>
      </c>
      <c r="AM14" s="333">
        <f t="shared" ref="AM14:AM77" si="3">$AL14+($O14/100)</f>
        <v>2028</v>
      </c>
      <c r="AN14" s="334">
        <f t="shared" ref="AN14:AN77" si="4">$AM14+($AK14/12)</f>
        <v>2028.5</v>
      </c>
      <c r="AO14" s="335">
        <f t="shared" ref="AO14:AO77" si="5">IFERROR($Q14/($O14/100)/12,0)</f>
        <v>133.578</v>
      </c>
      <c r="AP14" s="335">
        <f t="shared" ref="AP14:AP77" si="6">$AO14*12</f>
        <v>1602.9360000000001</v>
      </c>
      <c r="AQ14" s="332">
        <f t="shared" ref="AQ14:AQ77" si="7">+IF(AN14&lt;=$AI$9,0,AP14)</f>
        <v>1602.9360000000001</v>
      </c>
      <c r="AR14" s="332">
        <f t="shared" ref="AR14:AR77" si="8">+IF(AN14&lt;=$AI$10,Q14,IF((AL14+(AK14/12))&gt;=$AI$10,0,((Q14-((AN14-$AI$10)*12)*AO14))))</f>
        <v>0</v>
      </c>
      <c r="AS14" s="332">
        <f t="shared" ref="AS14:AS77" si="9">+IF(AN14&lt;$AI$9,Q14,AQ14+AR14)</f>
        <v>1602.9360000000001</v>
      </c>
      <c r="AT14" s="332">
        <f t="shared" ref="AT14:AT77" si="10">$Q14-$AS14</f>
        <v>6411.7440000000006</v>
      </c>
      <c r="AU14" s="374" t="s">
        <v>59</v>
      </c>
    </row>
    <row r="15" spans="1:47" s="348" customFormat="1" ht="15.75">
      <c r="A15" s="498">
        <v>2112</v>
      </c>
      <c r="B15" s="499">
        <v>312998</v>
      </c>
      <c r="C15" s="498" t="s">
        <v>574</v>
      </c>
      <c r="D15" s="500" t="s">
        <v>540</v>
      </c>
      <c r="E15" s="498">
        <v>1</v>
      </c>
      <c r="F15" s="500"/>
      <c r="G15" s="500"/>
      <c r="H15" s="500">
        <v>0</v>
      </c>
      <c r="I15" s="500"/>
      <c r="J15" s="500"/>
      <c r="K15" s="501" t="s">
        <v>578</v>
      </c>
      <c r="L15" s="501">
        <v>35704</v>
      </c>
      <c r="M15" s="501">
        <v>35704</v>
      </c>
      <c r="N15" s="498"/>
      <c r="O15" s="498">
        <v>500</v>
      </c>
      <c r="P15" s="498">
        <v>14050</v>
      </c>
      <c r="Q15" s="502">
        <v>188.01</v>
      </c>
      <c r="R15" s="498">
        <v>14056</v>
      </c>
      <c r="S15" s="371">
        <v>188.01</v>
      </c>
      <c r="T15" s="502">
        <f t="shared" si="0"/>
        <v>0</v>
      </c>
      <c r="U15" s="498">
        <v>0</v>
      </c>
      <c r="V15" s="498">
        <v>54260</v>
      </c>
      <c r="W15" s="500">
        <v>0</v>
      </c>
      <c r="X15" s="500" t="s">
        <v>570</v>
      </c>
      <c r="Y15" s="500" t="s">
        <v>2273</v>
      </c>
      <c r="Z15" s="500"/>
      <c r="AA15" s="500"/>
      <c r="AB15" s="500" t="s">
        <v>571</v>
      </c>
      <c r="AC15" s="500" t="s">
        <v>570</v>
      </c>
      <c r="AD15" s="498" t="s">
        <v>569</v>
      </c>
      <c r="AE15" s="373">
        <v>45138</v>
      </c>
      <c r="AF15" s="367" t="s">
        <v>568</v>
      </c>
      <c r="AG15" s="500">
        <v>0</v>
      </c>
      <c r="AH15" s="500">
        <v>0</v>
      </c>
      <c r="AI15" s="512"/>
      <c r="AJ15" s="520" t="s">
        <v>513</v>
      </c>
      <c r="AK15" s="333">
        <f t="shared" si="1"/>
        <v>10</v>
      </c>
      <c r="AL15" s="333">
        <f t="shared" si="2"/>
        <v>1997</v>
      </c>
      <c r="AM15" s="333">
        <f t="shared" si="3"/>
        <v>2002</v>
      </c>
      <c r="AN15" s="334">
        <f t="shared" si="4"/>
        <v>2002.8333333333333</v>
      </c>
      <c r="AO15" s="335">
        <f t="shared" si="5"/>
        <v>3.1334999999999997</v>
      </c>
      <c r="AP15" s="335">
        <f t="shared" si="6"/>
        <v>37.601999999999997</v>
      </c>
      <c r="AQ15" s="332">
        <f t="shared" si="7"/>
        <v>0</v>
      </c>
      <c r="AR15" s="332">
        <f t="shared" si="8"/>
        <v>188.01</v>
      </c>
      <c r="AS15" s="332">
        <f t="shared" si="9"/>
        <v>188.01</v>
      </c>
      <c r="AT15" s="332">
        <f t="shared" si="10"/>
        <v>0</v>
      </c>
      <c r="AU15" s="374" t="s">
        <v>59</v>
      </c>
    </row>
    <row r="16" spans="1:47" s="348" customFormat="1" ht="15.75">
      <c r="A16" s="498">
        <v>2112</v>
      </c>
      <c r="B16" s="499">
        <v>312639</v>
      </c>
      <c r="C16" s="498" t="s">
        <v>574</v>
      </c>
      <c r="D16" s="500" t="s">
        <v>2266</v>
      </c>
      <c r="E16" s="498">
        <v>1</v>
      </c>
      <c r="F16" s="500"/>
      <c r="G16" s="500" t="s">
        <v>1394</v>
      </c>
      <c r="H16" s="500">
        <v>0</v>
      </c>
      <c r="I16" s="500" t="s">
        <v>2267</v>
      </c>
      <c r="J16" s="500"/>
      <c r="K16" s="500"/>
      <c r="L16" s="501">
        <v>45124</v>
      </c>
      <c r="M16" s="501">
        <v>45124</v>
      </c>
      <c r="N16" s="500" t="s">
        <v>2268</v>
      </c>
      <c r="O16" s="498">
        <v>300</v>
      </c>
      <c r="P16" s="498">
        <v>14110</v>
      </c>
      <c r="Q16" s="502">
        <v>202.67</v>
      </c>
      <c r="R16" s="498">
        <v>14116</v>
      </c>
      <c r="S16" s="502">
        <v>0</v>
      </c>
      <c r="T16" s="502">
        <f t="shared" si="0"/>
        <v>202.67</v>
      </c>
      <c r="U16" s="503">
        <v>0</v>
      </c>
      <c r="V16" s="498">
        <v>70260</v>
      </c>
      <c r="W16" s="502">
        <v>0</v>
      </c>
      <c r="X16" s="500" t="s">
        <v>574</v>
      </c>
      <c r="Y16" s="500"/>
      <c r="Z16" s="500" t="s">
        <v>2081</v>
      </c>
      <c r="AA16" s="500"/>
      <c r="AB16" s="500" t="s">
        <v>571</v>
      </c>
      <c r="AC16" s="500" t="s">
        <v>570</v>
      </c>
      <c r="AD16" s="498" t="s">
        <v>569</v>
      </c>
      <c r="AE16" s="500"/>
      <c r="AF16" s="498" t="s">
        <v>568</v>
      </c>
      <c r="AG16" s="500">
        <v>0</v>
      </c>
      <c r="AH16" s="500">
        <v>0</v>
      </c>
      <c r="AI16" s="512"/>
      <c r="AJ16" s="513" t="s">
        <v>81</v>
      </c>
      <c r="AK16" s="333">
        <f t="shared" si="1"/>
        <v>7</v>
      </c>
      <c r="AL16" s="333">
        <f t="shared" si="2"/>
        <v>2023</v>
      </c>
      <c r="AM16" s="333">
        <f t="shared" si="3"/>
        <v>2026</v>
      </c>
      <c r="AN16" s="334">
        <f t="shared" si="4"/>
        <v>2026.5833333333333</v>
      </c>
      <c r="AO16" s="335">
        <f t="shared" si="5"/>
        <v>5.6297222222222212</v>
      </c>
      <c r="AP16" s="335">
        <f t="shared" si="6"/>
        <v>67.556666666666658</v>
      </c>
      <c r="AQ16" s="332">
        <f t="shared" si="7"/>
        <v>67.556666666666658</v>
      </c>
      <c r="AR16" s="332">
        <f t="shared" si="8"/>
        <v>0</v>
      </c>
      <c r="AS16" s="332">
        <f t="shared" si="9"/>
        <v>67.556666666666658</v>
      </c>
      <c r="AT16" s="332">
        <f t="shared" si="10"/>
        <v>135.11333333333334</v>
      </c>
      <c r="AU16" s="374" t="s">
        <v>59</v>
      </c>
    </row>
    <row r="17" spans="1:47" s="348" customFormat="1" ht="15.75">
      <c r="A17" s="498">
        <v>2112</v>
      </c>
      <c r="B17" s="499">
        <v>312638</v>
      </c>
      <c r="C17" s="498" t="s">
        <v>574</v>
      </c>
      <c r="D17" s="500" t="s">
        <v>2269</v>
      </c>
      <c r="E17" s="498">
        <v>1</v>
      </c>
      <c r="F17" s="500"/>
      <c r="G17" s="500" t="s">
        <v>1394</v>
      </c>
      <c r="H17" s="500">
        <v>0</v>
      </c>
      <c r="I17" s="500" t="s">
        <v>2267</v>
      </c>
      <c r="J17" s="500"/>
      <c r="K17" s="500"/>
      <c r="L17" s="501">
        <v>45124</v>
      </c>
      <c r="M17" s="501">
        <v>45124</v>
      </c>
      <c r="N17" s="500" t="s">
        <v>2268</v>
      </c>
      <c r="O17" s="498">
        <v>300</v>
      </c>
      <c r="P17" s="498">
        <v>14110</v>
      </c>
      <c r="Q17" s="502">
        <v>1132.72</v>
      </c>
      <c r="R17" s="498">
        <v>14116</v>
      </c>
      <c r="S17" s="502">
        <v>0</v>
      </c>
      <c r="T17" s="502">
        <f t="shared" si="0"/>
        <v>1132.72</v>
      </c>
      <c r="U17" s="503">
        <v>0</v>
      </c>
      <c r="V17" s="498">
        <v>70260</v>
      </c>
      <c r="W17" s="502">
        <v>0</v>
      </c>
      <c r="X17" s="500" t="s">
        <v>574</v>
      </c>
      <c r="Y17" s="500"/>
      <c r="Z17" s="500" t="s">
        <v>2081</v>
      </c>
      <c r="AA17" s="500"/>
      <c r="AB17" s="500" t="s">
        <v>571</v>
      </c>
      <c r="AC17" s="500" t="s">
        <v>570</v>
      </c>
      <c r="AD17" s="498" t="s">
        <v>569</v>
      </c>
      <c r="AE17" s="500"/>
      <c r="AF17" s="498" t="s">
        <v>568</v>
      </c>
      <c r="AG17" s="500">
        <v>0</v>
      </c>
      <c r="AH17" s="500">
        <v>0</v>
      </c>
      <c r="AI17" s="512"/>
      <c r="AJ17" s="513" t="s">
        <v>81</v>
      </c>
      <c r="AK17" s="333">
        <f t="shared" si="1"/>
        <v>7</v>
      </c>
      <c r="AL17" s="333">
        <f t="shared" si="2"/>
        <v>2023</v>
      </c>
      <c r="AM17" s="333">
        <f t="shared" si="3"/>
        <v>2026</v>
      </c>
      <c r="AN17" s="334">
        <f t="shared" si="4"/>
        <v>2026.5833333333333</v>
      </c>
      <c r="AO17" s="335">
        <f t="shared" si="5"/>
        <v>31.464444444444442</v>
      </c>
      <c r="AP17" s="335">
        <f t="shared" si="6"/>
        <v>377.57333333333332</v>
      </c>
      <c r="AQ17" s="332">
        <f t="shared" si="7"/>
        <v>377.57333333333332</v>
      </c>
      <c r="AR17" s="332">
        <f t="shared" si="8"/>
        <v>0</v>
      </c>
      <c r="AS17" s="332">
        <f t="shared" si="9"/>
        <v>377.57333333333332</v>
      </c>
      <c r="AT17" s="332">
        <f t="shared" si="10"/>
        <v>755.14666666666676</v>
      </c>
      <c r="AU17" s="374" t="s">
        <v>59</v>
      </c>
    </row>
    <row r="18" spans="1:47" s="348" customFormat="1" ht="15.75">
      <c r="A18" s="367">
        <v>2112</v>
      </c>
      <c r="B18" s="368">
        <v>312110</v>
      </c>
      <c r="C18" s="367" t="s">
        <v>574</v>
      </c>
      <c r="D18" s="369" t="s">
        <v>2264</v>
      </c>
      <c r="E18" s="367">
        <v>2</v>
      </c>
      <c r="F18" s="369"/>
      <c r="G18" s="369"/>
      <c r="H18" s="369">
        <v>0</v>
      </c>
      <c r="I18" s="369"/>
      <c r="J18" s="369"/>
      <c r="K18" s="369" t="s">
        <v>722</v>
      </c>
      <c r="L18" s="370">
        <v>39755</v>
      </c>
      <c r="M18" s="370">
        <v>39755</v>
      </c>
      <c r="N18" s="369"/>
      <c r="O18" s="367">
        <v>700</v>
      </c>
      <c r="P18" s="367">
        <v>14050</v>
      </c>
      <c r="Q18" s="371">
        <v>30500</v>
      </c>
      <c r="R18" s="367">
        <v>14056</v>
      </c>
      <c r="S18" s="371">
        <v>30500</v>
      </c>
      <c r="T18" s="371">
        <f t="shared" si="0"/>
        <v>0</v>
      </c>
      <c r="U18" s="372">
        <v>0</v>
      </c>
      <c r="V18" s="367">
        <v>54260</v>
      </c>
      <c r="W18" s="371">
        <v>0</v>
      </c>
      <c r="X18" s="369" t="s">
        <v>570</v>
      </c>
      <c r="Y18" s="369" t="s">
        <v>748</v>
      </c>
      <c r="Z18" s="369"/>
      <c r="AA18" s="369"/>
      <c r="AB18" s="369" t="s">
        <v>571</v>
      </c>
      <c r="AC18" s="369" t="s">
        <v>570</v>
      </c>
      <c r="AD18" s="367" t="s">
        <v>569</v>
      </c>
      <c r="AE18" s="373">
        <v>45138</v>
      </c>
      <c r="AF18" s="367" t="s">
        <v>568</v>
      </c>
      <c r="AG18" s="369">
        <v>0</v>
      </c>
      <c r="AH18" s="369">
        <v>30500</v>
      </c>
      <c r="AI18" s="512"/>
      <c r="AJ18" s="519" t="s">
        <v>257</v>
      </c>
      <c r="AK18" s="333">
        <f t="shared" si="1"/>
        <v>11</v>
      </c>
      <c r="AL18" s="333">
        <f t="shared" si="2"/>
        <v>2008</v>
      </c>
      <c r="AM18" s="333">
        <f t="shared" si="3"/>
        <v>2015</v>
      </c>
      <c r="AN18" s="334">
        <f t="shared" si="4"/>
        <v>2015.9166666666667</v>
      </c>
      <c r="AO18" s="335">
        <f t="shared" si="5"/>
        <v>363.09523809523807</v>
      </c>
      <c r="AP18" s="335">
        <f t="shared" si="6"/>
        <v>4357.1428571428569</v>
      </c>
      <c r="AQ18" s="332">
        <f t="shared" si="7"/>
        <v>0</v>
      </c>
      <c r="AR18" s="332">
        <f t="shared" si="8"/>
        <v>30500</v>
      </c>
      <c r="AS18" s="332">
        <f t="shared" si="9"/>
        <v>30500</v>
      </c>
      <c r="AT18" s="332">
        <f t="shared" si="10"/>
        <v>0</v>
      </c>
      <c r="AU18" s="374" t="s">
        <v>59</v>
      </c>
    </row>
    <row r="19" spans="1:47" s="348" customFormat="1" ht="15.75">
      <c r="A19" s="367">
        <v>2112</v>
      </c>
      <c r="B19" s="368">
        <v>312109</v>
      </c>
      <c r="C19" s="367" t="s">
        <v>574</v>
      </c>
      <c r="D19" s="369" t="s">
        <v>2263</v>
      </c>
      <c r="E19" s="367">
        <v>2</v>
      </c>
      <c r="F19" s="369"/>
      <c r="G19" s="369"/>
      <c r="H19" s="369">
        <v>0</v>
      </c>
      <c r="I19" s="369"/>
      <c r="J19" s="369"/>
      <c r="K19" s="369" t="s">
        <v>575</v>
      </c>
      <c r="L19" s="370">
        <v>39755</v>
      </c>
      <c r="M19" s="370">
        <v>39755</v>
      </c>
      <c r="N19" s="369"/>
      <c r="O19" s="367">
        <v>700</v>
      </c>
      <c r="P19" s="367">
        <v>14050</v>
      </c>
      <c r="Q19" s="371">
        <v>2540.12</v>
      </c>
      <c r="R19" s="367">
        <v>14056</v>
      </c>
      <c r="S19" s="371">
        <v>2540.12</v>
      </c>
      <c r="T19" s="371">
        <f t="shared" si="0"/>
        <v>0</v>
      </c>
      <c r="U19" s="372">
        <v>0</v>
      </c>
      <c r="V19" s="367">
        <v>54260</v>
      </c>
      <c r="W19" s="371">
        <v>0</v>
      </c>
      <c r="X19" s="369" t="s">
        <v>570</v>
      </c>
      <c r="Y19" s="369" t="s">
        <v>748</v>
      </c>
      <c r="Z19" s="369"/>
      <c r="AA19" s="369"/>
      <c r="AB19" s="369" t="s">
        <v>571</v>
      </c>
      <c r="AC19" s="369" t="s">
        <v>570</v>
      </c>
      <c r="AD19" s="367" t="s">
        <v>569</v>
      </c>
      <c r="AE19" s="373">
        <v>45138</v>
      </c>
      <c r="AF19" s="367" t="s">
        <v>568</v>
      </c>
      <c r="AG19" s="369">
        <v>0</v>
      </c>
      <c r="AH19" s="369">
        <v>2540.12</v>
      </c>
      <c r="AI19" s="512"/>
      <c r="AJ19" s="519" t="s">
        <v>257</v>
      </c>
      <c r="AK19" s="333">
        <f t="shared" si="1"/>
        <v>11</v>
      </c>
      <c r="AL19" s="333">
        <f t="shared" si="2"/>
        <v>2008</v>
      </c>
      <c r="AM19" s="333">
        <f t="shared" si="3"/>
        <v>2015</v>
      </c>
      <c r="AN19" s="334">
        <f t="shared" si="4"/>
        <v>2015.9166666666667</v>
      </c>
      <c r="AO19" s="335">
        <f t="shared" si="5"/>
        <v>30.239523809523806</v>
      </c>
      <c r="AP19" s="335">
        <f t="shared" si="6"/>
        <v>362.87428571428569</v>
      </c>
      <c r="AQ19" s="332">
        <f t="shared" si="7"/>
        <v>0</v>
      </c>
      <c r="AR19" s="332">
        <f t="shared" si="8"/>
        <v>2540.12</v>
      </c>
      <c r="AS19" s="332">
        <f t="shared" si="9"/>
        <v>2540.12</v>
      </c>
      <c r="AT19" s="332">
        <f t="shared" si="10"/>
        <v>0</v>
      </c>
      <c r="AU19" s="374" t="s">
        <v>59</v>
      </c>
    </row>
    <row r="20" spans="1:47" s="348" customFormat="1" ht="15.75">
      <c r="A20" s="367">
        <v>2112</v>
      </c>
      <c r="B20" s="368">
        <v>311692</v>
      </c>
      <c r="C20" s="367" t="s">
        <v>574</v>
      </c>
      <c r="D20" s="369" t="s">
        <v>2265</v>
      </c>
      <c r="E20" s="367">
        <v>600</v>
      </c>
      <c r="F20" s="369"/>
      <c r="G20" s="369" t="s">
        <v>1394</v>
      </c>
      <c r="H20" s="369">
        <v>0</v>
      </c>
      <c r="I20" s="369" t="s">
        <v>2261</v>
      </c>
      <c r="J20" s="369"/>
      <c r="K20" s="369" t="s">
        <v>1564</v>
      </c>
      <c r="L20" s="370">
        <v>45110</v>
      </c>
      <c r="M20" s="370">
        <v>45110</v>
      </c>
      <c r="N20" s="369" t="s">
        <v>2262</v>
      </c>
      <c r="O20" s="367">
        <v>700</v>
      </c>
      <c r="P20" s="367">
        <v>14050</v>
      </c>
      <c r="Q20" s="371">
        <v>34826.879999999997</v>
      </c>
      <c r="R20" s="367">
        <v>14056</v>
      </c>
      <c r="S20" s="371">
        <v>0</v>
      </c>
      <c r="T20" s="371">
        <f t="shared" si="0"/>
        <v>34826.879999999997</v>
      </c>
      <c r="U20" s="372">
        <v>0</v>
      </c>
      <c r="V20" s="367">
        <v>54260</v>
      </c>
      <c r="W20" s="371">
        <v>0</v>
      </c>
      <c r="X20" s="369" t="s">
        <v>574</v>
      </c>
      <c r="Y20" s="369"/>
      <c r="Z20" s="369">
        <v>50324791</v>
      </c>
      <c r="AA20" s="369"/>
      <c r="AB20" s="369" t="s">
        <v>571</v>
      </c>
      <c r="AC20" s="369" t="s">
        <v>570</v>
      </c>
      <c r="AD20" s="367" t="s">
        <v>569</v>
      </c>
      <c r="AE20" s="369"/>
      <c r="AF20" s="367" t="s">
        <v>568</v>
      </c>
      <c r="AG20" s="369">
        <v>0</v>
      </c>
      <c r="AH20" s="369">
        <v>0</v>
      </c>
      <c r="AI20" s="512"/>
      <c r="AJ20" s="512" t="s">
        <v>255</v>
      </c>
      <c r="AK20" s="333">
        <f t="shared" si="1"/>
        <v>7</v>
      </c>
      <c r="AL20" s="333">
        <f t="shared" si="2"/>
        <v>2023</v>
      </c>
      <c r="AM20" s="333">
        <f t="shared" si="3"/>
        <v>2030</v>
      </c>
      <c r="AN20" s="334">
        <f t="shared" si="4"/>
        <v>2030.5833333333333</v>
      </c>
      <c r="AO20" s="335">
        <f t="shared" si="5"/>
        <v>414.60571428571421</v>
      </c>
      <c r="AP20" s="335">
        <f t="shared" si="6"/>
        <v>4975.2685714285708</v>
      </c>
      <c r="AQ20" s="332">
        <f t="shared" si="7"/>
        <v>4975.2685714285708</v>
      </c>
      <c r="AR20" s="332">
        <f t="shared" si="8"/>
        <v>0</v>
      </c>
      <c r="AS20" s="332">
        <f t="shared" si="9"/>
        <v>4975.2685714285708</v>
      </c>
      <c r="AT20" s="332">
        <f t="shared" si="10"/>
        <v>29851.611428571428</v>
      </c>
      <c r="AU20" s="374" t="s">
        <v>59</v>
      </c>
    </row>
    <row r="21" spans="1:47" s="366" customFormat="1" ht="15.75">
      <c r="A21" s="367">
        <v>2112</v>
      </c>
      <c r="B21" s="368">
        <v>310045</v>
      </c>
      <c r="C21" s="367" t="s">
        <v>574</v>
      </c>
      <c r="D21" s="369" t="s">
        <v>2038</v>
      </c>
      <c r="E21" s="367"/>
      <c r="F21" s="369" t="s">
        <v>2037</v>
      </c>
      <c r="G21" s="369"/>
      <c r="H21" s="369">
        <v>2004</v>
      </c>
      <c r="I21" s="369"/>
      <c r="J21" s="369"/>
      <c r="K21" s="369" t="s">
        <v>1015</v>
      </c>
      <c r="L21" s="370">
        <v>45108</v>
      </c>
      <c r="M21" s="370">
        <v>45108</v>
      </c>
      <c r="N21" s="369" t="s">
        <v>2036</v>
      </c>
      <c r="O21" s="367">
        <v>0</v>
      </c>
      <c r="P21" s="367">
        <v>14030</v>
      </c>
      <c r="Q21" s="371">
        <v>0</v>
      </c>
      <c r="R21" s="367">
        <v>14036</v>
      </c>
      <c r="S21" s="371">
        <v>0</v>
      </c>
      <c r="T21" s="371">
        <f t="shared" ref="T21:T84" si="11">Q21-S21</f>
        <v>0</v>
      </c>
      <c r="U21" s="372">
        <v>0</v>
      </c>
      <c r="V21" s="367">
        <v>51260</v>
      </c>
      <c r="W21" s="371">
        <v>0</v>
      </c>
      <c r="X21" s="369" t="s">
        <v>574</v>
      </c>
      <c r="Y21" s="369"/>
      <c r="Z21" s="369"/>
      <c r="AA21" s="369"/>
      <c r="AB21" s="369" t="s">
        <v>571</v>
      </c>
      <c r="AC21" s="369" t="s">
        <v>570</v>
      </c>
      <c r="AD21" s="367" t="s">
        <v>596</v>
      </c>
      <c r="AE21" s="369"/>
      <c r="AF21" s="367" t="s">
        <v>568</v>
      </c>
      <c r="AG21" s="369">
        <v>0</v>
      </c>
      <c r="AH21" s="369">
        <v>0</v>
      </c>
      <c r="AI21" s="517" t="s">
        <v>2258</v>
      </c>
      <c r="AJ21" s="521" t="s">
        <v>80</v>
      </c>
      <c r="AK21" s="333">
        <f t="shared" si="1"/>
        <v>7</v>
      </c>
      <c r="AL21" s="333">
        <f t="shared" si="2"/>
        <v>2023</v>
      </c>
      <c r="AM21" s="333">
        <f t="shared" si="3"/>
        <v>2023</v>
      </c>
      <c r="AN21" s="334">
        <f t="shared" si="4"/>
        <v>2023.5833333333333</v>
      </c>
      <c r="AO21" s="335">
        <f t="shared" si="5"/>
        <v>0</v>
      </c>
      <c r="AP21" s="335">
        <f t="shared" si="6"/>
        <v>0</v>
      </c>
      <c r="AQ21" s="332">
        <f t="shared" si="7"/>
        <v>0</v>
      </c>
      <c r="AR21" s="332">
        <f t="shared" si="8"/>
        <v>0</v>
      </c>
      <c r="AS21" s="332">
        <f t="shared" si="9"/>
        <v>0</v>
      </c>
      <c r="AT21" s="332">
        <f t="shared" si="10"/>
        <v>0</v>
      </c>
      <c r="AU21" s="374" t="s">
        <v>59</v>
      </c>
    </row>
    <row r="22" spans="1:47" s="366" customFormat="1" ht="15.75">
      <c r="A22" s="367">
        <v>2112</v>
      </c>
      <c r="B22" s="368">
        <v>309959</v>
      </c>
      <c r="C22" s="367" t="s">
        <v>574</v>
      </c>
      <c r="D22" s="369" t="s">
        <v>2038</v>
      </c>
      <c r="E22" s="367"/>
      <c r="F22" s="369" t="s">
        <v>2037</v>
      </c>
      <c r="G22" s="369"/>
      <c r="H22" s="369">
        <v>2004</v>
      </c>
      <c r="I22" s="369"/>
      <c r="J22" s="369"/>
      <c r="K22" s="369" t="s">
        <v>1015</v>
      </c>
      <c r="L22" s="370">
        <v>45108</v>
      </c>
      <c r="M22" s="370">
        <v>45108</v>
      </c>
      <c r="N22" s="369" t="s">
        <v>2039</v>
      </c>
      <c r="O22" s="367">
        <v>0</v>
      </c>
      <c r="P22" s="367">
        <v>14030</v>
      </c>
      <c r="Q22" s="371">
        <v>0</v>
      </c>
      <c r="R22" s="367">
        <v>14036</v>
      </c>
      <c r="S22" s="371">
        <v>0</v>
      </c>
      <c r="T22" s="371">
        <f t="shared" si="11"/>
        <v>0</v>
      </c>
      <c r="U22" s="372">
        <v>0</v>
      </c>
      <c r="V22" s="367">
        <v>51260</v>
      </c>
      <c r="W22" s="371">
        <v>0</v>
      </c>
      <c r="X22" s="369" t="s">
        <v>574</v>
      </c>
      <c r="Y22" s="369"/>
      <c r="Z22" s="369"/>
      <c r="AA22" s="369"/>
      <c r="AB22" s="369" t="s">
        <v>571</v>
      </c>
      <c r="AC22" s="369" t="s">
        <v>570</v>
      </c>
      <c r="AD22" s="367" t="s">
        <v>596</v>
      </c>
      <c r="AE22" s="369"/>
      <c r="AF22" s="367" t="s">
        <v>568</v>
      </c>
      <c r="AG22" s="369">
        <v>0</v>
      </c>
      <c r="AH22" s="369">
        <v>0</v>
      </c>
      <c r="AI22" s="517" t="s">
        <v>2258</v>
      </c>
      <c r="AJ22" s="521" t="s">
        <v>80</v>
      </c>
      <c r="AK22" s="333">
        <f t="shared" si="1"/>
        <v>7</v>
      </c>
      <c r="AL22" s="333">
        <f t="shared" si="2"/>
        <v>2023</v>
      </c>
      <c r="AM22" s="333">
        <f t="shared" si="3"/>
        <v>2023</v>
      </c>
      <c r="AN22" s="334">
        <f t="shared" si="4"/>
        <v>2023.5833333333333</v>
      </c>
      <c r="AO22" s="335">
        <f t="shared" si="5"/>
        <v>0</v>
      </c>
      <c r="AP22" s="335">
        <f t="shared" si="6"/>
        <v>0</v>
      </c>
      <c r="AQ22" s="332">
        <f t="shared" si="7"/>
        <v>0</v>
      </c>
      <c r="AR22" s="332">
        <f t="shared" si="8"/>
        <v>0</v>
      </c>
      <c r="AS22" s="332">
        <f t="shared" si="9"/>
        <v>0</v>
      </c>
      <c r="AT22" s="332">
        <f t="shared" si="10"/>
        <v>0</v>
      </c>
      <c r="AU22" s="374" t="s">
        <v>59</v>
      </c>
    </row>
    <row r="23" spans="1:47" s="366" customFormat="1" ht="15.75">
      <c r="A23" s="367">
        <v>2112</v>
      </c>
      <c r="B23" s="368">
        <v>309700</v>
      </c>
      <c r="C23" s="367">
        <v>305639</v>
      </c>
      <c r="D23" s="369" t="s">
        <v>2065</v>
      </c>
      <c r="E23" s="367"/>
      <c r="F23" s="369"/>
      <c r="G23" s="369"/>
      <c r="H23" s="369">
        <v>2023</v>
      </c>
      <c r="I23" s="369" t="s">
        <v>2064</v>
      </c>
      <c r="J23" s="369" t="s">
        <v>2064</v>
      </c>
      <c r="K23" s="369" t="s">
        <v>572</v>
      </c>
      <c r="L23" s="370">
        <v>45076</v>
      </c>
      <c r="M23" s="370">
        <v>45076</v>
      </c>
      <c r="N23" s="369" t="s">
        <v>2063</v>
      </c>
      <c r="O23" s="367">
        <v>1000</v>
      </c>
      <c r="P23" s="367">
        <v>14040</v>
      </c>
      <c r="Q23" s="371">
        <v>331.84</v>
      </c>
      <c r="R23" s="367">
        <v>14046</v>
      </c>
      <c r="S23" s="371">
        <v>5.53</v>
      </c>
      <c r="T23" s="371">
        <f t="shared" si="11"/>
        <v>326.31</v>
      </c>
      <c r="U23" s="372">
        <v>5.53</v>
      </c>
      <c r="V23" s="367">
        <v>51260</v>
      </c>
      <c r="W23" s="371">
        <v>2.76</v>
      </c>
      <c r="X23" s="369" t="s">
        <v>574</v>
      </c>
      <c r="Y23" s="369"/>
      <c r="Z23" s="369">
        <v>3277</v>
      </c>
      <c r="AA23" s="369"/>
      <c r="AB23" s="369" t="s">
        <v>571</v>
      </c>
      <c r="AC23" s="369" t="s">
        <v>570</v>
      </c>
      <c r="AD23" s="367" t="s">
        <v>569</v>
      </c>
      <c r="AE23" s="369"/>
      <c r="AF23" s="367" t="s">
        <v>568</v>
      </c>
      <c r="AG23" s="369">
        <v>0</v>
      </c>
      <c r="AH23" s="369">
        <v>0</v>
      </c>
      <c r="AI23" s="517" t="s">
        <v>2259</v>
      </c>
      <c r="AJ23" s="522" t="s">
        <v>1227</v>
      </c>
      <c r="AK23" s="333">
        <f t="shared" si="1"/>
        <v>5</v>
      </c>
      <c r="AL23" s="333">
        <f t="shared" si="2"/>
        <v>2023</v>
      </c>
      <c r="AM23" s="333">
        <f t="shared" si="3"/>
        <v>2033</v>
      </c>
      <c r="AN23" s="334">
        <f t="shared" si="4"/>
        <v>2033.4166666666667</v>
      </c>
      <c r="AO23" s="335">
        <f t="shared" si="5"/>
        <v>2.765333333333333</v>
      </c>
      <c r="AP23" s="335">
        <f t="shared" si="6"/>
        <v>33.183999999999997</v>
      </c>
      <c r="AQ23" s="332">
        <f t="shared" si="7"/>
        <v>33.183999999999997</v>
      </c>
      <c r="AR23" s="332">
        <f t="shared" si="8"/>
        <v>0</v>
      </c>
      <c r="AS23" s="332">
        <f t="shared" si="9"/>
        <v>33.183999999999997</v>
      </c>
      <c r="AT23" s="332">
        <f t="shared" si="10"/>
        <v>298.65599999999995</v>
      </c>
      <c r="AU23" s="374" t="s">
        <v>59</v>
      </c>
    </row>
    <row r="24" spans="1:47" s="366" customFormat="1" ht="15.75">
      <c r="A24" s="367">
        <v>2112</v>
      </c>
      <c r="B24" s="368">
        <v>309410</v>
      </c>
      <c r="C24" s="367">
        <v>305639</v>
      </c>
      <c r="D24" s="369" t="s">
        <v>2067</v>
      </c>
      <c r="E24" s="367"/>
      <c r="F24" s="369"/>
      <c r="G24" s="369"/>
      <c r="H24" s="369">
        <v>2023</v>
      </c>
      <c r="I24" s="369" t="s">
        <v>2064</v>
      </c>
      <c r="J24" s="369" t="s">
        <v>2064</v>
      </c>
      <c r="K24" s="369" t="s">
        <v>572</v>
      </c>
      <c r="L24" s="370">
        <v>45076</v>
      </c>
      <c r="M24" s="370">
        <v>45076</v>
      </c>
      <c r="N24" s="369" t="s">
        <v>2063</v>
      </c>
      <c r="O24" s="367">
        <v>1000</v>
      </c>
      <c r="P24" s="367">
        <v>14040</v>
      </c>
      <c r="Q24" s="371">
        <v>1462.9</v>
      </c>
      <c r="R24" s="367">
        <v>14046</v>
      </c>
      <c r="S24" s="371">
        <v>24.38</v>
      </c>
      <c r="T24" s="371">
        <f t="shared" si="11"/>
        <v>1438.52</v>
      </c>
      <c r="U24" s="372">
        <v>24.38</v>
      </c>
      <c r="V24" s="367">
        <v>51260</v>
      </c>
      <c r="W24" s="371">
        <v>12.19</v>
      </c>
      <c r="X24" s="369" t="s">
        <v>574</v>
      </c>
      <c r="Y24" s="369"/>
      <c r="Z24" s="369" t="s">
        <v>2066</v>
      </c>
      <c r="AA24" s="369"/>
      <c r="AB24" s="369" t="s">
        <v>571</v>
      </c>
      <c r="AC24" s="369" t="s">
        <v>570</v>
      </c>
      <c r="AD24" s="367" t="s">
        <v>569</v>
      </c>
      <c r="AE24" s="369"/>
      <c r="AF24" s="367" t="s">
        <v>568</v>
      </c>
      <c r="AG24" s="369">
        <v>0</v>
      </c>
      <c r="AH24" s="369">
        <v>0</v>
      </c>
      <c r="AI24" s="517" t="s">
        <v>2259</v>
      </c>
      <c r="AJ24" s="519" t="s">
        <v>1227</v>
      </c>
      <c r="AK24" s="333">
        <f t="shared" si="1"/>
        <v>5</v>
      </c>
      <c r="AL24" s="333">
        <f t="shared" si="2"/>
        <v>2023</v>
      </c>
      <c r="AM24" s="333">
        <f t="shared" si="3"/>
        <v>2033</v>
      </c>
      <c r="AN24" s="334">
        <f t="shared" si="4"/>
        <v>2033.4166666666667</v>
      </c>
      <c r="AO24" s="335">
        <f t="shared" si="5"/>
        <v>12.190833333333336</v>
      </c>
      <c r="AP24" s="335">
        <f t="shared" si="6"/>
        <v>146.29000000000002</v>
      </c>
      <c r="AQ24" s="332">
        <f t="shared" si="7"/>
        <v>146.29000000000002</v>
      </c>
      <c r="AR24" s="332">
        <f t="shared" si="8"/>
        <v>0</v>
      </c>
      <c r="AS24" s="332">
        <f t="shared" si="9"/>
        <v>146.29000000000002</v>
      </c>
      <c r="AT24" s="332">
        <f t="shared" si="10"/>
        <v>1316.6100000000001</v>
      </c>
      <c r="AU24" s="374" t="s">
        <v>59</v>
      </c>
    </row>
    <row r="25" spans="1:47" s="366" customFormat="1" ht="15.75">
      <c r="A25" s="367">
        <v>2112</v>
      </c>
      <c r="B25" s="368">
        <v>309409</v>
      </c>
      <c r="C25" s="367">
        <v>305639</v>
      </c>
      <c r="D25" s="369" t="s">
        <v>2067</v>
      </c>
      <c r="E25" s="367"/>
      <c r="F25" s="369"/>
      <c r="G25" s="369"/>
      <c r="H25" s="369">
        <v>2023</v>
      </c>
      <c r="I25" s="369" t="s">
        <v>2064</v>
      </c>
      <c r="J25" s="369" t="s">
        <v>2064</v>
      </c>
      <c r="K25" s="369" t="s">
        <v>572</v>
      </c>
      <c r="L25" s="370">
        <v>45076</v>
      </c>
      <c r="M25" s="370">
        <v>45076</v>
      </c>
      <c r="N25" s="369" t="s">
        <v>2063</v>
      </c>
      <c r="O25" s="367">
        <v>1000</v>
      </c>
      <c r="P25" s="367">
        <v>14040</v>
      </c>
      <c r="Q25" s="371">
        <v>5150</v>
      </c>
      <c r="R25" s="367">
        <v>14046</v>
      </c>
      <c r="S25" s="371">
        <v>85.83</v>
      </c>
      <c r="T25" s="371">
        <f t="shared" si="11"/>
        <v>5064.17</v>
      </c>
      <c r="U25" s="372">
        <v>85.83</v>
      </c>
      <c r="V25" s="367">
        <v>51260</v>
      </c>
      <c r="W25" s="371">
        <v>42.91</v>
      </c>
      <c r="X25" s="369" t="s">
        <v>574</v>
      </c>
      <c r="Y25" s="369"/>
      <c r="Z25" s="369" t="s">
        <v>2068</v>
      </c>
      <c r="AA25" s="369"/>
      <c r="AB25" s="369" t="s">
        <v>571</v>
      </c>
      <c r="AC25" s="369" t="s">
        <v>570</v>
      </c>
      <c r="AD25" s="367" t="s">
        <v>569</v>
      </c>
      <c r="AE25" s="369"/>
      <c r="AF25" s="367" t="s">
        <v>568</v>
      </c>
      <c r="AG25" s="369">
        <v>0</v>
      </c>
      <c r="AH25" s="369">
        <v>0</v>
      </c>
      <c r="AI25" s="517" t="s">
        <v>2259</v>
      </c>
      <c r="AJ25" s="518" t="s">
        <v>1227</v>
      </c>
      <c r="AK25" s="333">
        <f t="shared" si="1"/>
        <v>5</v>
      </c>
      <c r="AL25" s="333">
        <f t="shared" si="2"/>
        <v>2023</v>
      </c>
      <c r="AM25" s="333">
        <f t="shared" si="3"/>
        <v>2033</v>
      </c>
      <c r="AN25" s="334">
        <f t="shared" si="4"/>
        <v>2033.4166666666667</v>
      </c>
      <c r="AO25" s="335">
        <f t="shared" si="5"/>
        <v>42.916666666666664</v>
      </c>
      <c r="AP25" s="335">
        <f t="shared" si="6"/>
        <v>515</v>
      </c>
      <c r="AQ25" s="332">
        <f t="shared" si="7"/>
        <v>515</v>
      </c>
      <c r="AR25" s="332">
        <f t="shared" si="8"/>
        <v>0</v>
      </c>
      <c r="AS25" s="332">
        <f t="shared" si="9"/>
        <v>515</v>
      </c>
      <c r="AT25" s="332">
        <f t="shared" si="10"/>
        <v>4635</v>
      </c>
      <c r="AU25" s="374" t="s">
        <v>59</v>
      </c>
    </row>
    <row r="26" spans="1:47" s="366" customFormat="1" ht="15.75">
      <c r="A26" s="367">
        <v>2112</v>
      </c>
      <c r="B26" s="368">
        <v>309408</v>
      </c>
      <c r="C26" s="367">
        <v>305639</v>
      </c>
      <c r="D26" s="369" t="s">
        <v>2067</v>
      </c>
      <c r="E26" s="367"/>
      <c r="F26" s="369"/>
      <c r="G26" s="369"/>
      <c r="H26" s="369">
        <v>2023</v>
      </c>
      <c r="I26" s="369" t="s">
        <v>2064</v>
      </c>
      <c r="J26" s="369" t="s">
        <v>2064</v>
      </c>
      <c r="K26" s="369" t="s">
        <v>572</v>
      </c>
      <c r="L26" s="370">
        <v>45037</v>
      </c>
      <c r="M26" s="370">
        <v>45037</v>
      </c>
      <c r="N26" s="369" t="s">
        <v>2063</v>
      </c>
      <c r="O26" s="367">
        <v>1000</v>
      </c>
      <c r="P26" s="367">
        <v>14040</v>
      </c>
      <c r="Q26" s="371">
        <v>5150</v>
      </c>
      <c r="R26" s="367">
        <v>14046</v>
      </c>
      <c r="S26" s="371">
        <v>128.75</v>
      </c>
      <c r="T26" s="371">
        <f t="shared" si="11"/>
        <v>5021.25</v>
      </c>
      <c r="U26" s="372">
        <v>128.75</v>
      </c>
      <c r="V26" s="367">
        <v>51260</v>
      </c>
      <c r="W26" s="371">
        <v>42.92</v>
      </c>
      <c r="X26" s="369" t="s">
        <v>574</v>
      </c>
      <c r="Y26" s="369"/>
      <c r="Z26" s="369" t="s">
        <v>2069</v>
      </c>
      <c r="AA26" s="369"/>
      <c r="AB26" s="369" t="s">
        <v>571</v>
      </c>
      <c r="AC26" s="369" t="s">
        <v>570</v>
      </c>
      <c r="AD26" s="367" t="s">
        <v>569</v>
      </c>
      <c r="AE26" s="369"/>
      <c r="AF26" s="367" t="s">
        <v>568</v>
      </c>
      <c r="AG26" s="369">
        <v>0</v>
      </c>
      <c r="AH26" s="369">
        <v>0</v>
      </c>
      <c r="AI26" s="517" t="s">
        <v>2259</v>
      </c>
      <c r="AJ26" s="518" t="s">
        <v>1227</v>
      </c>
      <c r="AK26" s="333">
        <f t="shared" si="1"/>
        <v>4</v>
      </c>
      <c r="AL26" s="333">
        <f t="shared" si="2"/>
        <v>2023</v>
      </c>
      <c r="AM26" s="333">
        <f t="shared" si="3"/>
        <v>2033</v>
      </c>
      <c r="AN26" s="334">
        <f t="shared" si="4"/>
        <v>2033.3333333333333</v>
      </c>
      <c r="AO26" s="335">
        <f t="shared" si="5"/>
        <v>42.916666666666664</v>
      </c>
      <c r="AP26" s="335">
        <f t="shared" si="6"/>
        <v>515</v>
      </c>
      <c r="AQ26" s="332">
        <f t="shared" si="7"/>
        <v>515</v>
      </c>
      <c r="AR26" s="332">
        <f t="shared" si="8"/>
        <v>0</v>
      </c>
      <c r="AS26" s="332">
        <f t="shared" si="9"/>
        <v>515</v>
      </c>
      <c r="AT26" s="332">
        <f t="shared" si="10"/>
        <v>4635</v>
      </c>
      <c r="AU26" s="374" t="s">
        <v>59</v>
      </c>
    </row>
    <row r="27" spans="1:47" s="366" customFormat="1" ht="15.75">
      <c r="A27" s="367">
        <v>2112</v>
      </c>
      <c r="B27" s="368">
        <v>309407</v>
      </c>
      <c r="C27" s="367">
        <v>305639</v>
      </c>
      <c r="D27" s="369" t="s">
        <v>2067</v>
      </c>
      <c r="E27" s="367"/>
      <c r="F27" s="369"/>
      <c r="G27" s="369"/>
      <c r="H27" s="369">
        <v>2023</v>
      </c>
      <c r="I27" s="369" t="s">
        <v>2064</v>
      </c>
      <c r="J27" s="369" t="s">
        <v>2064</v>
      </c>
      <c r="K27" s="369" t="s">
        <v>572</v>
      </c>
      <c r="L27" s="370">
        <v>45037</v>
      </c>
      <c r="M27" s="370">
        <v>45037</v>
      </c>
      <c r="N27" s="369" t="s">
        <v>2063</v>
      </c>
      <c r="O27" s="367">
        <v>1000</v>
      </c>
      <c r="P27" s="367">
        <v>14040</v>
      </c>
      <c r="Q27" s="371">
        <v>5150</v>
      </c>
      <c r="R27" s="367">
        <v>14046</v>
      </c>
      <c r="S27" s="371">
        <v>128.75</v>
      </c>
      <c r="T27" s="371">
        <f t="shared" si="11"/>
        <v>5021.25</v>
      </c>
      <c r="U27" s="372">
        <v>128.75</v>
      </c>
      <c r="V27" s="367">
        <v>51260</v>
      </c>
      <c r="W27" s="371">
        <v>42.92</v>
      </c>
      <c r="X27" s="369" t="s">
        <v>574</v>
      </c>
      <c r="Y27" s="369"/>
      <c r="Z27" s="369" t="s">
        <v>2070</v>
      </c>
      <c r="AA27" s="369"/>
      <c r="AB27" s="369" t="s">
        <v>571</v>
      </c>
      <c r="AC27" s="369" t="s">
        <v>570</v>
      </c>
      <c r="AD27" s="367" t="s">
        <v>569</v>
      </c>
      <c r="AE27" s="369"/>
      <c r="AF27" s="367" t="s">
        <v>568</v>
      </c>
      <c r="AG27" s="369">
        <v>0</v>
      </c>
      <c r="AH27" s="369">
        <v>0</v>
      </c>
      <c r="AI27" s="517" t="s">
        <v>2259</v>
      </c>
      <c r="AJ27" s="518" t="s">
        <v>1227</v>
      </c>
      <c r="AK27" s="333">
        <f t="shared" si="1"/>
        <v>4</v>
      </c>
      <c r="AL27" s="333">
        <f t="shared" si="2"/>
        <v>2023</v>
      </c>
      <c r="AM27" s="333">
        <f t="shared" si="3"/>
        <v>2033</v>
      </c>
      <c r="AN27" s="334">
        <f t="shared" si="4"/>
        <v>2033.3333333333333</v>
      </c>
      <c r="AO27" s="335">
        <f t="shared" si="5"/>
        <v>42.916666666666664</v>
      </c>
      <c r="AP27" s="335">
        <f t="shared" si="6"/>
        <v>515</v>
      </c>
      <c r="AQ27" s="332">
        <f t="shared" si="7"/>
        <v>515</v>
      </c>
      <c r="AR27" s="332">
        <f t="shared" si="8"/>
        <v>0</v>
      </c>
      <c r="AS27" s="332">
        <f t="shared" si="9"/>
        <v>515</v>
      </c>
      <c r="AT27" s="332">
        <f t="shared" si="10"/>
        <v>4635</v>
      </c>
      <c r="AU27" s="374" t="s">
        <v>59</v>
      </c>
    </row>
    <row r="28" spans="1:47" s="366" customFormat="1" ht="15.75">
      <c r="A28" s="367">
        <v>2112</v>
      </c>
      <c r="B28" s="368">
        <v>308418</v>
      </c>
      <c r="C28" s="367">
        <v>308415</v>
      </c>
      <c r="D28" s="369" t="s">
        <v>2043</v>
      </c>
      <c r="E28" s="367">
        <v>0</v>
      </c>
      <c r="F28" s="369" t="s">
        <v>2042</v>
      </c>
      <c r="G28" s="369"/>
      <c r="H28" s="369">
        <v>2008</v>
      </c>
      <c r="I28" s="369"/>
      <c r="J28" s="369"/>
      <c r="K28" s="369" t="s">
        <v>767</v>
      </c>
      <c r="L28" s="370">
        <v>39948</v>
      </c>
      <c r="M28" s="370">
        <v>39948</v>
      </c>
      <c r="N28" s="369" t="s">
        <v>2041</v>
      </c>
      <c r="O28" s="367">
        <v>900</v>
      </c>
      <c r="P28" s="367">
        <v>14040</v>
      </c>
      <c r="Q28" s="371">
        <v>2763</v>
      </c>
      <c r="R28" s="367">
        <v>14046</v>
      </c>
      <c r="S28" s="371">
        <v>2763</v>
      </c>
      <c r="T28" s="371">
        <f t="shared" si="11"/>
        <v>0</v>
      </c>
      <c r="U28" s="372">
        <v>0</v>
      </c>
      <c r="V28" s="367">
        <v>51260</v>
      </c>
      <c r="W28" s="371">
        <v>0</v>
      </c>
      <c r="X28" s="369" t="s">
        <v>574</v>
      </c>
      <c r="Y28" s="369"/>
      <c r="Z28" s="369" t="s">
        <v>2040</v>
      </c>
      <c r="AA28" s="369"/>
      <c r="AB28" s="369" t="s">
        <v>571</v>
      </c>
      <c r="AC28" s="369" t="s">
        <v>570</v>
      </c>
      <c r="AD28" s="367" t="s">
        <v>569</v>
      </c>
      <c r="AE28" s="373">
        <v>45077</v>
      </c>
      <c r="AF28" s="367" t="s">
        <v>568</v>
      </c>
      <c r="AG28" s="369">
        <v>0</v>
      </c>
      <c r="AH28" s="369">
        <v>2763</v>
      </c>
      <c r="AI28" s="517">
        <v>28</v>
      </c>
      <c r="AJ28" s="518" t="s">
        <v>1881</v>
      </c>
      <c r="AK28" s="333">
        <f t="shared" si="1"/>
        <v>5</v>
      </c>
      <c r="AL28" s="333">
        <f t="shared" si="2"/>
        <v>2009</v>
      </c>
      <c r="AM28" s="333">
        <f t="shared" si="3"/>
        <v>2018</v>
      </c>
      <c r="AN28" s="334">
        <f t="shared" si="4"/>
        <v>2018.4166666666667</v>
      </c>
      <c r="AO28" s="335">
        <f t="shared" si="5"/>
        <v>25.583333333333332</v>
      </c>
      <c r="AP28" s="335">
        <f t="shared" si="6"/>
        <v>307</v>
      </c>
      <c r="AQ28" s="332">
        <f t="shared" si="7"/>
        <v>0</v>
      </c>
      <c r="AR28" s="332">
        <f t="shared" si="8"/>
        <v>2763</v>
      </c>
      <c r="AS28" s="332">
        <f t="shared" si="9"/>
        <v>2763</v>
      </c>
      <c r="AT28" s="332">
        <f t="shared" si="10"/>
        <v>0</v>
      </c>
      <c r="AU28" s="374" t="s">
        <v>59</v>
      </c>
    </row>
    <row r="29" spans="1:47" s="366" customFormat="1" ht="15.75">
      <c r="A29" s="367">
        <v>2112</v>
      </c>
      <c r="B29" s="368">
        <v>308417</v>
      </c>
      <c r="C29" s="367">
        <v>308415</v>
      </c>
      <c r="D29" s="369" t="s">
        <v>2044</v>
      </c>
      <c r="E29" s="367">
        <v>0</v>
      </c>
      <c r="F29" s="369">
        <v>718153</v>
      </c>
      <c r="G29" s="369"/>
      <c r="H29" s="369">
        <v>2008</v>
      </c>
      <c r="I29" s="369"/>
      <c r="J29" s="369"/>
      <c r="K29" s="369" t="s">
        <v>767</v>
      </c>
      <c r="L29" s="370">
        <v>39948</v>
      </c>
      <c r="M29" s="370">
        <v>39948</v>
      </c>
      <c r="N29" s="369" t="s">
        <v>2041</v>
      </c>
      <c r="O29" s="367">
        <v>900</v>
      </c>
      <c r="P29" s="367">
        <v>14040</v>
      </c>
      <c r="Q29" s="371">
        <v>1338.31</v>
      </c>
      <c r="R29" s="367">
        <v>14046</v>
      </c>
      <c r="S29" s="371">
        <v>1338.31</v>
      </c>
      <c r="T29" s="371">
        <f t="shared" si="11"/>
        <v>0</v>
      </c>
      <c r="U29" s="372">
        <v>0</v>
      </c>
      <c r="V29" s="367">
        <v>51260</v>
      </c>
      <c r="W29" s="371">
        <v>0</v>
      </c>
      <c r="X29" s="369" t="s">
        <v>574</v>
      </c>
      <c r="Y29" s="369"/>
      <c r="Z29" s="369">
        <v>2045</v>
      </c>
      <c r="AA29" s="369"/>
      <c r="AB29" s="369" t="s">
        <v>571</v>
      </c>
      <c r="AC29" s="369" t="s">
        <v>570</v>
      </c>
      <c r="AD29" s="367" t="s">
        <v>569</v>
      </c>
      <c r="AE29" s="373">
        <v>45077</v>
      </c>
      <c r="AF29" s="367" t="s">
        <v>568</v>
      </c>
      <c r="AG29" s="369">
        <v>0</v>
      </c>
      <c r="AH29" s="369">
        <v>1338.31</v>
      </c>
      <c r="AI29" s="517">
        <v>28</v>
      </c>
      <c r="AJ29" s="518" t="s">
        <v>1881</v>
      </c>
      <c r="AK29" s="333">
        <f t="shared" si="1"/>
        <v>5</v>
      </c>
      <c r="AL29" s="333">
        <f t="shared" si="2"/>
        <v>2009</v>
      </c>
      <c r="AM29" s="333">
        <f t="shared" si="3"/>
        <v>2018</v>
      </c>
      <c r="AN29" s="334">
        <f t="shared" si="4"/>
        <v>2018.4166666666667</v>
      </c>
      <c r="AO29" s="335">
        <f t="shared" si="5"/>
        <v>12.39175925925926</v>
      </c>
      <c r="AP29" s="335">
        <f t="shared" si="6"/>
        <v>148.70111111111112</v>
      </c>
      <c r="AQ29" s="332">
        <f t="shared" si="7"/>
        <v>0</v>
      </c>
      <c r="AR29" s="332">
        <f t="shared" si="8"/>
        <v>1338.31</v>
      </c>
      <c r="AS29" s="332">
        <f t="shared" si="9"/>
        <v>1338.31</v>
      </c>
      <c r="AT29" s="332">
        <f t="shared" si="10"/>
        <v>0</v>
      </c>
      <c r="AU29" s="374" t="s">
        <v>59</v>
      </c>
    </row>
    <row r="30" spans="1:47" s="366" customFormat="1" ht="15.75">
      <c r="A30" s="367">
        <v>2112</v>
      </c>
      <c r="B30" s="368">
        <v>308416</v>
      </c>
      <c r="C30" s="367">
        <v>308415</v>
      </c>
      <c r="D30" s="369" t="s">
        <v>2046</v>
      </c>
      <c r="E30" s="367">
        <v>0</v>
      </c>
      <c r="F30" s="369">
        <v>718153</v>
      </c>
      <c r="G30" s="369"/>
      <c r="H30" s="369">
        <v>2008</v>
      </c>
      <c r="I30" s="369"/>
      <c r="J30" s="369"/>
      <c r="K30" s="369" t="s">
        <v>767</v>
      </c>
      <c r="L30" s="370">
        <v>39948</v>
      </c>
      <c r="M30" s="370">
        <v>39948</v>
      </c>
      <c r="N30" s="369" t="s">
        <v>2041</v>
      </c>
      <c r="O30" s="367">
        <v>900</v>
      </c>
      <c r="P30" s="367">
        <v>14040</v>
      </c>
      <c r="Q30" s="371">
        <v>590</v>
      </c>
      <c r="R30" s="367">
        <v>14046</v>
      </c>
      <c r="S30" s="371">
        <v>590</v>
      </c>
      <c r="T30" s="371">
        <f t="shared" si="11"/>
        <v>0</v>
      </c>
      <c r="U30" s="372">
        <v>0</v>
      </c>
      <c r="V30" s="367">
        <v>51260</v>
      </c>
      <c r="W30" s="371">
        <v>0</v>
      </c>
      <c r="X30" s="369" t="s">
        <v>574</v>
      </c>
      <c r="Y30" s="369"/>
      <c r="Z30" s="369" t="s">
        <v>2045</v>
      </c>
      <c r="AA30" s="369"/>
      <c r="AB30" s="369" t="s">
        <v>571</v>
      </c>
      <c r="AC30" s="369" t="s">
        <v>570</v>
      </c>
      <c r="AD30" s="367" t="s">
        <v>569</v>
      </c>
      <c r="AE30" s="373">
        <v>45077</v>
      </c>
      <c r="AF30" s="367" t="s">
        <v>568</v>
      </c>
      <c r="AG30" s="369">
        <v>0</v>
      </c>
      <c r="AH30" s="369">
        <v>590</v>
      </c>
      <c r="AI30" s="517">
        <v>28</v>
      </c>
      <c r="AJ30" s="518" t="s">
        <v>1881</v>
      </c>
      <c r="AK30" s="333">
        <f t="shared" si="1"/>
        <v>5</v>
      </c>
      <c r="AL30" s="333">
        <f t="shared" si="2"/>
        <v>2009</v>
      </c>
      <c r="AM30" s="333">
        <f t="shared" si="3"/>
        <v>2018</v>
      </c>
      <c r="AN30" s="334">
        <f t="shared" si="4"/>
        <v>2018.4166666666667</v>
      </c>
      <c r="AO30" s="335">
        <f t="shared" si="5"/>
        <v>5.4629629629629628</v>
      </c>
      <c r="AP30" s="335">
        <f t="shared" si="6"/>
        <v>65.555555555555557</v>
      </c>
      <c r="AQ30" s="332">
        <f t="shared" si="7"/>
        <v>0</v>
      </c>
      <c r="AR30" s="332">
        <f t="shared" si="8"/>
        <v>590</v>
      </c>
      <c r="AS30" s="332">
        <f t="shared" si="9"/>
        <v>590</v>
      </c>
      <c r="AT30" s="332">
        <f t="shared" si="10"/>
        <v>0</v>
      </c>
      <c r="AU30" s="374" t="s">
        <v>59</v>
      </c>
    </row>
    <row r="31" spans="1:47" s="366" customFormat="1" ht="15.75">
      <c r="A31" s="367">
        <v>2112</v>
      </c>
      <c r="B31" s="368">
        <v>308415</v>
      </c>
      <c r="C31" s="367" t="s">
        <v>574</v>
      </c>
      <c r="D31" s="369" t="s">
        <v>2048</v>
      </c>
      <c r="E31" s="367">
        <v>0</v>
      </c>
      <c r="F31" s="369" t="s">
        <v>2042</v>
      </c>
      <c r="G31" s="369" t="s">
        <v>2047</v>
      </c>
      <c r="H31" s="369">
        <v>2008</v>
      </c>
      <c r="I31" s="369" t="s">
        <v>759</v>
      </c>
      <c r="J31" s="369" t="s">
        <v>758</v>
      </c>
      <c r="K31" s="369" t="s">
        <v>767</v>
      </c>
      <c r="L31" s="370">
        <v>39948</v>
      </c>
      <c r="M31" s="370">
        <v>39948</v>
      </c>
      <c r="N31" s="369" t="s">
        <v>2041</v>
      </c>
      <c r="O31" s="367">
        <v>900</v>
      </c>
      <c r="P31" s="367">
        <v>14040</v>
      </c>
      <c r="Q31" s="371">
        <v>235798.41</v>
      </c>
      <c r="R31" s="367">
        <v>14046</v>
      </c>
      <c r="S31" s="371">
        <v>235798.41</v>
      </c>
      <c r="T31" s="371">
        <f t="shared" si="11"/>
        <v>0</v>
      </c>
      <c r="U31" s="372">
        <v>0</v>
      </c>
      <c r="V31" s="367">
        <v>51260</v>
      </c>
      <c r="W31" s="371">
        <v>0</v>
      </c>
      <c r="X31" s="369" t="s">
        <v>574</v>
      </c>
      <c r="Y31" s="369"/>
      <c r="Z31" s="369">
        <v>1019602</v>
      </c>
      <c r="AA31" s="369">
        <v>27</v>
      </c>
      <c r="AB31" s="369" t="s">
        <v>571</v>
      </c>
      <c r="AC31" s="369" t="s">
        <v>570</v>
      </c>
      <c r="AD31" s="367" t="s">
        <v>569</v>
      </c>
      <c r="AE31" s="373">
        <v>45077</v>
      </c>
      <c r="AF31" s="367" t="s">
        <v>568</v>
      </c>
      <c r="AG31" s="369">
        <v>0</v>
      </c>
      <c r="AH31" s="369">
        <v>235798.41</v>
      </c>
      <c r="AI31" s="517">
        <v>28</v>
      </c>
      <c r="AJ31" s="518" t="s">
        <v>1881</v>
      </c>
      <c r="AK31" s="333">
        <f t="shared" si="1"/>
        <v>5</v>
      </c>
      <c r="AL31" s="333">
        <f t="shared" si="2"/>
        <v>2009</v>
      </c>
      <c r="AM31" s="333">
        <f t="shared" si="3"/>
        <v>2018</v>
      </c>
      <c r="AN31" s="334">
        <f t="shared" si="4"/>
        <v>2018.4166666666667</v>
      </c>
      <c r="AO31" s="335">
        <f t="shared" si="5"/>
        <v>2183.3186111111113</v>
      </c>
      <c r="AP31" s="335">
        <f t="shared" si="6"/>
        <v>26199.823333333334</v>
      </c>
      <c r="AQ31" s="332">
        <f t="shared" si="7"/>
        <v>0</v>
      </c>
      <c r="AR31" s="332">
        <f t="shared" si="8"/>
        <v>235798.41</v>
      </c>
      <c r="AS31" s="332">
        <f t="shared" si="9"/>
        <v>235798.41</v>
      </c>
      <c r="AT31" s="332">
        <f t="shared" si="10"/>
        <v>0</v>
      </c>
      <c r="AU31" s="374" t="s">
        <v>59</v>
      </c>
    </row>
    <row r="32" spans="1:47" s="366" customFormat="1" ht="15.75">
      <c r="A32" s="367">
        <v>2112</v>
      </c>
      <c r="B32" s="368">
        <v>308293</v>
      </c>
      <c r="C32" s="367" t="s">
        <v>574</v>
      </c>
      <c r="D32" s="369" t="s">
        <v>2051</v>
      </c>
      <c r="E32" s="367">
        <v>1</v>
      </c>
      <c r="F32" s="369"/>
      <c r="G32" s="369"/>
      <c r="H32" s="369">
        <v>0</v>
      </c>
      <c r="I32" s="369" t="s">
        <v>700</v>
      </c>
      <c r="J32" s="369"/>
      <c r="K32" s="369" t="s">
        <v>2050</v>
      </c>
      <c r="L32" s="370">
        <v>37161</v>
      </c>
      <c r="M32" s="370">
        <v>37161</v>
      </c>
      <c r="N32" s="369" t="s">
        <v>2049</v>
      </c>
      <c r="O32" s="367">
        <v>1200</v>
      </c>
      <c r="P32" s="367">
        <v>14050</v>
      </c>
      <c r="Q32" s="371">
        <v>2962</v>
      </c>
      <c r="R32" s="367">
        <v>14056</v>
      </c>
      <c r="S32" s="371">
        <v>2962</v>
      </c>
      <c r="T32" s="371">
        <f t="shared" si="11"/>
        <v>0</v>
      </c>
      <c r="U32" s="372">
        <v>0</v>
      </c>
      <c r="V32" s="367">
        <v>54260</v>
      </c>
      <c r="W32" s="371">
        <v>0</v>
      </c>
      <c r="X32" s="369" t="s">
        <v>574</v>
      </c>
      <c r="Y32" s="369"/>
      <c r="Z32" s="369">
        <v>2002152</v>
      </c>
      <c r="AA32" s="369"/>
      <c r="AB32" s="369" t="s">
        <v>571</v>
      </c>
      <c r="AC32" s="369" t="s">
        <v>570</v>
      </c>
      <c r="AD32" s="367" t="s">
        <v>569</v>
      </c>
      <c r="AE32" s="373">
        <v>45077</v>
      </c>
      <c r="AF32" s="367" t="s">
        <v>568</v>
      </c>
      <c r="AG32" s="369">
        <v>0</v>
      </c>
      <c r="AH32" s="369">
        <v>2962</v>
      </c>
      <c r="AI32" s="517"/>
      <c r="AJ32" s="518" t="s">
        <v>257</v>
      </c>
      <c r="AK32" s="333">
        <f t="shared" si="1"/>
        <v>9</v>
      </c>
      <c r="AL32" s="333">
        <f t="shared" si="2"/>
        <v>2001</v>
      </c>
      <c r="AM32" s="333">
        <f t="shared" si="3"/>
        <v>2013</v>
      </c>
      <c r="AN32" s="334">
        <f t="shared" si="4"/>
        <v>2013.75</v>
      </c>
      <c r="AO32" s="335">
        <f t="shared" si="5"/>
        <v>20.569444444444446</v>
      </c>
      <c r="AP32" s="335">
        <f t="shared" si="6"/>
        <v>246.83333333333337</v>
      </c>
      <c r="AQ32" s="332">
        <f t="shared" si="7"/>
        <v>0</v>
      </c>
      <c r="AR32" s="332">
        <f t="shared" si="8"/>
        <v>2962</v>
      </c>
      <c r="AS32" s="332">
        <f t="shared" si="9"/>
        <v>2962</v>
      </c>
      <c r="AT32" s="332">
        <f t="shared" si="10"/>
        <v>0</v>
      </c>
      <c r="AU32" s="374" t="s">
        <v>59</v>
      </c>
    </row>
    <row r="33" spans="1:47" s="366" customFormat="1" ht="15.75">
      <c r="A33" s="367">
        <v>2112</v>
      </c>
      <c r="B33" s="368">
        <v>308194</v>
      </c>
      <c r="C33" s="367" t="s">
        <v>574</v>
      </c>
      <c r="D33" s="369" t="s">
        <v>2053</v>
      </c>
      <c r="E33" s="367">
        <v>1</v>
      </c>
      <c r="F33" s="369"/>
      <c r="G33" s="369"/>
      <c r="H33" s="369">
        <v>0</v>
      </c>
      <c r="I33" s="369"/>
      <c r="J33" s="369"/>
      <c r="K33" s="369" t="s">
        <v>575</v>
      </c>
      <c r="L33" s="370">
        <v>32690</v>
      </c>
      <c r="M33" s="370">
        <v>32690</v>
      </c>
      <c r="N33" s="369"/>
      <c r="O33" s="367">
        <v>1200</v>
      </c>
      <c r="P33" s="367">
        <v>14050</v>
      </c>
      <c r="Q33" s="371">
        <v>1000</v>
      </c>
      <c r="R33" s="367">
        <v>14056</v>
      </c>
      <c r="S33" s="371">
        <v>1000</v>
      </c>
      <c r="T33" s="371">
        <f t="shared" si="11"/>
        <v>0</v>
      </c>
      <c r="U33" s="372">
        <v>0</v>
      </c>
      <c r="V33" s="367">
        <v>54260</v>
      </c>
      <c r="W33" s="371">
        <v>0</v>
      </c>
      <c r="X33" s="369" t="s">
        <v>570</v>
      </c>
      <c r="Y33" s="369" t="s">
        <v>2052</v>
      </c>
      <c r="Z33" s="369"/>
      <c r="AA33" s="369"/>
      <c r="AB33" s="369" t="s">
        <v>571</v>
      </c>
      <c r="AC33" s="369" t="s">
        <v>570</v>
      </c>
      <c r="AD33" s="367" t="s">
        <v>569</v>
      </c>
      <c r="AE33" s="373">
        <v>45077</v>
      </c>
      <c r="AF33" s="367" t="s">
        <v>568</v>
      </c>
      <c r="AG33" s="369">
        <v>0</v>
      </c>
      <c r="AH33" s="369">
        <v>1000</v>
      </c>
      <c r="AI33" s="517"/>
      <c r="AJ33" s="518" t="s">
        <v>257</v>
      </c>
      <c r="AK33" s="333">
        <f t="shared" si="1"/>
        <v>7</v>
      </c>
      <c r="AL33" s="333">
        <f t="shared" si="2"/>
        <v>1989</v>
      </c>
      <c r="AM33" s="333">
        <f t="shared" si="3"/>
        <v>2001</v>
      </c>
      <c r="AN33" s="334">
        <f t="shared" si="4"/>
        <v>2001.5833333333333</v>
      </c>
      <c r="AO33" s="335">
        <f t="shared" si="5"/>
        <v>6.9444444444444438</v>
      </c>
      <c r="AP33" s="335">
        <f t="shared" si="6"/>
        <v>83.333333333333329</v>
      </c>
      <c r="AQ33" s="332">
        <f t="shared" si="7"/>
        <v>0</v>
      </c>
      <c r="AR33" s="332">
        <f t="shared" si="8"/>
        <v>1000</v>
      </c>
      <c r="AS33" s="332">
        <f t="shared" si="9"/>
        <v>1000</v>
      </c>
      <c r="AT33" s="332">
        <f t="shared" si="10"/>
        <v>0</v>
      </c>
      <c r="AU33" s="374" t="s">
        <v>59</v>
      </c>
    </row>
    <row r="34" spans="1:47" s="366" customFormat="1" ht="15.75">
      <c r="A34" s="367">
        <v>2112</v>
      </c>
      <c r="B34" s="368">
        <v>307783</v>
      </c>
      <c r="C34" s="367" t="s">
        <v>574</v>
      </c>
      <c r="D34" s="369" t="s">
        <v>2054</v>
      </c>
      <c r="E34" s="367">
        <v>360</v>
      </c>
      <c r="F34" s="369"/>
      <c r="G34" s="369"/>
      <c r="H34" s="369">
        <v>0</v>
      </c>
      <c r="I34" s="369"/>
      <c r="J34" s="369"/>
      <c r="K34" s="369"/>
      <c r="L34" s="370">
        <v>39755</v>
      </c>
      <c r="M34" s="370">
        <v>39755</v>
      </c>
      <c r="N34" s="369"/>
      <c r="O34" s="367">
        <v>700</v>
      </c>
      <c r="P34" s="367">
        <v>14050</v>
      </c>
      <c r="Q34" s="371">
        <v>4615.4799999999996</v>
      </c>
      <c r="R34" s="367">
        <v>14056</v>
      </c>
      <c r="S34" s="371">
        <v>4615.4799999999996</v>
      </c>
      <c r="T34" s="371">
        <f t="shared" si="11"/>
        <v>0</v>
      </c>
      <c r="U34" s="372">
        <v>0</v>
      </c>
      <c r="V34" s="367">
        <v>54260</v>
      </c>
      <c r="W34" s="371">
        <v>0</v>
      </c>
      <c r="X34" s="369" t="s">
        <v>570</v>
      </c>
      <c r="Y34" s="369" t="s">
        <v>748</v>
      </c>
      <c r="Z34" s="369"/>
      <c r="AA34" s="369"/>
      <c r="AB34" s="369" t="s">
        <v>571</v>
      </c>
      <c r="AC34" s="369" t="s">
        <v>570</v>
      </c>
      <c r="AD34" s="367" t="s">
        <v>569</v>
      </c>
      <c r="AE34" s="373">
        <v>45077</v>
      </c>
      <c r="AF34" s="367" t="s">
        <v>568</v>
      </c>
      <c r="AG34" s="369">
        <v>0</v>
      </c>
      <c r="AH34" s="369">
        <v>4615.4799999999996</v>
      </c>
      <c r="AI34" s="517"/>
      <c r="AJ34" s="518" t="s">
        <v>513</v>
      </c>
      <c r="AK34" s="333">
        <f t="shared" si="1"/>
        <v>11</v>
      </c>
      <c r="AL34" s="333">
        <f t="shared" si="2"/>
        <v>2008</v>
      </c>
      <c r="AM34" s="333">
        <f t="shared" si="3"/>
        <v>2015</v>
      </c>
      <c r="AN34" s="334">
        <f t="shared" si="4"/>
        <v>2015.9166666666667</v>
      </c>
      <c r="AO34" s="335">
        <f t="shared" si="5"/>
        <v>54.946190476190473</v>
      </c>
      <c r="AP34" s="335">
        <f t="shared" si="6"/>
        <v>659.35428571428565</v>
      </c>
      <c r="AQ34" s="332">
        <f t="shared" si="7"/>
        <v>0</v>
      </c>
      <c r="AR34" s="332">
        <f t="shared" si="8"/>
        <v>4615.4799999999996</v>
      </c>
      <c r="AS34" s="332">
        <f t="shared" si="9"/>
        <v>4615.4799999999996</v>
      </c>
      <c r="AT34" s="332">
        <f t="shared" si="10"/>
        <v>0</v>
      </c>
      <c r="AU34" s="374" t="s">
        <v>59</v>
      </c>
    </row>
    <row r="35" spans="1:47" s="366" customFormat="1" ht="15.75">
      <c r="A35" s="367">
        <v>2112</v>
      </c>
      <c r="B35" s="368">
        <v>307781</v>
      </c>
      <c r="C35" s="367" t="s">
        <v>574</v>
      </c>
      <c r="D35" s="369" t="s">
        <v>749</v>
      </c>
      <c r="E35" s="367">
        <v>94</v>
      </c>
      <c r="F35" s="369"/>
      <c r="G35" s="369"/>
      <c r="H35" s="369">
        <v>0</v>
      </c>
      <c r="I35" s="369"/>
      <c r="J35" s="369"/>
      <c r="K35" s="369" t="s">
        <v>706</v>
      </c>
      <c r="L35" s="370">
        <v>39755</v>
      </c>
      <c r="M35" s="370">
        <v>39755</v>
      </c>
      <c r="N35" s="369"/>
      <c r="O35" s="367">
        <v>1200</v>
      </c>
      <c r="P35" s="367">
        <v>14050</v>
      </c>
      <c r="Q35" s="371">
        <v>3088.32</v>
      </c>
      <c r="R35" s="367">
        <v>14056</v>
      </c>
      <c r="S35" s="371">
        <v>3088.32</v>
      </c>
      <c r="T35" s="371">
        <f t="shared" si="11"/>
        <v>0</v>
      </c>
      <c r="U35" s="372">
        <v>0</v>
      </c>
      <c r="V35" s="367">
        <v>54260</v>
      </c>
      <c r="W35" s="371">
        <v>0</v>
      </c>
      <c r="X35" s="369" t="s">
        <v>570</v>
      </c>
      <c r="Y35" s="369" t="s">
        <v>748</v>
      </c>
      <c r="Z35" s="369"/>
      <c r="AA35" s="369"/>
      <c r="AB35" s="369" t="s">
        <v>571</v>
      </c>
      <c r="AC35" s="369" t="s">
        <v>570</v>
      </c>
      <c r="AD35" s="367" t="s">
        <v>569</v>
      </c>
      <c r="AE35" s="373">
        <v>45077</v>
      </c>
      <c r="AF35" s="367" t="s">
        <v>568</v>
      </c>
      <c r="AG35" s="369">
        <v>0</v>
      </c>
      <c r="AH35" s="369">
        <v>3088.32</v>
      </c>
      <c r="AI35" s="517"/>
      <c r="AJ35" s="518" t="s">
        <v>513</v>
      </c>
      <c r="AK35" s="333">
        <f t="shared" si="1"/>
        <v>11</v>
      </c>
      <c r="AL35" s="333">
        <f t="shared" si="2"/>
        <v>2008</v>
      </c>
      <c r="AM35" s="333">
        <f t="shared" si="3"/>
        <v>2020</v>
      </c>
      <c r="AN35" s="334">
        <f t="shared" si="4"/>
        <v>2020.9166666666667</v>
      </c>
      <c r="AO35" s="335">
        <f t="shared" si="5"/>
        <v>21.446666666666669</v>
      </c>
      <c r="AP35" s="335">
        <f t="shared" si="6"/>
        <v>257.36</v>
      </c>
      <c r="AQ35" s="332">
        <f t="shared" si="7"/>
        <v>0</v>
      </c>
      <c r="AR35" s="332">
        <f t="shared" si="8"/>
        <v>3088.32</v>
      </c>
      <c r="AS35" s="332">
        <f t="shared" si="9"/>
        <v>3088.32</v>
      </c>
      <c r="AT35" s="332">
        <f t="shared" si="10"/>
        <v>0</v>
      </c>
      <c r="AU35" s="374" t="s">
        <v>59</v>
      </c>
    </row>
    <row r="36" spans="1:47" s="366" customFormat="1" ht="15.75">
      <c r="A36" s="367">
        <v>2112</v>
      </c>
      <c r="B36" s="368">
        <v>307488</v>
      </c>
      <c r="C36" s="367" t="s">
        <v>574</v>
      </c>
      <c r="D36" s="369" t="s">
        <v>538</v>
      </c>
      <c r="E36" s="367">
        <v>8</v>
      </c>
      <c r="F36" s="369"/>
      <c r="G36" s="369"/>
      <c r="H36" s="369">
        <v>0</v>
      </c>
      <c r="I36" s="369"/>
      <c r="J36" s="369"/>
      <c r="K36" s="369" t="s">
        <v>706</v>
      </c>
      <c r="L36" s="370">
        <v>37196</v>
      </c>
      <c r="M36" s="370">
        <v>37196</v>
      </c>
      <c r="N36" s="369"/>
      <c r="O36" s="367">
        <v>600</v>
      </c>
      <c r="P36" s="367">
        <v>14050</v>
      </c>
      <c r="Q36" s="371">
        <v>123.39</v>
      </c>
      <c r="R36" s="367">
        <v>14056</v>
      </c>
      <c r="S36" s="371">
        <v>123.39</v>
      </c>
      <c r="T36" s="371">
        <f t="shared" si="11"/>
        <v>0</v>
      </c>
      <c r="U36" s="372">
        <v>0</v>
      </c>
      <c r="V36" s="367">
        <v>54260</v>
      </c>
      <c r="W36" s="371">
        <v>0</v>
      </c>
      <c r="X36" s="369" t="s">
        <v>570</v>
      </c>
      <c r="Y36" s="369" t="s">
        <v>1943</v>
      </c>
      <c r="Z36" s="369"/>
      <c r="AA36" s="369"/>
      <c r="AB36" s="369" t="s">
        <v>571</v>
      </c>
      <c r="AC36" s="369" t="s">
        <v>570</v>
      </c>
      <c r="AD36" s="367" t="s">
        <v>569</v>
      </c>
      <c r="AE36" s="373">
        <v>45077</v>
      </c>
      <c r="AF36" s="367" t="s">
        <v>568</v>
      </c>
      <c r="AG36" s="369">
        <v>0</v>
      </c>
      <c r="AH36" s="369">
        <v>123.39</v>
      </c>
      <c r="AI36" s="517"/>
      <c r="AJ36" s="518" t="s">
        <v>513</v>
      </c>
      <c r="AK36" s="333">
        <f t="shared" si="1"/>
        <v>11</v>
      </c>
      <c r="AL36" s="333">
        <f t="shared" si="2"/>
        <v>2001</v>
      </c>
      <c r="AM36" s="333">
        <f t="shared" si="3"/>
        <v>2007</v>
      </c>
      <c r="AN36" s="334">
        <f t="shared" si="4"/>
        <v>2007.9166666666667</v>
      </c>
      <c r="AO36" s="335">
        <f t="shared" si="5"/>
        <v>1.7137500000000001</v>
      </c>
      <c r="AP36" s="335">
        <f t="shared" si="6"/>
        <v>20.565000000000001</v>
      </c>
      <c r="AQ36" s="332">
        <f t="shared" si="7"/>
        <v>0</v>
      </c>
      <c r="AR36" s="332">
        <f t="shared" si="8"/>
        <v>123.39</v>
      </c>
      <c r="AS36" s="332">
        <f t="shared" si="9"/>
        <v>123.39</v>
      </c>
      <c r="AT36" s="332">
        <f t="shared" si="10"/>
        <v>0</v>
      </c>
      <c r="AU36" s="374" t="s">
        <v>59</v>
      </c>
    </row>
    <row r="37" spans="1:47" s="366" customFormat="1" ht="15.75">
      <c r="A37" s="367">
        <v>2112</v>
      </c>
      <c r="B37" s="368">
        <v>307485</v>
      </c>
      <c r="C37" s="367" t="s">
        <v>574</v>
      </c>
      <c r="D37" s="369" t="s">
        <v>538</v>
      </c>
      <c r="E37" s="367">
        <v>37</v>
      </c>
      <c r="F37" s="369"/>
      <c r="G37" s="369"/>
      <c r="H37" s="369">
        <v>0</v>
      </c>
      <c r="I37" s="369"/>
      <c r="J37" s="369"/>
      <c r="K37" s="369" t="s">
        <v>706</v>
      </c>
      <c r="L37" s="370">
        <v>37073</v>
      </c>
      <c r="M37" s="370">
        <v>37073</v>
      </c>
      <c r="N37" s="369"/>
      <c r="O37" s="367">
        <v>600</v>
      </c>
      <c r="P37" s="367">
        <v>14050</v>
      </c>
      <c r="Q37" s="371">
        <v>455.03</v>
      </c>
      <c r="R37" s="367">
        <v>14056</v>
      </c>
      <c r="S37" s="371">
        <v>455.03</v>
      </c>
      <c r="T37" s="371">
        <f t="shared" si="11"/>
        <v>0</v>
      </c>
      <c r="U37" s="372">
        <v>0</v>
      </c>
      <c r="V37" s="367">
        <v>54260</v>
      </c>
      <c r="W37" s="371">
        <v>0</v>
      </c>
      <c r="X37" s="369" t="s">
        <v>570</v>
      </c>
      <c r="Y37" s="369" t="s">
        <v>2055</v>
      </c>
      <c r="Z37" s="369"/>
      <c r="AA37" s="369"/>
      <c r="AB37" s="369" t="s">
        <v>571</v>
      </c>
      <c r="AC37" s="369" t="s">
        <v>570</v>
      </c>
      <c r="AD37" s="367" t="s">
        <v>569</v>
      </c>
      <c r="AE37" s="373">
        <v>45077</v>
      </c>
      <c r="AF37" s="367" t="s">
        <v>568</v>
      </c>
      <c r="AG37" s="369">
        <v>0</v>
      </c>
      <c r="AH37" s="369">
        <v>455.03</v>
      </c>
      <c r="AI37" s="517"/>
      <c r="AJ37" s="518" t="s">
        <v>513</v>
      </c>
      <c r="AK37" s="333">
        <f t="shared" si="1"/>
        <v>7</v>
      </c>
      <c r="AL37" s="333">
        <f t="shared" si="2"/>
        <v>2001</v>
      </c>
      <c r="AM37" s="333">
        <f t="shared" si="3"/>
        <v>2007</v>
      </c>
      <c r="AN37" s="334">
        <f t="shared" si="4"/>
        <v>2007.5833333333333</v>
      </c>
      <c r="AO37" s="335">
        <f t="shared" si="5"/>
        <v>6.31986111111111</v>
      </c>
      <c r="AP37" s="335">
        <f t="shared" si="6"/>
        <v>75.838333333333324</v>
      </c>
      <c r="AQ37" s="332">
        <f t="shared" si="7"/>
        <v>0</v>
      </c>
      <c r="AR37" s="332">
        <f t="shared" si="8"/>
        <v>455.03</v>
      </c>
      <c r="AS37" s="332">
        <f t="shared" si="9"/>
        <v>455.03</v>
      </c>
      <c r="AT37" s="332">
        <f t="shared" si="10"/>
        <v>0</v>
      </c>
      <c r="AU37" s="374" t="s">
        <v>59</v>
      </c>
    </row>
    <row r="38" spans="1:47" s="366" customFormat="1" ht="15.75">
      <c r="A38" s="367">
        <v>2112</v>
      </c>
      <c r="B38" s="368">
        <v>307479</v>
      </c>
      <c r="C38" s="367" t="s">
        <v>574</v>
      </c>
      <c r="D38" s="369" t="s">
        <v>2057</v>
      </c>
      <c r="E38" s="367">
        <v>24</v>
      </c>
      <c r="F38" s="369"/>
      <c r="G38" s="369"/>
      <c r="H38" s="369">
        <v>0</v>
      </c>
      <c r="I38" s="369"/>
      <c r="J38" s="369"/>
      <c r="K38" s="369" t="s">
        <v>673</v>
      </c>
      <c r="L38" s="370">
        <v>34576</v>
      </c>
      <c r="M38" s="370">
        <v>34576</v>
      </c>
      <c r="N38" s="369"/>
      <c r="O38" s="367">
        <v>1200</v>
      </c>
      <c r="P38" s="367">
        <v>14050</v>
      </c>
      <c r="Q38" s="371">
        <v>1618.5</v>
      </c>
      <c r="R38" s="367">
        <v>14056</v>
      </c>
      <c r="S38" s="371">
        <v>1618.5</v>
      </c>
      <c r="T38" s="371">
        <f t="shared" si="11"/>
        <v>0</v>
      </c>
      <c r="U38" s="372">
        <v>0</v>
      </c>
      <c r="V38" s="367">
        <v>54260</v>
      </c>
      <c r="W38" s="371">
        <v>0</v>
      </c>
      <c r="X38" s="369" t="s">
        <v>570</v>
      </c>
      <c r="Y38" s="369" t="s">
        <v>2056</v>
      </c>
      <c r="Z38" s="369"/>
      <c r="AA38" s="369"/>
      <c r="AB38" s="369" t="s">
        <v>571</v>
      </c>
      <c r="AC38" s="369" t="s">
        <v>570</v>
      </c>
      <c r="AD38" s="367" t="s">
        <v>569</v>
      </c>
      <c r="AE38" s="373">
        <v>45077</v>
      </c>
      <c r="AF38" s="367" t="s">
        <v>568</v>
      </c>
      <c r="AG38" s="369">
        <v>0</v>
      </c>
      <c r="AH38" s="369">
        <v>1618.5</v>
      </c>
      <c r="AI38" s="517"/>
      <c r="AJ38" s="518" t="s">
        <v>513</v>
      </c>
      <c r="AK38" s="333">
        <f t="shared" si="1"/>
        <v>8</v>
      </c>
      <c r="AL38" s="333">
        <f t="shared" si="2"/>
        <v>1994</v>
      </c>
      <c r="AM38" s="333">
        <f t="shared" si="3"/>
        <v>2006</v>
      </c>
      <c r="AN38" s="334">
        <f t="shared" si="4"/>
        <v>2006.6666666666667</v>
      </c>
      <c r="AO38" s="335">
        <f t="shared" si="5"/>
        <v>11.239583333333334</v>
      </c>
      <c r="AP38" s="335">
        <f t="shared" si="6"/>
        <v>134.875</v>
      </c>
      <c r="AQ38" s="332">
        <f t="shared" si="7"/>
        <v>0</v>
      </c>
      <c r="AR38" s="332">
        <f t="shared" si="8"/>
        <v>1618.5</v>
      </c>
      <c r="AS38" s="332">
        <f t="shared" si="9"/>
        <v>1618.5</v>
      </c>
      <c r="AT38" s="332">
        <f t="shared" si="10"/>
        <v>0</v>
      </c>
      <c r="AU38" s="374" t="s">
        <v>59</v>
      </c>
    </row>
    <row r="39" spans="1:47" s="366" customFormat="1" ht="15.75">
      <c r="A39" s="367">
        <v>2112</v>
      </c>
      <c r="B39" s="368">
        <v>305964</v>
      </c>
      <c r="C39" s="367" t="s">
        <v>574</v>
      </c>
      <c r="D39" s="369" t="s">
        <v>2062</v>
      </c>
      <c r="E39" s="367">
        <v>15</v>
      </c>
      <c r="F39" s="369"/>
      <c r="G39" s="369" t="s">
        <v>1394</v>
      </c>
      <c r="H39" s="369">
        <v>0</v>
      </c>
      <c r="I39" s="369" t="s">
        <v>2061</v>
      </c>
      <c r="J39" s="369"/>
      <c r="K39" s="369" t="s">
        <v>2060</v>
      </c>
      <c r="L39" s="370">
        <v>45047</v>
      </c>
      <c r="M39" s="370">
        <v>45047</v>
      </c>
      <c r="N39" s="369" t="s">
        <v>2059</v>
      </c>
      <c r="O39" s="367">
        <v>1200</v>
      </c>
      <c r="P39" s="367">
        <v>14050</v>
      </c>
      <c r="Q39" s="371">
        <v>11837.1</v>
      </c>
      <c r="R39" s="367">
        <v>14056</v>
      </c>
      <c r="S39" s="371">
        <v>246.61</v>
      </c>
      <c r="T39" s="371">
        <f t="shared" si="11"/>
        <v>11590.49</v>
      </c>
      <c r="U39" s="372">
        <v>246.61</v>
      </c>
      <c r="V39" s="367">
        <v>54260</v>
      </c>
      <c r="W39" s="371">
        <v>82.2</v>
      </c>
      <c r="X39" s="369" t="s">
        <v>574</v>
      </c>
      <c r="Y39" s="369"/>
      <c r="Z39" s="369" t="s">
        <v>2058</v>
      </c>
      <c r="AA39" s="369"/>
      <c r="AB39" s="369" t="s">
        <v>571</v>
      </c>
      <c r="AC39" s="369" t="s">
        <v>570</v>
      </c>
      <c r="AD39" s="367" t="s">
        <v>569</v>
      </c>
      <c r="AE39" s="369"/>
      <c r="AF39" s="367" t="s">
        <v>568</v>
      </c>
      <c r="AG39" s="369">
        <v>0</v>
      </c>
      <c r="AH39" s="369">
        <v>0</v>
      </c>
      <c r="AI39" s="517"/>
      <c r="AJ39" s="518" t="s">
        <v>513</v>
      </c>
      <c r="AK39" s="333">
        <f t="shared" si="1"/>
        <v>5</v>
      </c>
      <c r="AL39" s="333">
        <f t="shared" si="2"/>
        <v>2023</v>
      </c>
      <c r="AM39" s="333">
        <f t="shared" si="3"/>
        <v>2035</v>
      </c>
      <c r="AN39" s="334">
        <f t="shared" si="4"/>
        <v>2035.4166666666667</v>
      </c>
      <c r="AO39" s="335">
        <f t="shared" si="5"/>
        <v>82.202083333333334</v>
      </c>
      <c r="AP39" s="335">
        <f t="shared" si="6"/>
        <v>986.42499999999995</v>
      </c>
      <c r="AQ39" s="332">
        <f t="shared" si="7"/>
        <v>986.42499999999995</v>
      </c>
      <c r="AR39" s="332">
        <f t="shared" si="8"/>
        <v>0</v>
      </c>
      <c r="AS39" s="332">
        <f t="shared" si="9"/>
        <v>986.42499999999995</v>
      </c>
      <c r="AT39" s="332">
        <f t="shared" si="10"/>
        <v>10850.675000000001</v>
      </c>
      <c r="AU39" s="374" t="s">
        <v>59</v>
      </c>
    </row>
    <row r="40" spans="1:47" s="366" customFormat="1" ht="15.75">
      <c r="A40" s="367">
        <v>2112</v>
      </c>
      <c r="B40" s="368">
        <v>305963</v>
      </c>
      <c r="C40" s="367" t="s">
        <v>574</v>
      </c>
      <c r="D40" s="369" t="s">
        <v>1070</v>
      </c>
      <c r="E40" s="367">
        <v>15</v>
      </c>
      <c r="F40" s="369"/>
      <c r="G40" s="369" t="s">
        <v>1394</v>
      </c>
      <c r="H40" s="369">
        <v>0</v>
      </c>
      <c r="I40" s="369" t="s">
        <v>2061</v>
      </c>
      <c r="J40" s="369"/>
      <c r="K40" s="369" t="s">
        <v>1986</v>
      </c>
      <c r="L40" s="370">
        <v>45047</v>
      </c>
      <c r="M40" s="370">
        <v>45047</v>
      </c>
      <c r="N40" s="369" t="s">
        <v>2059</v>
      </c>
      <c r="O40" s="367">
        <v>1200</v>
      </c>
      <c r="P40" s="367">
        <v>14050</v>
      </c>
      <c r="Q40" s="371">
        <v>11347.5</v>
      </c>
      <c r="R40" s="367">
        <v>14056</v>
      </c>
      <c r="S40" s="371">
        <v>236.41</v>
      </c>
      <c r="T40" s="371">
        <f t="shared" si="11"/>
        <v>11111.09</v>
      </c>
      <c r="U40" s="372">
        <v>236.41</v>
      </c>
      <c r="V40" s="367">
        <v>54260</v>
      </c>
      <c r="W40" s="371">
        <v>78.8</v>
      </c>
      <c r="X40" s="369" t="s">
        <v>574</v>
      </c>
      <c r="Y40" s="369"/>
      <c r="Z40" s="369" t="s">
        <v>2058</v>
      </c>
      <c r="AA40" s="369"/>
      <c r="AB40" s="369" t="s">
        <v>571</v>
      </c>
      <c r="AC40" s="369" t="s">
        <v>570</v>
      </c>
      <c r="AD40" s="367" t="s">
        <v>569</v>
      </c>
      <c r="AE40" s="369"/>
      <c r="AF40" s="367" t="s">
        <v>568</v>
      </c>
      <c r="AG40" s="369">
        <v>0</v>
      </c>
      <c r="AH40" s="369">
        <v>0</v>
      </c>
      <c r="AI40" s="517"/>
      <c r="AJ40" s="518" t="s">
        <v>513</v>
      </c>
      <c r="AK40" s="333">
        <f t="shared" si="1"/>
        <v>5</v>
      </c>
      <c r="AL40" s="333">
        <f t="shared" si="2"/>
        <v>2023</v>
      </c>
      <c r="AM40" s="333">
        <f t="shared" si="3"/>
        <v>2035</v>
      </c>
      <c r="AN40" s="334">
        <f t="shared" si="4"/>
        <v>2035.4166666666667</v>
      </c>
      <c r="AO40" s="335">
        <f t="shared" si="5"/>
        <v>78.802083333333329</v>
      </c>
      <c r="AP40" s="335">
        <f t="shared" si="6"/>
        <v>945.625</v>
      </c>
      <c r="AQ40" s="332">
        <f t="shared" si="7"/>
        <v>945.625</v>
      </c>
      <c r="AR40" s="332">
        <f t="shared" si="8"/>
        <v>0</v>
      </c>
      <c r="AS40" s="332">
        <f t="shared" si="9"/>
        <v>945.625</v>
      </c>
      <c r="AT40" s="332">
        <f t="shared" si="10"/>
        <v>10401.875</v>
      </c>
      <c r="AU40" s="374" t="s">
        <v>59</v>
      </c>
    </row>
    <row r="41" spans="1:47" s="366" customFormat="1" ht="15.75">
      <c r="A41" s="367">
        <v>2112</v>
      </c>
      <c r="B41" s="368">
        <v>305639</v>
      </c>
      <c r="C41" s="367" t="s">
        <v>574</v>
      </c>
      <c r="D41" s="369" t="s">
        <v>2075</v>
      </c>
      <c r="E41" s="367"/>
      <c r="F41" s="369" t="s">
        <v>2072</v>
      </c>
      <c r="G41" s="369"/>
      <c r="H41" s="369">
        <v>2023</v>
      </c>
      <c r="I41" s="369"/>
      <c r="J41" s="369"/>
      <c r="K41" s="369" t="s">
        <v>2074</v>
      </c>
      <c r="L41" s="370">
        <v>45037</v>
      </c>
      <c r="M41" s="370">
        <v>45037</v>
      </c>
      <c r="N41" s="369" t="s">
        <v>2063</v>
      </c>
      <c r="O41" s="367">
        <v>1000</v>
      </c>
      <c r="P41" s="367">
        <v>14040</v>
      </c>
      <c r="Q41" s="371">
        <v>183264</v>
      </c>
      <c r="R41" s="367">
        <v>14046</v>
      </c>
      <c r="S41" s="371">
        <v>4581.6000000000004</v>
      </c>
      <c r="T41" s="371">
        <f t="shared" si="11"/>
        <v>178682.4</v>
      </c>
      <c r="U41" s="372">
        <v>4581.6000000000004</v>
      </c>
      <c r="V41" s="367">
        <v>51260</v>
      </c>
      <c r="W41" s="371">
        <v>1527.2</v>
      </c>
      <c r="X41" s="369" t="s">
        <v>574</v>
      </c>
      <c r="Y41" s="369"/>
      <c r="Z41" s="369"/>
      <c r="AA41" s="369"/>
      <c r="AB41" s="369" t="s">
        <v>571</v>
      </c>
      <c r="AC41" s="369" t="s">
        <v>570</v>
      </c>
      <c r="AD41" s="367" t="s">
        <v>569</v>
      </c>
      <c r="AE41" s="369"/>
      <c r="AF41" s="367" t="s">
        <v>568</v>
      </c>
      <c r="AG41" s="369">
        <v>0</v>
      </c>
      <c r="AH41" s="369">
        <v>0</v>
      </c>
      <c r="AI41" s="517" t="s">
        <v>2259</v>
      </c>
      <c r="AJ41" s="518" t="s">
        <v>1227</v>
      </c>
      <c r="AK41" s="333">
        <f t="shared" si="1"/>
        <v>4</v>
      </c>
      <c r="AL41" s="333">
        <f t="shared" si="2"/>
        <v>2023</v>
      </c>
      <c r="AM41" s="333">
        <f t="shared" si="3"/>
        <v>2033</v>
      </c>
      <c r="AN41" s="334">
        <f t="shared" si="4"/>
        <v>2033.3333333333333</v>
      </c>
      <c r="AO41" s="335">
        <f t="shared" si="5"/>
        <v>1527.2</v>
      </c>
      <c r="AP41" s="335">
        <f t="shared" si="6"/>
        <v>18326.400000000001</v>
      </c>
      <c r="AQ41" s="332">
        <f t="shared" si="7"/>
        <v>18326.400000000001</v>
      </c>
      <c r="AR41" s="332">
        <f t="shared" si="8"/>
        <v>0</v>
      </c>
      <c r="AS41" s="332">
        <f t="shared" si="9"/>
        <v>18326.400000000001</v>
      </c>
      <c r="AT41" s="332">
        <f t="shared" si="10"/>
        <v>164937.60000000001</v>
      </c>
      <c r="AU41" s="374" t="s">
        <v>59</v>
      </c>
    </row>
    <row r="42" spans="1:47" s="366" customFormat="1" ht="15.75">
      <c r="A42" s="367">
        <v>2112</v>
      </c>
      <c r="B42" s="368">
        <v>305638</v>
      </c>
      <c r="C42" s="367">
        <v>305639</v>
      </c>
      <c r="D42" s="369" t="s">
        <v>2073</v>
      </c>
      <c r="E42" s="367"/>
      <c r="F42" s="369" t="s">
        <v>2072</v>
      </c>
      <c r="G42" s="369"/>
      <c r="H42" s="369">
        <v>2023</v>
      </c>
      <c r="I42" s="369"/>
      <c r="J42" s="369"/>
      <c r="K42" s="369" t="s">
        <v>572</v>
      </c>
      <c r="L42" s="370">
        <v>45037</v>
      </c>
      <c r="M42" s="370">
        <v>45037</v>
      </c>
      <c r="N42" s="369" t="s">
        <v>2071</v>
      </c>
      <c r="O42" s="367">
        <v>500</v>
      </c>
      <c r="P42" s="367">
        <v>14040</v>
      </c>
      <c r="Q42" s="371">
        <v>933.99</v>
      </c>
      <c r="R42" s="367">
        <v>14046</v>
      </c>
      <c r="S42" s="371">
        <v>46.7</v>
      </c>
      <c r="T42" s="371">
        <f t="shared" si="11"/>
        <v>887.29</v>
      </c>
      <c r="U42" s="372">
        <v>46.7</v>
      </c>
      <c r="V42" s="367">
        <v>51260</v>
      </c>
      <c r="W42" s="371">
        <v>15.57</v>
      </c>
      <c r="X42" s="369" t="s">
        <v>574</v>
      </c>
      <c r="Y42" s="369"/>
      <c r="Z42" s="369"/>
      <c r="AA42" s="369"/>
      <c r="AB42" s="369" t="s">
        <v>571</v>
      </c>
      <c r="AC42" s="369" t="s">
        <v>570</v>
      </c>
      <c r="AD42" s="367" t="s">
        <v>569</v>
      </c>
      <c r="AE42" s="369"/>
      <c r="AF42" s="367" t="s">
        <v>568</v>
      </c>
      <c r="AG42" s="369">
        <v>0</v>
      </c>
      <c r="AH42" s="369">
        <v>0</v>
      </c>
      <c r="AI42" s="517" t="s">
        <v>2259</v>
      </c>
      <c r="AJ42" s="518" t="s">
        <v>1227</v>
      </c>
      <c r="AK42" s="333">
        <f t="shared" si="1"/>
        <v>4</v>
      </c>
      <c r="AL42" s="333">
        <f t="shared" si="2"/>
        <v>2023</v>
      </c>
      <c r="AM42" s="333">
        <f t="shared" si="3"/>
        <v>2028</v>
      </c>
      <c r="AN42" s="334">
        <f t="shared" si="4"/>
        <v>2028.3333333333333</v>
      </c>
      <c r="AO42" s="335">
        <f t="shared" si="5"/>
        <v>15.5665</v>
      </c>
      <c r="AP42" s="335">
        <f t="shared" si="6"/>
        <v>186.798</v>
      </c>
      <c r="AQ42" s="332">
        <f t="shared" si="7"/>
        <v>186.798</v>
      </c>
      <c r="AR42" s="332">
        <f t="shared" si="8"/>
        <v>0</v>
      </c>
      <c r="AS42" s="332">
        <f t="shared" si="9"/>
        <v>186.798</v>
      </c>
      <c r="AT42" s="332">
        <f t="shared" si="10"/>
        <v>747.19200000000001</v>
      </c>
      <c r="AU42" s="374" t="s">
        <v>59</v>
      </c>
    </row>
    <row r="43" spans="1:47" s="366" customFormat="1" ht="15.75">
      <c r="A43" s="367">
        <v>2112</v>
      </c>
      <c r="B43" s="368">
        <v>305303</v>
      </c>
      <c r="C43" s="367" t="s">
        <v>574</v>
      </c>
      <c r="D43" s="369" t="s">
        <v>1214</v>
      </c>
      <c r="E43" s="367">
        <v>5</v>
      </c>
      <c r="F43" s="369"/>
      <c r="G43" s="369" t="s">
        <v>1394</v>
      </c>
      <c r="H43" s="369">
        <v>0</v>
      </c>
      <c r="I43" s="369" t="s">
        <v>2061</v>
      </c>
      <c r="J43" s="369"/>
      <c r="K43" s="369" t="s">
        <v>2000</v>
      </c>
      <c r="L43" s="370">
        <v>45057</v>
      </c>
      <c r="M43" s="370">
        <v>45057</v>
      </c>
      <c r="N43" s="369" t="s">
        <v>2077</v>
      </c>
      <c r="O43" s="367">
        <v>1200</v>
      </c>
      <c r="P43" s="367">
        <v>14050</v>
      </c>
      <c r="Q43" s="371">
        <v>6234.07</v>
      </c>
      <c r="R43" s="367">
        <v>14056</v>
      </c>
      <c r="S43" s="371">
        <v>129.88</v>
      </c>
      <c r="T43" s="371">
        <f t="shared" si="11"/>
        <v>6104.19</v>
      </c>
      <c r="U43" s="372">
        <v>129.88</v>
      </c>
      <c r="V43" s="367">
        <v>54260</v>
      </c>
      <c r="W43" s="371">
        <v>43.29</v>
      </c>
      <c r="X43" s="369" t="s">
        <v>574</v>
      </c>
      <c r="Y43" s="369"/>
      <c r="Z43" s="369" t="s">
        <v>2076</v>
      </c>
      <c r="AA43" s="369"/>
      <c r="AB43" s="369" t="s">
        <v>571</v>
      </c>
      <c r="AC43" s="369" t="s">
        <v>570</v>
      </c>
      <c r="AD43" s="367" t="s">
        <v>569</v>
      </c>
      <c r="AE43" s="369"/>
      <c r="AF43" s="367" t="s">
        <v>568</v>
      </c>
      <c r="AG43" s="369">
        <v>0</v>
      </c>
      <c r="AH43" s="369">
        <v>0</v>
      </c>
      <c r="AI43" s="517"/>
      <c r="AJ43" s="518" t="s">
        <v>513</v>
      </c>
      <c r="AK43" s="333">
        <f t="shared" si="1"/>
        <v>5</v>
      </c>
      <c r="AL43" s="333">
        <f t="shared" si="2"/>
        <v>2023</v>
      </c>
      <c r="AM43" s="333">
        <f t="shared" si="3"/>
        <v>2035</v>
      </c>
      <c r="AN43" s="334">
        <f t="shared" si="4"/>
        <v>2035.4166666666667</v>
      </c>
      <c r="AO43" s="335">
        <f t="shared" si="5"/>
        <v>43.292152777777773</v>
      </c>
      <c r="AP43" s="335">
        <f t="shared" si="6"/>
        <v>519.50583333333327</v>
      </c>
      <c r="AQ43" s="332">
        <f t="shared" si="7"/>
        <v>519.50583333333327</v>
      </c>
      <c r="AR43" s="332">
        <f t="shared" si="8"/>
        <v>0</v>
      </c>
      <c r="AS43" s="332">
        <f t="shared" si="9"/>
        <v>519.50583333333327</v>
      </c>
      <c r="AT43" s="332">
        <f t="shared" si="10"/>
        <v>5714.5641666666661</v>
      </c>
      <c r="AU43" s="374" t="s">
        <v>59</v>
      </c>
    </row>
    <row r="44" spans="1:47" s="366" customFormat="1" ht="15.75">
      <c r="A44" s="367">
        <v>2112</v>
      </c>
      <c r="B44" s="368">
        <v>305302</v>
      </c>
      <c r="C44" s="367" t="s">
        <v>574</v>
      </c>
      <c r="D44" s="369" t="s">
        <v>2078</v>
      </c>
      <c r="E44" s="367">
        <v>10</v>
      </c>
      <c r="F44" s="369"/>
      <c r="G44" s="369" t="s">
        <v>1394</v>
      </c>
      <c r="H44" s="369">
        <v>0</v>
      </c>
      <c r="I44" s="369" t="s">
        <v>2061</v>
      </c>
      <c r="J44" s="369"/>
      <c r="K44" s="369" t="s">
        <v>1763</v>
      </c>
      <c r="L44" s="370">
        <v>45057</v>
      </c>
      <c r="M44" s="370">
        <v>45057</v>
      </c>
      <c r="N44" s="369" t="s">
        <v>2077</v>
      </c>
      <c r="O44" s="367">
        <v>1200</v>
      </c>
      <c r="P44" s="367">
        <v>14050</v>
      </c>
      <c r="Q44" s="371">
        <v>8731.0400000000009</v>
      </c>
      <c r="R44" s="367">
        <v>14056</v>
      </c>
      <c r="S44" s="371">
        <v>181.9</v>
      </c>
      <c r="T44" s="371">
        <f t="shared" si="11"/>
        <v>8549.1400000000012</v>
      </c>
      <c r="U44" s="372">
        <v>181.9</v>
      </c>
      <c r="V44" s="367">
        <v>54260</v>
      </c>
      <c r="W44" s="371">
        <v>60.63</v>
      </c>
      <c r="X44" s="369" t="s">
        <v>574</v>
      </c>
      <c r="Y44" s="369"/>
      <c r="Z44" s="369" t="s">
        <v>2076</v>
      </c>
      <c r="AA44" s="369"/>
      <c r="AB44" s="369" t="s">
        <v>571</v>
      </c>
      <c r="AC44" s="369" t="s">
        <v>570</v>
      </c>
      <c r="AD44" s="367" t="s">
        <v>569</v>
      </c>
      <c r="AE44" s="369"/>
      <c r="AF44" s="367" t="s">
        <v>568</v>
      </c>
      <c r="AG44" s="369">
        <v>0</v>
      </c>
      <c r="AH44" s="369">
        <v>0</v>
      </c>
      <c r="AI44" s="517"/>
      <c r="AJ44" s="518" t="s">
        <v>513</v>
      </c>
      <c r="AK44" s="333">
        <f t="shared" si="1"/>
        <v>5</v>
      </c>
      <c r="AL44" s="333">
        <f t="shared" si="2"/>
        <v>2023</v>
      </c>
      <c r="AM44" s="333">
        <f t="shared" si="3"/>
        <v>2035</v>
      </c>
      <c r="AN44" s="334">
        <f t="shared" si="4"/>
        <v>2035.4166666666667</v>
      </c>
      <c r="AO44" s="335">
        <f t="shared" si="5"/>
        <v>60.632222222222225</v>
      </c>
      <c r="AP44" s="335">
        <f t="shared" si="6"/>
        <v>727.5866666666667</v>
      </c>
      <c r="AQ44" s="332">
        <f t="shared" si="7"/>
        <v>727.5866666666667</v>
      </c>
      <c r="AR44" s="332">
        <f t="shared" si="8"/>
        <v>0</v>
      </c>
      <c r="AS44" s="332">
        <f t="shared" si="9"/>
        <v>727.5866666666667</v>
      </c>
      <c r="AT44" s="332">
        <f t="shared" si="10"/>
        <v>8003.4533333333338</v>
      </c>
      <c r="AU44" s="374" t="s">
        <v>59</v>
      </c>
    </row>
    <row r="45" spans="1:47" s="366" customFormat="1" ht="15.75">
      <c r="A45" s="367">
        <v>2112</v>
      </c>
      <c r="B45" s="368">
        <v>305301</v>
      </c>
      <c r="C45" s="367" t="s">
        <v>574</v>
      </c>
      <c r="D45" s="369" t="s">
        <v>2080</v>
      </c>
      <c r="E45" s="367">
        <v>15</v>
      </c>
      <c r="F45" s="369"/>
      <c r="G45" s="369" t="s">
        <v>1394</v>
      </c>
      <c r="H45" s="369">
        <v>0</v>
      </c>
      <c r="I45" s="369" t="s">
        <v>2061</v>
      </c>
      <c r="J45" s="369"/>
      <c r="K45" s="369" t="s">
        <v>2079</v>
      </c>
      <c r="L45" s="370">
        <v>45057</v>
      </c>
      <c r="M45" s="370">
        <v>45057</v>
      </c>
      <c r="N45" s="369" t="s">
        <v>2077</v>
      </c>
      <c r="O45" s="367">
        <v>1200</v>
      </c>
      <c r="P45" s="367">
        <v>14050</v>
      </c>
      <c r="Q45" s="371">
        <v>10308.64</v>
      </c>
      <c r="R45" s="367">
        <v>14056</v>
      </c>
      <c r="S45" s="371">
        <v>214.76</v>
      </c>
      <c r="T45" s="371">
        <f t="shared" si="11"/>
        <v>10093.879999999999</v>
      </c>
      <c r="U45" s="372">
        <v>214.76</v>
      </c>
      <c r="V45" s="367">
        <v>54260</v>
      </c>
      <c r="W45" s="371">
        <v>71.58</v>
      </c>
      <c r="X45" s="369" t="s">
        <v>574</v>
      </c>
      <c r="Y45" s="369"/>
      <c r="Z45" s="369" t="s">
        <v>2076</v>
      </c>
      <c r="AA45" s="369"/>
      <c r="AB45" s="369" t="s">
        <v>571</v>
      </c>
      <c r="AC45" s="369" t="s">
        <v>570</v>
      </c>
      <c r="AD45" s="367" t="s">
        <v>569</v>
      </c>
      <c r="AE45" s="369"/>
      <c r="AF45" s="367" t="s">
        <v>568</v>
      </c>
      <c r="AG45" s="369">
        <v>0</v>
      </c>
      <c r="AH45" s="369">
        <v>0</v>
      </c>
      <c r="AI45" s="517"/>
      <c r="AJ45" s="518" t="s">
        <v>513</v>
      </c>
      <c r="AK45" s="333">
        <f t="shared" si="1"/>
        <v>5</v>
      </c>
      <c r="AL45" s="333">
        <f t="shared" si="2"/>
        <v>2023</v>
      </c>
      <c r="AM45" s="333">
        <f t="shared" si="3"/>
        <v>2035</v>
      </c>
      <c r="AN45" s="334">
        <f t="shared" si="4"/>
        <v>2035.4166666666667</v>
      </c>
      <c r="AO45" s="335">
        <f t="shared" si="5"/>
        <v>71.587777777777774</v>
      </c>
      <c r="AP45" s="335">
        <f t="shared" si="6"/>
        <v>859.05333333333328</v>
      </c>
      <c r="AQ45" s="332">
        <f t="shared" si="7"/>
        <v>859.05333333333328</v>
      </c>
      <c r="AR45" s="332">
        <f t="shared" si="8"/>
        <v>0</v>
      </c>
      <c r="AS45" s="332">
        <f t="shared" si="9"/>
        <v>859.05333333333328</v>
      </c>
      <c r="AT45" s="332">
        <f t="shared" si="10"/>
        <v>9449.5866666666661</v>
      </c>
      <c r="AU45" s="374" t="s">
        <v>59</v>
      </c>
    </row>
    <row r="46" spans="1:47" s="366" customFormat="1" ht="15.75">
      <c r="A46" s="367">
        <v>2112</v>
      </c>
      <c r="B46" s="368">
        <v>305300</v>
      </c>
      <c r="C46" s="367" t="s">
        <v>574</v>
      </c>
      <c r="D46" s="369" t="s">
        <v>766</v>
      </c>
      <c r="E46" s="367">
        <v>15</v>
      </c>
      <c r="F46" s="369"/>
      <c r="G46" s="369" t="s">
        <v>1394</v>
      </c>
      <c r="H46" s="369">
        <v>0</v>
      </c>
      <c r="I46" s="369" t="s">
        <v>2061</v>
      </c>
      <c r="J46" s="369"/>
      <c r="K46" s="369" t="s">
        <v>1982</v>
      </c>
      <c r="L46" s="370">
        <v>45057</v>
      </c>
      <c r="M46" s="370">
        <v>45057</v>
      </c>
      <c r="N46" s="369" t="s">
        <v>2077</v>
      </c>
      <c r="O46" s="367">
        <v>1200</v>
      </c>
      <c r="P46" s="367">
        <v>14050</v>
      </c>
      <c r="Q46" s="371">
        <v>9084.64</v>
      </c>
      <c r="R46" s="367">
        <v>14056</v>
      </c>
      <c r="S46" s="371">
        <v>189.26</v>
      </c>
      <c r="T46" s="371">
        <f t="shared" si="11"/>
        <v>8895.3799999999992</v>
      </c>
      <c r="U46" s="372">
        <v>189.26</v>
      </c>
      <c r="V46" s="367">
        <v>54260</v>
      </c>
      <c r="W46" s="371">
        <v>63.08</v>
      </c>
      <c r="X46" s="369" t="s">
        <v>574</v>
      </c>
      <c r="Y46" s="369"/>
      <c r="Z46" s="369" t="s">
        <v>2076</v>
      </c>
      <c r="AA46" s="369"/>
      <c r="AB46" s="369" t="s">
        <v>571</v>
      </c>
      <c r="AC46" s="369" t="s">
        <v>570</v>
      </c>
      <c r="AD46" s="367" t="s">
        <v>569</v>
      </c>
      <c r="AE46" s="369"/>
      <c r="AF46" s="367" t="s">
        <v>568</v>
      </c>
      <c r="AG46" s="369">
        <v>0</v>
      </c>
      <c r="AH46" s="369">
        <v>0</v>
      </c>
      <c r="AI46" s="517"/>
      <c r="AJ46" s="518" t="s">
        <v>513</v>
      </c>
      <c r="AK46" s="333">
        <f t="shared" si="1"/>
        <v>5</v>
      </c>
      <c r="AL46" s="333">
        <f t="shared" si="2"/>
        <v>2023</v>
      </c>
      <c r="AM46" s="333">
        <f t="shared" si="3"/>
        <v>2035</v>
      </c>
      <c r="AN46" s="334">
        <f t="shared" si="4"/>
        <v>2035.4166666666667</v>
      </c>
      <c r="AO46" s="335">
        <f t="shared" si="5"/>
        <v>63.087777777777774</v>
      </c>
      <c r="AP46" s="335">
        <f t="shared" si="6"/>
        <v>757.05333333333328</v>
      </c>
      <c r="AQ46" s="332">
        <f t="shared" si="7"/>
        <v>757.05333333333328</v>
      </c>
      <c r="AR46" s="332">
        <f t="shared" si="8"/>
        <v>0</v>
      </c>
      <c r="AS46" s="332">
        <f t="shared" si="9"/>
        <v>757.05333333333328</v>
      </c>
      <c r="AT46" s="332">
        <f t="shared" si="10"/>
        <v>8327.5866666666661</v>
      </c>
      <c r="AU46" s="374" t="s">
        <v>59</v>
      </c>
    </row>
    <row r="47" spans="1:47" s="366" customFormat="1" ht="15.75">
      <c r="A47" s="367">
        <v>2112</v>
      </c>
      <c r="B47" s="368">
        <v>304153</v>
      </c>
      <c r="C47" s="367">
        <v>304152</v>
      </c>
      <c r="D47" s="369" t="s">
        <v>2084</v>
      </c>
      <c r="E47" s="367">
        <v>1</v>
      </c>
      <c r="F47" s="369"/>
      <c r="G47" s="369"/>
      <c r="H47" s="369">
        <v>0</v>
      </c>
      <c r="I47" s="369" t="s">
        <v>2083</v>
      </c>
      <c r="J47" s="369"/>
      <c r="K47" s="369"/>
      <c r="L47" s="370">
        <v>45029</v>
      </c>
      <c r="M47" s="370">
        <v>45029</v>
      </c>
      <c r="N47" s="369" t="s">
        <v>2082</v>
      </c>
      <c r="O47" s="367">
        <v>300</v>
      </c>
      <c r="P47" s="367">
        <v>14110</v>
      </c>
      <c r="Q47" s="371">
        <v>198.09</v>
      </c>
      <c r="R47" s="367">
        <v>14116</v>
      </c>
      <c r="S47" s="371">
        <v>22.01</v>
      </c>
      <c r="T47" s="371">
        <f t="shared" si="11"/>
        <v>176.08</v>
      </c>
      <c r="U47" s="372">
        <v>22.01</v>
      </c>
      <c r="V47" s="367">
        <v>70260</v>
      </c>
      <c r="W47" s="371">
        <v>5.5</v>
      </c>
      <c r="X47" s="369" t="s">
        <v>574</v>
      </c>
      <c r="Y47" s="369"/>
      <c r="Z47" s="369" t="s">
        <v>2081</v>
      </c>
      <c r="AA47" s="369"/>
      <c r="AB47" s="369" t="s">
        <v>571</v>
      </c>
      <c r="AC47" s="369" t="s">
        <v>570</v>
      </c>
      <c r="AD47" s="367" t="s">
        <v>569</v>
      </c>
      <c r="AE47" s="369"/>
      <c r="AF47" s="367" t="s">
        <v>568</v>
      </c>
      <c r="AG47" s="369">
        <v>0</v>
      </c>
      <c r="AH47" s="369">
        <v>0</v>
      </c>
      <c r="AI47" s="517"/>
      <c r="AJ47" s="518" t="s">
        <v>81</v>
      </c>
      <c r="AK47" s="333">
        <f t="shared" si="1"/>
        <v>4</v>
      </c>
      <c r="AL47" s="333">
        <f t="shared" si="2"/>
        <v>2023</v>
      </c>
      <c r="AM47" s="333">
        <f t="shared" si="3"/>
        <v>2026</v>
      </c>
      <c r="AN47" s="334">
        <f t="shared" si="4"/>
        <v>2026.3333333333333</v>
      </c>
      <c r="AO47" s="335">
        <f t="shared" si="5"/>
        <v>5.5025000000000004</v>
      </c>
      <c r="AP47" s="335">
        <f t="shared" si="6"/>
        <v>66.03</v>
      </c>
      <c r="AQ47" s="332">
        <f t="shared" si="7"/>
        <v>66.03</v>
      </c>
      <c r="AR47" s="332">
        <f t="shared" si="8"/>
        <v>0</v>
      </c>
      <c r="AS47" s="332">
        <f t="shared" si="9"/>
        <v>66.03</v>
      </c>
      <c r="AT47" s="332">
        <f t="shared" si="10"/>
        <v>132.06</v>
      </c>
      <c r="AU47" s="374" t="s">
        <v>59</v>
      </c>
    </row>
    <row r="48" spans="1:47" s="366" customFormat="1" ht="15.75">
      <c r="A48" s="367">
        <v>2112</v>
      </c>
      <c r="B48" s="368">
        <v>304152</v>
      </c>
      <c r="C48" s="367" t="s">
        <v>574</v>
      </c>
      <c r="D48" s="369" t="s">
        <v>2085</v>
      </c>
      <c r="E48" s="367">
        <v>1</v>
      </c>
      <c r="F48" s="369"/>
      <c r="G48" s="369"/>
      <c r="H48" s="369">
        <v>0</v>
      </c>
      <c r="I48" s="369" t="s">
        <v>2083</v>
      </c>
      <c r="J48" s="369"/>
      <c r="K48" s="369"/>
      <c r="L48" s="370">
        <v>45029</v>
      </c>
      <c r="M48" s="370">
        <v>45029</v>
      </c>
      <c r="N48" s="369" t="s">
        <v>2082</v>
      </c>
      <c r="O48" s="367">
        <v>300</v>
      </c>
      <c r="P48" s="367">
        <v>14110</v>
      </c>
      <c r="Q48" s="371">
        <v>1069.06</v>
      </c>
      <c r="R48" s="367">
        <v>14116</v>
      </c>
      <c r="S48" s="371">
        <v>118.79</v>
      </c>
      <c r="T48" s="371">
        <f t="shared" si="11"/>
        <v>950.27</v>
      </c>
      <c r="U48" s="372">
        <v>118.79</v>
      </c>
      <c r="V48" s="367">
        <v>70260</v>
      </c>
      <c r="W48" s="371">
        <v>29.7</v>
      </c>
      <c r="X48" s="369" t="s">
        <v>574</v>
      </c>
      <c r="Y48" s="369"/>
      <c r="Z48" s="369" t="s">
        <v>2081</v>
      </c>
      <c r="AA48" s="369"/>
      <c r="AB48" s="369" t="s">
        <v>571</v>
      </c>
      <c r="AC48" s="369" t="s">
        <v>570</v>
      </c>
      <c r="AD48" s="367" t="s">
        <v>569</v>
      </c>
      <c r="AE48" s="369"/>
      <c r="AF48" s="367" t="s">
        <v>568</v>
      </c>
      <c r="AG48" s="369">
        <v>0</v>
      </c>
      <c r="AH48" s="369">
        <v>0</v>
      </c>
      <c r="AI48" s="517"/>
      <c r="AJ48" s="518" t="s">
        <v>81</v>
      </c>
      <c r="AK48" s="333">
        <f t="shared" si="1"/>
        <v>4</v>
      </c>
      <c r="AL48" s="333">
        <f t="shared" si="2"/>
        <v>2023</v>
      </c>
      <c r="AM48" s="333">
        <f t="shared" si="3"/>
        <v>2026</v>
      </c>
      <c r="AN48" s="334">
        <f t="shared" si="4"/>
        <v>2026.3333333333333</v>
      </c>
      <c r="AO48" s="335">
        <f t="shared" si="5"/>
        <v>29.696111111111108</v>
      </c>
      <c r="AP48" s="335">
        <f t="shared" si="6"/>
        <v>356.3533333333333</v>
      </c>
      <c r="AQ48" s="332">
        <f t="shared" si="7"/>
        <v>356.3533333333333</v>
      </c>
      <c r="AR48" s="332">
        <f t="shared" si="8"/>
        <v>0</v>
      </c>
      <c r="AS48" s="332">
        <f t="shared" si="9"/>
        <v>356.3533333333333</v>
      </c>
      <c r="AT48" s="332">
        <f t="shared" si="10"/>
        <v>712.70666666666671</v>
      </c>
      <c r="AU48" s="374" t="s">
        <v>59</v>
      </c>
    </row>
    <row r="49" spans="1:47" s="366" customFormat="1" ht="15.75">
      <c r="A49" s="367">
        <v>2112</v>
      </c>
      <c r="B49" s="368">
        <v>302743</v>
      </c>
      <c r="C49" s="367">
        <v>302422</v>
      </c>
      <c r="D49" s="369" t="s">
        <v>2090</v>
      </c>
      <c r="E49" s="367">
        <v>0</v>
      </c>
      <c r="F49" s="369"/>
      <c r="G49" s="369"/>
      <c r="H49" s="369">
        <v>2010</v>
      </c>
      <c r="I49" s="369"/>
      <c r="J49" s="369"/>
      <c r="K49" s="369" t="s">
        <v>906</v>
      </c>
      <c r="L49" s="370">
        <v>40179</v>
      </c>
      <c r="M49" s="370">
        <v>40179</v>
      </c>
      <c r="N49" s="369" t="s">
        <v>2089</v>
      </c>
      <c r="O49" s="367">
        <v>1000</v>
      </c>
      <c r="P49" s="367">
        <v>14040</v>
      </c>
      <c r="Q49" s="371">
        <v>79897.05</v>
      </c>
      <c r="R49" s="367">
        <v>14046</v>
      </c>
      <c r="S49" s="371">
        <v>79897.05</v>
      </c>
      <c r="T49" s="371">
        <f t="shared" si="11"/>
        <v>0</v>
      </c>
      <c r="U49" s="372">
        <v>0</v>
      </c>
      <c r="V49" s="367">
        <v>51260</v>
      </c>
      <c r="W49" s="371">
        <v>0</v>
      </c>
      <c r="X49" s="369" t="s">
        <v>574</v>
      </c>
      <c r="Y49" s="369"/>
      <c r="Z49" s="369">
        <v>1162237</v>
      </c>
      <c r="AA49" s="369"/>
      <c r="AB49" s="369" t="s">
        <v>571</v>
      </c>
      <c r="AC49" s="369" t="s">
        <v>570</v>
      </c>
      <c r="AD49" s="367" t="s">
        <v>569</v>
      </c>
      <c r="AE49" s="373">
        <v>45016</v>
      </c>
      <c r="AF49" s="367" t="s">
        <v>568</v>
      </c>
      <c r="AG49" s="369">
        <v>0</v>
      </c>
      <c r="AH49" s="369">
        <v>79897.05</v>
      </c>
      <c r="AI49" s="517">
        <v>5040</v>
      </c>
      <c r="AJ49" s="523" t="s">
        <v>1881</v>
      </c>
      <c r="AK49" s="333">
        <f t="shared" si="1"/>
        <v>1</v>
      </c>
      <c r="AL49" s="333">
        <f t="shared" si="2"/>
        <v>2010</v>
      </c>
      <c r="AM49" s="333">
        <f t="shared" si="3"/>
        <v>2020</v>
      </c>
      <c r="AN49" s="334">
        <f t="shared" si="4"/>
        <v>2020.0833333333333</v>
      </c>
      <c r="AO49" s="335">
        <f t="shared" si="5"/>
        <v>665.80875000000003</v>
      </c>
      <c r="AP49" s="335">
        <f t="shared" si="6"/>
        <v>7989.7049999999999</v>
      </c>
      <c r="AQ49" s="332">
        <f t="shared" si="7"/>
        <v>0</v>
      </c>
      <c r="AR49" s="332">
        <f t="shared" si="8"/>
        <v>79897.05</v>
      </c>
      <c r="AS49" s="332">
        <f t="shared" si="9"/>
        <v>79897.05</v>
      </c>
      <c r="AT49" s="332">
        <f t="shared" si="10"/>
        <v>0</v>
      </c>
      <c r="AU49" s="374" t="s">
        <v>59</v>
      </c>
    </row>
    <row r="50" spans="1:47" s="366" customFormat="1" ht="15.75">
      <c r="A50" s="367">
        <v>2112</v>
      </c>
      <c r="B50" s="368">
        <v>302742</v>
      </c>
      <c r="C50" s="367">
        <v>302422</v>
      </c>
      <c r="D50" s="369" t="s">
        <v>2092</v>
      </c>
      <c r="E50" s="367">
        <v>0</v>
      </c>
      <c r="F50" s="369" t="s">
        <v>2091</v>
      </c>
      <c r="G50" s="369"/>
      <c r="H50" s="369">
        <v>2010</v>
      </c>
      <c r="I50" s="369"/>
      <c r="J50" s="369"/>
      <c r="K50" s="369" t="s">
        <v>906</v>
      </c>
      <c r="L50" s="370">
        <v>40178</v>
      </c>
      <c r="M50" s="370">
        <v>40178</v>
      </c>
      <c r="N50" s="369" t="s">
        <v>2089</v>
      </c>
      <c r="O50" s="367">
        <v>1000</v>
      </c>
      <c r="P50" s="367">
        <v>14040</v>
      </c>
      <c r="Q50" s="371">
        <v>9163.6299999999992</v>
      </c>
      <c r="R50" s="367">
        <v>14046</v>
      </c>
      <c r="S50" s="371">
        <v>9163.6299999999992</v>
      </c>
      <c r="T50" s="371">
        <f t="shared" si="11"/>
        <v>0</v>
      </c>
      <c r="U50" s="372">
        <v>0</v>
      </c>
      <c r="V50" s="367">
        <v>51260</v>
      </c>
      <c r="W50" s="371">
        <v>0</v>
      </c>
      <c r="X50" s="369" t="s">
        <v>574</v>
      </c>
      <c r="Y50" s="369"/>
      <c r="Z50" s="369">
        <v>59927</v>
      </c>
      <c r="AA50" s="369"/>
      <c r="AB50" s="369" t="s">
        <v>571</v>
      </c>
      <c r="AC50" s="369" t="s">
        <v>570</v>
      </c>
      <c r="AD50" s="367" t="s">
        <v>569</v>
      </c>
      <c r="AE50" s="373">
        <v>45016</v>
      </c>
      <c r="AF50" s="367" t="s">
        <v>568</v>
      </c>
      <c r="AG50" s="369">
        <v>0</v>
      </c>
      <c r="AH50" s="369">
        <v>9163.6299999999992</v>
      </c>
      <c r="AI50" s="517">
        <v>5040</v>
      </c>
      <c r="AJ50" s="518" t="s">
        <v>1881</v>
      </c>
      <c r="AK50" s="333">
        <f t="shared" si="1"/>
        <v>12</v>
      </c>
      <c r="AL50" s="333">
        <f t="shared" si="2"/>
        <v>2009</v>
      </c>
      <c r="AM50" s="333">
        <f t="shared" si="3"/>
        <v>2019</v>
      </c>
      <c r="AN50" s="334">
        <f t="shared" si="4"/>
        <v>2020</v>
      </c>
      <c r="AO50" s="335">
        <f t="shared" si="5"/>
        <v>76.363583333333324</v>
      </c>
      <c r="AP50" s="335">
        <f t="shared" si="6"/>
        <v>916.36299999999983</v>
      </c>
      <c r="AQ50" s="332">
        <f t="shared" si="7"/>
        <v>0</v>
      </c>
      <c r="AR50" s="332">
        <f t="shared" si="8"/>
        <v>9163.6299999999992</v>
      </c>
      <c r="AS50" s="332">
        <f t="shared" si="9"/>
        <v>9163.6299999999992</v>
      </c>
      <c r="AT50" s="332">
        <f t="shared" si="10"/>
        <v>0</v>
      </c>
      <c r="AU50" s="374" t="s">
        <v>59</v>
      </c>
    </row>
    <row r="51" spans="1:47" s="366" customFormat="1" ht="15.75">
      <c r="A51" s="367">
        <v>2112</v>
      </c>
      <c r="B51" s="368">
        <v>302423</v>
      </c>
      <c r="C51" s="367" t="s">
        <v>574</v>
      </c>
      <c r="D51" s="369" t="s">
        <v>2088</v>
      </c>
      <c r="E51" s="367">
        <v>0</v>
      </c>
      <c r="F51" s="369" t="s">
        <v>1407</v>
      </c>
      <c r="G51" s="369" t="s">
        <v>2087</v>
      </c>
      <c r="H51" s="369">
        <v>2009</v>
      </c>
      <c r="I51" s="369" t="s">
        <v>1163</v>
      </c>
      <c r="J51" s="369" t="s">
        <v>1359</v>
      </c>
      <c r="K51" s="369" t="s">
        <v>906</v>
      </c>
      <c r="L51" s="370">
        <v>40084</v>
      </c>
      <c r="M51" s="370">
        <v>40084</v>
      </c>
      <c r="N51" s="369" t="s">
        <v>2086</v>
      </c>
      <c r="O51" s="367">
        <v>900</v>
      </c>
      <c r="P51" s="367">
        <v>14040</v>
      </c>
      <c r="Q51" s="371">
        <v>131742</v>
      </c>
      <c r="R51" s="367">
        <v>14046</v>
      </c>
      <c r="S51" s="371">
        <v>131742</v>
      </c>
      <c r="T51" s="371">
        <f t="shared" si="11"/>
        <v>0</v>
      </c>
      <c r="U51" s="372">
        <v>0</v>
      </c>
      <c r="V51" s="367">
        <v>51260</v>
      </c>
      <c r="W51" s="371">
        <v>0</v>
      </c>
      <c r="X51" s="369" t="s">
        <v>574</v>
      </c>
      <c r="Y51" s="369"/>
      <c r="Z51" s="369">
        <v>24044364</v>
      </c>
      <c r="AA51" s="369">
        <v>31</v>
      </c>
      <c r="AB51" s="369" t="s">
        <v>571</v>
      </c>
      <c r="AC51" s="369" t="s">
        <v>570</v>
      </c>
      <c r="AD51" s="367" t="s">
        <v>569</v>
      </c>
      <c r="AE51" s="373">
        <v>45016</v>
      </c>
      <c r="AF51" s="367" t="s">
        <v>568</v>
      </c>
      <c r="AG51" s="369">
        <v>0</v>
      </c>
      <c r="AH51" s="369">
        <v>131742</v>
      </c>
      <c r="AI51" s="517">
        <v>31</v>
      </c>
      <c r="AJ51" s="518" t="s">
        <v>1881</v>
      </c>
      <c r="AK51" s="333">
        <f t="shared" si="1"/>
        <v>9</v>
      </c>
      <c r="AL51" s="333">
        <f t="shared" si="2"/>
        <v>2009</v>
      </c>
      <c r="AM51" s="333">
        <f t="shared" si="3"/>
        <v>2018</v>
      </c>
      <c r="AN51" s="334">
        <f t="shared" si="4"/>
        <v>2018.75</v>
      </c>
      <c r="AO51" s="335">
        <f t="shared" si="5"/>
        <v>1219.8333333333333</v>
      </c>
      <c r="AP51" s="335">
        <f t="shared" si="6"/>
        <v>14638</v>
      </c>
      <c r="AQ51" s="332">
        <f t="shared" si="7"/>
        <v>0</v>
      </c>
      <c r="AR51" s="332">
        <f t="shared" si="8"/>
        <v>131742</v>
      </c>
      <c r="AS51" s="332">
        <f t="shared" si="9"/>
        <v>131742</v>
      </c>
      <c r="AT51" s="332">
        <f t="shared" si="10"/>
        <v>0</v>
      </c>
      <c r="AU51" s="374" t="s">
        <v>59</v>
      </c>
    </row>
    <row r="52" spans="1:47" s="366" customFormat="1" ht="15.75">
      <c r="A52" s="367">
        <v>2112</v>
      </c>
      <c r="B52" s="368">
        <v>302422</v>
      </c>
      <c r="C52" s="367" t="s">
        <v>574</v>
      </c>
      <c r="D52" s="369" t="s">
        <v>2096</v>
      </c>
      <c r="E52" s="367">
        <v>0</v>
      </c>
      <c r="F52" s="369" t="s">
        <v>2091</v>
      </c>
      <c r="G52" s="369" t="s">
        <v>2095</v>
      </c>
      <c r="H52" s="369">
        <v>2010</v>
      </c>
      <c r="I52" s="369" t="s">
        <v>2094</v>
      </c>
      <c r="J52" s="369" t="s">
        <v>758</v>
      </c>
      <c r="K52" s="369" t="s">
        <v>906</v>
      </c>
      <c r="L52" s="370">
        <v>40178</v>
      </c>
      <c r="M52" s="370">
        <v>40178</v>
      </c>
      <c r="N52" s="369" t="s">
        <v>2089</v>
      </c>
      <c r="O52" s="367">
        <v>1000</v>
      </c>
      <c r="P52" s="367">
        <v>14040</v>
      </c>
      <c r="Q52" s="371">
        <v>95271.64</v>
      </c>
      <c r="R52" s="367">
        <v>14046</v>
      </c>
      <c r="S52" s="371">
        <v>95271.64</v>
      </c>
      <c r="T52" s="371">
        <f t="shared" si="11"/>
        <v>0</v>
      </c>
      <c r="U52" s="372">
        <v>0</v>
      </c>
      <c r="V52" s="367">
        <v>51260</v>
      </c>
      <c r="W52" s="371">
        <v>0</v>
      </c>
      <c r="X52" s="369" t="s">
        <v>574</v>
      </c>
      <c r="Y52" s="369"/>
      <c r="Z52" s="369">
        <v>7878</v>
      </c>
      <c r="AA52" s="369" t="s">
        <v>2093</v>
      </c>
      <c r="AB52" s="369" t="s">
        <v>571</v>
      </c>
      <c r="AC52" s="369" t="s">
        <v>570</v>
      </c>
      <c r="AD52" s="367" t="s">
        <v>569</v>
      </c>
      <c r="AE52" s="373">
        <v>45016</v>
      </c>
      <c r="AF52" s="367" t="s">
        <v>568</v>
      </c>
      <c r="AG52" s="369">
        <v>0</v>
      </c>
      <c r="AH52" s="369">
        <v>95271.64</v>
      </c>
      <c r="AI52" s="517">
        <v>5040</v>
      </c>
      <c r="AJ52" s="518" t="s">
        <v>1881</v>
      </c>
      <c r="AK52" s="333">
        <f t="shared" si="1"/>
        <v>12</v>
      </c>
      <c r="AL52" s="333">
        <f t="shared" si="2"/>
        <v>2009</v>
      </c>
      <c r="AM52" s="333">
        <f t="shared" si="3"/>
        <v>2019</v>
      </c>
      <c r="AN52" s="334">
        <f t="shared" si="4"/>
        <v>2020</v>
      </c>
      <c r="AO52" s="335">
        <f t="shared" si="5"/>
        <v>793.93033333333335</v>
      </c>
      <c r="AP52" s="335">
        <f t="shared" si="6"/>
        <v>9527.1640000000007</v>
      </c>
      <c r="AQ52" s="332">
        <f t="shared" si="7"/>
        <v>0</v>
      </c>
      <c r="AR52" s="332">
        <f t="shared" si="8"/>
        <v>95271.64</v>
      </c>
      <c r="AS52" s="332">
        <f t="shared" si="9"/>
        <v>95271.64</v>
      </c>
      <c r="AT52" s="332">
        <f t="shared" si="10"/>
        <v>0</v>
      </c>
      <c r="AU52" s="374" t="s">
        <v>59</v>
      </c>
    </row>
    <row r="53" spans="1:47" s="366" customFormat="1" ht="15.75">
      <c r="A53" s="367">
        <v>2112</v>
      </c>
      <c r="B53" s="368">
        <v>299286</v>
      </c>
      <c r="C53" s="367">
        <v>298244</v>
      </c>
      <c r="D53" s="369" t="s">
        <v>2099</v>
      </c>
      <c r="E53" s="367"/>
      <c r="F53" s="369" t="s">
        <v>2098</v>
      </c>
      <c r="G53" s="369"/>
      <c r="H53" s="369">
        <v>0</v>
      </c>
      <c r="I53" s="369" t="s">
        <v>1136</v>
      </c>
      <c r="J53" s="369"/>
      <c r="K53" s="369" t="s">
        <v>572</v>
      </c>
      <c r="L53" s="370">
        <v>44949</v>
      </c>
      <c r="M53" s="370">
        <v>44949</v>
      </c>
      <c r="N53" s="369" t="s">
        <v>2097</v>
      </c>
      <c r="O53" s="367">
        <v>1000</v>
      </c>
      <c r="P53" s="367">
        <v>14040</v>
      </c>
      <c r="Q53" s="371">
        <v>228789.55</v>
      </c>
      <c r="R53" s="367">
        <v>14046</v>
      </c>
      <c r="S53" s="371">
        <v>11439.48</v>
      </c>
      <c r="T53" s="371">
        <f t="shared" si="11"/>
        <v>217350.06999999998</v>
      </c>
      <c r="U53" s="372">
        <v>11439.48</v>
      </c>
      <c r="V53" s="367">
        <v>51260</v>
      </c>
      <c r="W53" s="371">
        <v>1906.58</v>
      </c>
      <c r="X53" s="369" t="s">
        <v>574</v>
      </c>
      <c r="Y53" s="369"/>
      <c r="Z53" s="369">
        <v>183520</v>
      </c>
      <c r="AA53" s="369"/>
      <c r="AB53" s="369" t="s">
        <v>571</v>
      </c>
      <c r="AC53" s="369" t="s">
        <v>570</v>
      </c>
      <c r="AD53" s="367" t="s">
        <v>569</v>
      </c>
      <c r="AE53" s="369"/>
      <c r="AF53" s="367" t="s">
        <v>568</v>
      </c>
      <c r="AG53" s="369">
        <v>0</v>
      </c>
      <c r="AH53" s="369">
        <v>0</v>
      </c>
      <c r="AI53" s="517">
        <v>895</v>
      </c>
      <c r="AJ53" s="518" t="s">
        <v>1881</v>
      </c>
      <c r="AK53" s="333">
        <f t="shared" si="1"/>
        <v>1</v>
      </c>
      <c r="AL53" s="333">
        <f t="shared" si="2"/>
        <v>2023</v>
      </c>
      <c r="AM53" s="333">
        <f t="shared" si="3"/>
        <v>2033</v>
      </c>
      <c r="AN53" s="334">
        <f t="shared" si="4"/>
        <v>2033.0833333333333</v>
      </c>
      <c r="AO53" s="335">
        <f t="shared" si="5"/>
        <v>1906.5795833333332</v>
      </c>
      <c r="AP53" s="335">
        <f t="shared" si="6"/>
        <v>22878.954999999998</v>
      </c>
      <c r="AQ53" s="332">
        <f t="shared" si="7"/>
        <v>22878.954999999998</v>
      </c>
      <c r="AR53" s="332">
        <f t="shared" si="8"/>
        <v>0</v>
      </c>
      <c r="AS53" s="332">
        <f t="shared" si="9"/>
        <v>22878.954999999998</v>
      </c>
      <c r="AT53" s="332">
        <f t="shared" si="10"/>
        <v>205910.595</v>
      </c>
      <c r="AU53" s="374" t="s">
        <v>59</v>
      </c>
    </row>
    <row r="54" spans="1:47" s="366" customFormat="1" ht="15.75">
      <c r="A54" s="367">
        <v>2112</v>
      </c>
      <c r="B54" s="368">
        <v>298876</v>
      </c>
      <c r="C54" s="367">
        <v>294554</v>
      </c>
      <c r="D54" s="369" t="s">
        <v>2115</v>
      </c>
      <c r="E54" s="367"/>
      <c r="F54" s="369"/>
      <c r="G54" s="369"/>
      <c r="H54" s="369">
        <v>0</v>
      </c>
      <c r="I54" s="369" t="s">
        <v>2114</v>
      </c>
      <c r="J54" s="369"/>
      <c r="K54" s="369" t="s">
        <v>572</v>
      </c>
      <c r="L54" s="370">
        <v>44928</v>
      </c>
      <c r="M54" s="370">
        <v>44928</v>
      </c>
      <c r="N54" s="369" t="s">
        <v>2027</v>
      </c>
      <c r="O54" s="367">
        <v>1000</v>
      </c>
      <c r="P54" s="367">
        <v>14040</v>
      </c>
      <c r="Q54" s="371">
        <v>641.91999999999996</v>
      </c>
      <c r="R54" s="367">
        <v>14046</v>
      </c>
      <c r="S54" s="371">
        <v>37.44</v>
      </c>
      <c r="T54" s="371">
        <f t="shared" si="11"/>
        <v>604.48</v>
      </c>
      <c r="U54" s="372">
        <v>37.44</v>
      </c>
      <c r="V54" s="367">
        <v>51260</v>
      </c>
      <c r="W54" s="371">
        <v>5.34</v>
      </c>
      <c r="X54" s="369" t="s">
        <v>574</v>
      </c>
      <c r="Y54" s="369"/>
      <c r="Z54" s="369">
        <v>611577</v>
      </c>
      <c r="AA54" s="369"/>
      <c r="AB54" s="369" t="s">
        <v>571</v>
      </c>
      <c r="AC54" s="369" t="s">
        <v>570</v>
      </c>
      <c r="AD54" s="367" t="s">
        <v>569</v>
      </c>
      <c r="AE54" s="369"/>
      <c r="AF54" s="367" t="s">
        <v>568</v>
      </c>
      <c r="AG54" s="369">
        <v>0</v>
      </c>
      <c r="AH54" s="369">
        <v>0</v>
      </c>
      <c r="AI54" s="517">
        <v>446</v>
      </c>
      <c r="AJ54" s="518" t="s">
        <v>1879</v>
      </c>
      <c r="AK54" s="333">
        <f t="shared" si="1"/>
        <v>1</v>
      </c>
      <c r="AL54" s="333">
        <f t="shared" si="2"/>
        <v>2023</v>
      </c>
      <c r="AM54" s="333">
        <f t="shared" si="3"/>
        <v>2033</v>
      </c>
      <c r="AN54" s="334">
        <f t="shared" si="4"/>
        <v>2033.0833333333333</v>
      </c>
      <c r="AO54" s="335">
        <f t="shared" si="5"/>
        <v>5.3493333333333331</v>
      </c>
      <c r="AP54" s="335">
        <f t="shared" si="6"/>
        <v>64.191999999999993</v>
      </c>
      <c r="AQ54" s="332">
        <f t="shared" si="7"/>
        <v>64.191999999999993</v>
      </c>
      <c r="AR54" s="332">
        <f t="shared" si="8"/>
        <v>0</v>
      </c>
      <c r="AS54" s="332">
        <f t="shared" si="9"/>
        <v>64.191999999999993</v>
      </c>
      <c r="AT54" s="332">
        <f t="shared" si="10"/>
        <v>577.72799999999995</v>
      </c>
      <c r="AU54" s="374" t="s">
        <v>59</v>
      </c>
    </row>
    <row r="55" spans="1:47" s="366" customFormat="1" ht="15.75">
      <c r="A55" s="367">
        <v>2112</v>
      </c>
      <c r="B55" s="368">
        <v>298875</v>
      </c>
      <c r="C55" s="367">
        <v>298244</v>
      </c>
      <c r="D55" s="369" t="s">
        <v>2101</v>
      </c>
      <c r="E55" s="367"/>
      <c r="F55" s="369"/>
      <c r="G55" s="369"/>
      <c r="H55" s="369">
        <v>2023</v>
      </c>
      <c r="I55" s="369" t="s">
        <v>2100</v>
      </c>
      <c r="J55" s="369"/>
      <c r="K55" s="369" t="s">
        <v>572</v>
      </c>
      <c r="L55" s="370">
        <v>44949</v>
      </c>
      <c r="M55" s="370">
        <v>44949</v>
      </c>
      <c r="N55" s="369" t="s">
        <v>2097</v>
      </c>
      <c r="O55" s="367">
        <v>1000</v>
      </c>
      <c r="P55" s="367">
        <v>14040</v>
      </c>
      <c r="Q55" s="371">
        <v>848.64</v>
      </c>
      <c r="R55" s="367">
        <v>14046</v>
      </c>
      <c r="S55" s="371">
        <v>42.43</v>
      </c>
      <c r="T55" s="371">
        <f t="shared" si="11"/>
        <v>806.21</v>
      </c>
      <c r="U55" s="372">
        <v>42.43</v>
      </c>
      <c r="V55" s="367">
        <v>51260</v>
      </c>
      <c r="W55" s="371">
        <v>7.07</v>
      </c>
      <c r="X55" s="369" t="s">
        <v>574</v>
      </c>
      <c r="Y55" s="369"/>
      <c r="Z55" s="369" t="s">
        <v>2081</v>
      </c>
      <c r="AA55" s="369"/>
      <c r="AB55" s="369" t="s">
        <v>571</v>
      </c>
      <c r="AC55" s="369" t="s">
        <v>570</v>
      </c>
      <c r="AD55" s="367" t="s">
        <v>569</v>
      </c>
      <c r="AE55" s="369"/>
      <c r="AF55" s="367" t="s">
        <v>568</v>
      </c>
      <c r="AG55" s="369">
        <v>0</v>
      </c>
      <c r="AH55" s="369">
        <v>0</v>
      </c>
      <c r="AI55" s="517">
        <v>895</v>
      </c>
      <c r="AJ55" s="518" t="s">
        <v>1881</v>
      </c>
      <c r="AK55" s="333">
        <f t="shared" si="1"/>
        <v>1</v>
      </c>
      <c r="AL55" s="333">
        <f t="shared" si="2"/>
        <v>2023</v>
      </c>
      <c r="AM55" s="333">
        <f t="shared" si="3"/>
        <v>2033</v>
      </c>
      <c r="AN55" s="334">
        <f t="shared" si="4"/>
        <v>2033.0833333333333</v>
      </c>
      <c r="AO55" s="335">
        <f t="shared" si="5"/>
        <v>7.0720000000000001</v>
      </c>
      <c r="AP55" s="335">
        <f t="shared" si="6"/>
        <v>84.864000000000004</v>
      </c>
      <c r="AQ55" s="332">
        <f t="shared" si="7"/>
        <v>84.864000000000004</v>
      </c>
      <c r="AR55" s="332">
        <f t="shared" si="8"/>
        <v>0</v>
      </c>
      <c r="AS55" s="332">
        <f t="shared" si="9"/>
        <v>84.864000000000004</v>
      </c>
      <c r="AT55" s="332">
        <f t="shared" si="10"/>
        <v>763.77599999999995</v>
      </c>
      <c r="AU55" s="374" t="s">
        <v>59</v>
      </c>
    </row>
    <row r="56" spans="1:47" s="366" customFormat="1" ht="15.75">
      <c r="A56" s="367">
        <v>2112</v>
      </c>
      <c r="B56" s="368">
        <v>298244</v>
      </c>
      <c r="C56" s="367" t="s">
        <v>574</v>
      </c>
      <c r="D56" s="369" t="s">
        <v>2105</v>
      </c>
      <c r="E56" s="367"/>
      <c r="F56" s="369" t="s">
        <v>2098</v>
      </c>
      <c r="G56" s="369" t="s">
        <v>2104</v>
      </c>
      <c r="H56" s="369">
        <v>2023</v>
      </c>
      <c r="I56" s="369" t="s">
        <v>1533</v>
      </c>
      <c r="J56" s="369" t="s">
        <v>855</v>
      </c>
      <c r="K56" s="369" t="s">
        <v>2103</v>
      </c>
      <c r="L56" s="370">
        <v>44949</v>
      </c>
      <c r="M56" s="370">
        <v>44949</v>
      </c>
      <c r="N56" s="369" t="s">
        <v>2102</v>
      </c>
      <c r="O56" s="367">
        <v>1000</v>
      </c>
      <c r="P56" s="367">
        <v>14040</v>
      </c>
      <c r="Q56" s="371">
        <v>199299.54</v>
      </c>
      <c r="R56" s="367">
        <v>14046</v>
      </c>
      <c r="S56" s="371">
        <v>9964.98</v>
      </c>
      <c r="T56" s="371">
        <f t="shared" si="11"/>
        <v>189334.56</v>
      </c>
      <c r="U56" s="372">
        <v>9964.98</v>
      </c>
      <c r="V56" s="367">
        <v>51260</v>
      </c>
      <c r="W56" s="371">
        <v>1660.83</v>
      </c>
      <c r="X56" s="369" t="s">
        <v>574</v>
      </c>
      <c r="Y56" s="369"/>
      <c r="Z56" s="369"/>
      <c r="AA56" s="369">
        <v>895</v>
      </c>
      <c r="AB56" s="369" t="s">
        <v>571</v>
      </c>
      <c r="AC56" s="369" t="s">
        <v>570</v>
      </c>
      <c r="AD56" s="367" t="s">
        <v>569</v>
      </c>
      <c r="AE56" s="369"/>
      <c r="AF56" s="367" t="s">
        <v>568</v>
      </c>
      <c r="AG56" s="369">
        <v>0</v>
      </c>
      <c r="AH56" s="369">
        <v>0</v>
      </c>
      <c r="AI56" s="517">
        <v>895</v>
      </c>
      <c r="AJ56" s="518" t="s">
        <v>1881</v>
      </c>
      <c r="AK56" s="333">
        <f t="shared" si="1"/>
        <v>1</v>
      </c>
      <c r="AL56" s="333">
        <f t="shared" si="2"/>
        <v>2023</v>
      </c>
      <c r="AM56" s="333">
        <f t="shared" si="3"/>
        <v>2033</v>
      </c>
      <c r="AN56" s="334">
        <f t="shared" si="4"/>
        <v>2033.0833333333333</v>
      </c>
      <c r="AO56" s="335">
        <f t="shared" si="5"/>
        <v>1660.8295000000001</v>
      </c>
      <c r="AP56" s="335">
        <f t="shared" si="6"/>
        <v>19929.954000000002</v>
      </c>
      <c r="AQ56" s="332">
        <f t="shared" si="7"/>
        <v>19929.954000000002</v>
      </c>
      <c r="AR56" s="332">
        <f t="shared" si="8"/>
        <v>0</v>
      </c>
      <c r="AS56" s="332">
        <f t="shared" si="9"/>
        <v>19929.954000000002</v>
      </c>
      <c r="AT56" s="332">
        <f t="shared" si="10"/>
        <v>179369.58600000001</v>
      </c>
      <c r="AU56" s="374" t="s">
        <v>59</v>
      </c>
    </row>
    <row r="57" spans="1:47" s="366" customFormat="1" ht="15.75">
      <c r="A57" s="367">
        <v>2112</v>
      </c>
      <c r="B57" s="368">
        <v>298176</v>
      </c>
      <c r="C57" s="367">
        <v>298175</v>
      </c>
      <c r="D57" s="369" t="s">
        <v>2028</v>
      </c>
      <c r="E57" s="367"/>
      <c r="F57" s="369" t="s">
        <v>2107</v>
      </c>
      <c r="G57" s="369"/>
      <c r="H57" s="369">
        <v>2023</v>
      </c>
      <c r="I57" s="369" t="s">
        <v>2064</v>
      </c>
      <c r="J57" s="369" t="s">
        <v>2064</v>
      </c>
      <c r="K57" s="369" t="s">
        <v>572</v>
      </c>
      <c r="L57" s="370">
        <v>44881</v>
      </c>
      <c r="M57" s="370">
        <v>44881</v>
      </c>
      <c r="N57" s="369" t="s">
        <v>2106</v>
      </c>
      <c r="O57" s="367">
        <v>1000</v>
      </c>
      <c r="P57" s="367">
        <v>14040</v>
      </c>
      <c r="Q57" s="371">
        <v>244.8</v>
      </c>
      <c r="R57" s="367">
        <v>14046</v>
      </c>
      <c r="S57" s="371">
        <v>16.32</v>
      </c>
      <c r="T57" s="371">
        <f t="shared" si="11"/>
        <v>228.48000000000002</v>
      </c>
      <c r="U57" s="372">
        <v>14.28</v>
      </c>
      <c r="V57" s="367">
        <v>51260</v>
      </c>
      <c r="W57" s="371">
        <v>2.04</v>
      </c>
      <c r="X57" s="369" t="s">
        <v>574</v>
      </c>
      <c r="Y57" s="369"/>
      <c r="Z57" s="369">
        <v>3515</v>
      </c>
      <c r="AA57" s="369"/>
      <c r="AB57" s="369" t="s">
        <v>571</v>
      </c>
      <c r="AC57" s="369" t="s">
        <v>570</v>
      </c>
      <c r="AD57" s="367" t="s">
        <v>569</v>
      </c>
      <c r="AE57" s="373">
        <v>44926</v>
      </c>
      <c r="AF57" s="367" t="s">
        <v>568</v>
      </c>
      <c r="AG57" s="369">
        <v>0</v>
      </c>
      <c r="AH57" s="369">
        <v>2.04</v>
      </c>
      <c r="AI57" s="517">
        <v>894</v>
      </c>
      <c r="AJ57" s="518" t="s">
        <v>1884</v>
      </c>
      <c r="AK57" s="333">
        <f t="shared" si="1"/>
        <v>11</v>
      </c>
      <c r="AL57" s="333">
        <f t="shared" si="2"/>
        <v>2022</v>
      </c>
      <c r="AM57" s="333">
        <f t="shared" si="3"/>
        <v>2032</v>
      </c>
      <c r="AN57" s="334">
        <f t="shared" si="4"/>
        <v>2032.9166666666667</v>
      </c>
      <c r="AO57" s="335">
        <f t="shared" si="5"/>
        <v>2.04</v>
      </c>
      <c r="AP57" s="335">
        <f t="shared" si="6"/>
        <v>24.48</v>
      </c>
      <c r="AQ57" s="332">
        <f t="shared" si="7"/>
        <v>24.48</v>
      </c>
      <c r="AR57" s="332">
        <f t="shared" si="8"/>
        <v>0</v>
      </c>
      <c r="AS57" s="332">
        <f t="shared" si="9"/>
        <v>24.48</v>
      </c>
      <c r="AT57" s="332">
        <f t="shared" si="10"/>
        <v>220.32000000000002</v>
      </c>
      <c r="AU57" s="374" t="s">
        <v>59</v>
      </c>
    </row>
    <row r="58" spans="1:47" s="366" customFormat="1" ht="15.75">
      <c r="A58" s="367">
        <v>2112</v>
      </c>
      <c r="B58" s="368">
        <v>298175</v>
      </c>
      <c r="C58" s="367" t="s">
        <v>574</v>
      </c>
      <c r="D58" s="369" t="s">
        <v>2110</v>
      </c>
      <c r="E58" s="367"/>
      <c r="F58" s="369" t="s">
        <v>2107</v>
      </c>
      <c r="G58" s="369" t="s">
        <v>2109</v>
      </c>
      <c r="H58" s="369">
        <v>2023</v>
      </c>
      <c r="I58" s="369" t="s">
        <v>1533</v>
      </c>
      <c r="J58" s="369" t="s">
        <v>2108</v>
      </c>
      <c r="K58" s="369" t="s">
        <v>767</v>
      </c>
      <c r="L58" s="370">
        <v>44881</v>
      </c>
      <c r="M58" s="370">
        <v>44881</v>
      </c>
      <c r="N58" s="369" t="s">
        <v>2106</v>
      </c>
      <c r="O58" s="367">
        <v>1000</v>
      </c>
      <c r="P58" s="367">
        <v>14040</v>
      </c>
      <c r="Q58" s="371">
        <v>336162.2</v>
      </c>
      <c r="R58" s="367">
        <v>14046</v>
      </c>
      <c r="S58" s="371">
        <v>22410.81</v>
      </c>
      <c r="T58" s="371">
        <f t="shared" si="11"/>
        <v>313751.39</v>
      </c>
      <c r="U58" s="372">
        <v>19609.46</v>
      </c>
      <c r="V58" s="367">
        <v>51260</v>
      </c>
      <c r="W58" s="371">
        <v>2801.35</v>
      </c>
      <c r="X58" s="369" t="s">
        <v>574</v>
      </c>
      <c r="Y58" s="369"/>
      <c r="Z58" s="369"/>
      <c r="AA58" s="369">
        <v>894</v>
      </c>
      <c r="AB58" s="369" t="s">
        <v>571</v>
      </c>
      <c r="AC58" s="369" t="s">
        <v>570</v>
      </c>
      <c r="AD58" s="367" t="s">
        <v>569</v>
      </c>
      <c r="AE58" s="373">
        <v>44926</v>
      </c>
      <c r="AF58" s="367" t="s">
        <v>568</v>
      </c>
      <c r="AG58" s="369">
        <v>0</v>
      </c>
      <c r="AH58" s="369">
        <v>2801.35</v>
      </c>
      <c r="AI58" s="517">
        <v>894</v>
      </c>
      <c r="AJ58" s="518" t="s">
        <v>1884</v>
      </c>
      <c r="AK58" s="333">
        <f t="shared" si="1"/>
        <v>11</v>
      </c>
      <c r="AL58" s="333">
        <f t="shared" si="2"/>
        <v>2022</v>
      </c>
      <c r="AM58" s="333">
        <f t="shared" si="3"/>
        <v>2032</v>
      </c>
      <c r="AN58" s="334">
        <f t="shared" si="4"/>
        <v>2032.9166666666667</v>
      </c>
      <c r="AO58" s="335">
        <f t="shared" si="5"/>
        <v>2801.3516666666669</v>
      </c>
      <c r="AP58" s="335">
        <f t="shared" si="6"/>
        <v>33616.22</v>
      </c>
      <c r="AQ58" s="332">
        <f t="shared" si="7"/>
        <v>33616.22</v>
      </c>
      <c r="AR58" s="332">
        <f t="shared" si="8"/>
        <v>0</v>
      </c>
      <c r="AS58" s="332">
        <f t="shared" si="9"/>
        <v>33616.22</v>
      </c>
      <c r="AT58" s="332">
        <f t="shared" si="10"/>
        <v>302545.98</v>
      </c>
      <c r="AU58" s="374" t="s">
        <v>59</v>
      </c>
    </row>
    <row r="59" spans="1:47" s="366" customFormat="1" ht="15.75">
      <c r="A59" s="367">
        <v>2112</v>
      </c>
      <c r="B59" s="368">
        <v>298107</v>
      </c>
      <c r="C59" s="367" t="s">
        <v>574</v>
      </c>
      <c r="D59" s="369" t="s">
        <v>2112</v>
      </c>
      <c r="E59" s="367">
        <v>720</v>
      </c>
      <c r="F59" s="369"/>
      <c r="G59" s="369"/>
      <c r="H59" s="369">
        <v>0</v>
      </c>
      <c r="I59" s="369" t="s">
        <v>886</v>
      </c>
      <c r="J59" s="369"/>
      <c r="K59" s="369" t="s">
        <v>1564</v>
      </c>
      <c r="L59" s="370">
        <v>44928</v>
      </c>
      <c r="M59" s="370">
        <v>44928</v>
      </c>
      <c r="N59" s="369" t="s">
        <v>2111</v>
      </c>
      <c r="O59" s="367">
        <v>500</v>
      </c>
      <c r="P59" s="367">
        <v>14050</v>
      </c>
      <c r="Q59" s="371">
        <v>7794.43</v>
      </c>
      <c r="R59" s="367">
        <v>14056</v>
      </c>
      <c r="S59" s="371">
        <v>909.35</v>
      </c>
      <c r="T59" s="371">
        <f t="shared" si="11"/>
        <v>6885.08</v>
      </c>
      <c r="U59" s="372">
        <v>909.35</v>
      </c>
      <c r="V59" s="367">
        <v>54260</v>
      </c>
      <c r="W59" s="371">
        <v>129.9</v>
      </c>
      <c r="X59" s="369" t="s">
        <v>574</v>
      </c>
      <c r="Y59" s="369"/>
      <c r="Z59" s="369">
        <v>34236</v>
      </c>
      <c r="AA59" s="369"/>
      <c r="AB59" s="369" t="s">
        <v>571</v>
      </c>
      <c r="AC59" s="369" t="s">
        <v>570</v>
      </c>
      <c r="AD59" s="367" t="s">
        <v>569</v>
      </c>
      <c r="AE59" s="369"/>
      <c r="AF59" s="367" t="s">
        <v>568</v>
      </c>
      <c r="AG59" s="369">
        <v>0</v>
      </c>
      <c r="AH59" s="369">
        <v>0</v>
      </c>
      <c r="AI59" s="517"/>
      <c r="AJ59" s="519" t="s">
        <v>1894</v>
      </c>
      <c r="AK59" s="333">
        <f t="shared" si="1"/>
        <v>1</v>
      </c>
      <c r="AL59" s="333">
        <f t="shared" si="2"/>
        <v>2023</v>
      </c>
      <c r="AM59" s="333">
        <f t="shared" si="3"/>
        <v>2028</v>
      </c>
      <c r="AN59" s="334">
        <f t="shared" si="4"/>
        <v>2028.0833333333333</v>
      </c>
      <c r="AO59" s="335">
        <f t="shared" si="5"/>
        <v>129.90716666666665</v>
      </c>
      <c r="AP59" s="335">
        <f t="shared" si="6"/>
        <v>1558.886</v>
      </c>
      <c r="AQ59" s="332">
        <f t="shared" si="7"/>
        <v>1558.886</v>
      </c>
      <c r="AR59" s="332">
        <f t="shared" si="8"/>
        <v>0</v>
      </c>
      <c r="AS59" s="332">
        <f t="shared" si="9"/>
        <v>1558.886</v>
      </c>
      <c r="AT59" s="332">
        <f t="shared" si="10"/>
        <v>6235.5439999999999</v>
      </c>
      <c r="AU59" s="374" t="s">
        <v>59</v>
      </c>
    </row>
    <row r="60" spans="1:47" s="366" customFormat="1" ht="15.75">
      <c r="A60" s="367">
        <v>2112</v>
      </c>
      <c r="B60" s="368">
        <v>297478</v>
      </c>
      <c r="C60" s="367">
        <v>294555</v>
      </c>
      <c r="D60" s="369" t="s">
        <v>2028</v>
      </c>
      <c r="E60" s="367"/>
      <c r="F60" s="369"/>
      <c r="G60" s="369"/>
      <c r="H60" s="369">
        <v>0</v>
      </c>
      <c r="I60" s="369" t="s">
        <v>2029</v>
      </c>
      <c r="J60" s="369"/>
      <c r="K60" s="369" t="s">
        <v>572</v>
      </c>
      <c r="L60" s="370">
        <v>44901</v>
      </c>
      <c r="M60" s="370">
        <v>44901</v>
      </c>
      <c r="N60" s="369" t="s">
        <v>2031</v>
      </c>
      <c r="O60" s="367">
        <v>1000</v>
      </c>
      <c r="P60" s="367">
        <v>14040</v>
      </c>
      <c r="Q60" s="371">
        <v>244.8</v>
      </c>
      <c r="R60" s="367">
        <v>14046</v>
      </c>
      <c r="S60" s="371">
        <v>16.32</v>
      </c>
      <c r="T60" s="371">
        <f t="shared" si="11"/>
        <v>228.48000000000002</v>
      </c>
      <c r="U60" s="372">
        <v>14.28</v>
      </c>
      <c r="V60" s="367">
        <v>51260</v>
      </c>
      <c r="W60" s="371">
        <v>2.04</v>
      </c>
      <c r="X60" s="369" t="s">
        <v>574</v>
      </c>
      <c r="Y60" s="369"/>
      <c r="Z60" s="369">
        <v>3187</v>
      </c>
      <c r="AA60" s="369"/>
      <c r="AB60" s="369" t="s">
        <v>571</v>
      </c>
      <c r="AC60" s="369" t="s">
        <v>570</v>
      </c>
      <c r="AD60" s="367" t="s">
        <v>569</v>
      </c>
      <c r="AE60" s="369"/>
      <c r="AF60" s="367" t="s">
        <v>568</v>
      </c>
      <c r="AG60" s="369">
        <v>0</v>
      </c>
      <c r="AH60" s="369">
        <v>0</v>
      </c>
      <c r="AI60" s="517">
        <v>447</v>
      </c>
      <c r="AJ60" s="518" t="s">
        <v>1879</v>
      </c>
      <c r="AK60" s="333">
        <f t="shared" si="1"/>
        <v>12</v>
      </c>
      <c r="AL60" s="333">
        <f t="shared" si="2"/>
        <v>2022</v>
      </c>
      <c r="AM60" s="333">
        <f t="shared" si="3"/>
        <v>2032</v>
      </c>
      <c r="AN60" s="334">
        <f t="shared" si="4"/>
        <v>2033</v>
      </c>
      <c r="AO60" s="335">
        <f t="shared" si="5"/>
        <v>2.04</v>
      </c>
      <c r="AP60" s="335">
        <f t="shared" si="6"/>
        <v>24.48</v>
      </c>
      <c r="AQ60" s="332">
        <f t="shared" si="7"/>
        <v>24.48</v>
      </c>
      <c r="AR60" s="332">
        <f t="shared" si="8"/>
        <v>0</v>
      </c>
      <c r="AS60" s="332">
        <f t="shared" si="9"/>
        <v>24.48</v>
      </c>
      <c r="AT60" s="332">
        <f t="shared" si="10"/>
        <v>220.32000000000002</v>
      </c>
      <c r="AU60" s="374" t="s">
        <v>59</v>
      </c>
    </row>
    <row r="61" spans="1:47" s="366" customFormat="1" ht="15.75">
      <c r="A61" s="367">
        <v>2112</v>
      </c>
      <c r="B61" s="368">
        <v>297477</v>
      </c>
      <c r="C61" s="367">
        <v>294554</v>
      </c>
      <c r="D61" s="369" t="s">
        <v>2028</v>
      </c>
      <c r="E61" s="367"/>
      <c r="F61" s="369"/>
      <c r="G61" s="369"/>
      <c r="H61" s="369">
        <v>0</v>
      </c>
      <c r="I61" s="369" t="s">
        <v>2029</v>
      </c>
      <c r="J61" s="369"/>
      <c r="K61" s="369" t="s">
        <v>572</v>
      </c>
      <c r="L61" s="370">
        <v>44865</v>
      </c>
      <c r="M61" s="370">
        <v>44865</v>
      </c>
      <c r="N61" s="369" t="s">
        <v>2027</v>
      </c>
      <c r="O61" s="367">
        <v>1000</v>
      </c>
      <c r="P61" s="367">
        <v>14040</v>
      </c>
      <c r="Q61" s="371">
        <v>244.8</v>
      </c>
      <c r="R61" s="367">
        <v>14046</v>
      </c>
      <c r="S61" s="371">
        <v>18.36</v>
      </c>
      <c r="T61" s="371">
        <f t="shared" si="11"/>
        <v>226.44</v>
      </c>
      <c r="U61" s="372">
        <v>14.28</v>
      </c>
      <c r="V61" s="367">
        <v>51260</v>
      </c>
      <c r="W61" s="371">
        <v>2.04</v>
      </c>
      <c r="X61" s="369" t="s">
        <v>574</v>
      </c>
      <c r="Y61" s="369"/>
      <c r="Z61" s="369">
        <v>3187</v>
      </c>
      <c r="AA61" s="369"/>
      <c r="AB61" s="369" t="s">
        <v>571</v>
      </c>
      <c r="AC61" s="369" t="s">
        <v>570</v>
      </c>
      <c r="AD61" s="367" t="s">
        <v>569</v>
      </c>
      <c r="AE61" s="369"/>
      <c r="AF61" s="367" t="s">
        <v>568</v>
      </c>
      <c r="AG61" s="369">
        <v>0</v>
      </c>
      <c r="AH61" s="369">
        <v>0</v>
      </c>
      <c r="AI61" s="517">
        <v>446</v>
      </c>
      <c r="AJ61" s="518" t="s">
        <v>1879</v>
      </c>
      <c r="AK61" s="333">
        <f t="shared" si="1"/>
        <v>10</v>
      </c>
      <c r="AL61" s="333">
        <f t="shared" si="2"/>
        <v>2022</v>
      </c>
      <c r="AM61" s="333">
        <f t="shared" si="3"/>
        <v>2032</v>
      </c>
      <c r="AN61" s="334">
        <f t="shared" si="4"/>
        <v>2032.8333333333333</v>
      </c>
      <c r="AO61" s="335">
        <f t="shared" si="5"/>
        <v>2.04</v>
      </c>
      <c r="AP61" s="335">
        <f t="shared" si="6"/>
        <v>24.48</v>
      </c>
      <c r="AQ61" s="332">
        <f t="shared" si="7"/>
        <v>24.48</v>
      </c>
      <c r="AR61" s="332">
        <f t="shared" si="8"/>
        <v>0</v>
      </c>
      <c r="AS61" s="332">
        <f t="shared" si="9"/>
        <v>24.48</v>
      </c>
      <c r="AT61" s="332">
        <f t="shared" si="10"/>
        <v>220.32000000000002</v>
      </c>
      <c r="AU61" s="374" t="s">
        <v>59</v>
      </c>
    </row>
    <row r="62" spans="1:47" s="366" customFormat="1" ht="15.75">
      <c r="A62" s="367">
        <v>2112</v>
      </c>
      <c r="B62" s="368">
        <v>294774</v>
      </c>
      <c r="C62" s="367" t="s">
        <v>574</v>
      </c>
      <c r="D62" s="369" t="s">
        <v>2032</v>
      </c>
      <c r="E62" s="367">
        <v>2</v>
      </c>
      <c r="F62" s="369"/>
      <c r="G62" s="369"/>
      <c r="H62" s="369">
        <v>0</v>
      </c>
      <c r="I62" s="369" t="s">
        <v>1497</v>
      </c>
      <c r="J62" s="369"/>
      <c r="K62" s="369" t="s">
        <v>1037</v>
      </c>
      <c r="L62" s="370">
        <v>44848</v>
      </c>
      <c r="M62" s="370">
        <v>44848</v>
      </c>
      <c r="N62" s="369" t="s">
        <v>2033</v>
      </c>
      <c r="O62" s="367">
        <v>1200</v>
      </c>
      <c r="P62" s="367">
        <v>14050</v>
      </c>
      <c r="Q62" s="371">
        <v>29907</v>
      </c>
      <c r="R62" s="367">
        <v>14056</v>
      </c>
      <c r="S62" s="371">
        <v>2076.87</v>
      </c>
      <c r="T62" s="371">
        <f t="shared" si="11"/>
        <v>27830.13</v>
      </c>
      <c r="U62" s="372">
        <v>1453.81</v>
      </c>
      <c r="V62" s="367">
        <v>54260</v>
      </c>
      <c r="W62" s="371">
        <v>207.68</v>
      </c>
      <c r="X62" s="369" t="s">
        <v>574</v>
      </c>
      <c r="Y62" s="369"/>
      <c r="Z62" s="369" t="s">
        <v>2034</v>
      </c>
      <c r="AA62" s="369"/>
      <c r="AB62" s="369" t="s">
        <v>571</v>
      </c>
      <c r="AC62" s="369" t="s">
        <v>570</v>
      </c>
      <c r="AD62" s="367" t="s">
        <v>569</v>
      </c>
      <c r="AE62" s="369"/>
      <c r="AF62" s="367" t="s">
        <v>568</v>
      </c>
      <c r="AG62" s="369">
        <v>0</v>
      </c>
      <c r="AH62" s="369">
        <v>0</v>
      </c>
      <c r="AI62" s="517"/>
      <c r="AJ62" s="518" t="s">
        <v>257</v>
      </c>
      <c r="AK62" s="333">
        <f t="shared" si="1"/>
        <v>10</v>
      </c>
      <c r="AL62" s="333">
        <f t="shared" si="2"/>
        <v>2022</v>
      </c>
      <c r="AM62" s="333">
        <f t="shared" si="3"/>
        <v>2034</v>
      </c>
      <c r="AN62" s="334">
        <f t="shared" si="4"/>
        <v>2034.8333333333333</v>
      </c>
      <c r="AO62" s="335">
        <f t="shared" si="5"/>
        <v>207.6875</v>
      </c>
      <c r="AP62" s="335">
        <f t="shared" si="6"/>
        <v>2492.25</v>
      </c>
      <c r="AQ62" s="332">
        <f t="shared" si="7"/>
        <v>2492.25</v>
      </c>
      <c r="AR62" s="332">
        <f t="shared" si="8"/>
        <v>0</v>
      </c>
      <c r="AS62" s="332">
        <f t="shared" si="9"/>
        <v>2492.25</v>
      </c>
      <c r="AT62" s="332">
        <f t="shared" si="10"/>
        <v>27414.75</v>
      </c>
      <c r="AU62" s="374" t="s">
        <v>59</v>
      </c>
    </row>
    <row r="63" spans="1:47" s="366" customFormat="1" ht="15.75">
      <c r="A63" s="367">
        <v>2112</v>
      </c>
      <c r="B63" s="368">
        <v>294555</v>
      </c>
      <c r="C63" s="367" t="s">
        <v>574</v>
      </c>
      <c r="D63" s="369" t="s">
        <v>2025</v>
      </c>
      <c r="E63" s="367"/>
      <c r="F63" s="369" t="s">
        <v>2030</v>
      </c>
      <c r="G63" s="369" t="s">
        <v>2113</v>
      </c>
      <c r="H63" s="369">
        <v>2023</v>
      </c>
      <c r="I63" s="369" t="s">
        <v>998</v>
      </c>
      <c r="J63" s="369" t="s">
        <v>1371</v>
      </c>
      <c r="K63" s="369" t="s">
        <v>699</v>
      </c>
      <c r="L63" s="370">
        <v>44901</v>
      </c>
      <c r="M63" s="370">
        <v>44901</v>
      </c>
      <c r="N63" s="369" t="s">
        <v>2031</v>
      </c>
      <c r="O63" s="367">
        <v>1000</v>
      </c>
      <c r="P63" s="367">
        <v>14040</v>
      </c>
      <c r="Q63" s="371">
        <v>301853.17</v>
      </c>
      <c r="R63" s="367">
        <v>14046</v>
      </c>
      <c r="S63" s="371">
        <v>20123.54</v>
      </c>
      <c r="T63" s="371">
        <f t="shared" si="11"/>
        <v>281729.63</v>
      </c>
      <c r="U63" s="372">
        <v>17608.099999999999</v>
      </c>
      <c r="V63" s="367">
        <v>51260</v>
      </c>
      <c r="W63" s="371">
        <v>2515.44</v>
      </c>
      <c r="X63" s="369" t="s">
        <v>574</v>
      </c>
      <c r="Y63" s="369"/>
      <c r="Z63" s="369"/>
      <c r="AA63" s="369">
        <v>447</v>
      </c>
      <c r="AB63" s="369" t="s">
        <v>571</v>
      </c>
      <c r="AC63" s="369" t="s">
        <v>570</v>
      </c>
      <c r="AD63" s="367" t="s">
        <v>569</v>
      </c>
      <c r="AE63" s="369"/>
      <c r="AF63" s="367" t="s">
        <v>568</v>
      </c>
      <c r="AG63" s="369">
        <v>0</v>
      </c>
      <c r="AH63" s="369">
        <v>0</v>
      </c>
      <c r="AI63" s="517">
        <v>447</v>
      </c>
      <c r="AJ63" s="518" t="s">
        <v>1879</v>
      </c>
      <c r="AK63" s="333">
        <f t="shared" si="1"/>
        <v>12</v>
      </c>
      <c r="AL63" s="333">
        <f t="shared" si="2"/>
        <v>2022</v>
      </c>
      <c r="AM63" s="333">
        <f t="shared" si="3"/>
        <v>2032</v>
      </c>
      <c r="AN63" s="334">
        <f t="shared" si="4"/>
        <v>2033</v>
      </c>
      <c r="AO63" s="335">
        <f t="shared" si="5"/>
        <v>2515.4430833333331</v>
      </c>
      <c r="AP63" s="335">
        <f t="shared" si="6"/>
        <v>30185.316999999995</v>
      </c>
      <c r="AQ63" s="332">
        <f t="shared" si="7"/>
        <v>30185.316999999995</v>
      </c>
      <c r="AR63" s="332">
        <f t="shared" si="8"/>
        <v>0</v>
      </c>
      <c r="AS63" s="332">
        <f t="shared" si="9"/>
        <v>30185.316999999995</v>
      </c>
      <c r="AT63" s="332">
        <f t="shared" si="10"/>
        <v>271667.853</v>
      </c>
      <c r="AU63" s="374" t="s">
        <v>59</v>
      </c>
    </row>
    <row r="64" spans="1:47" s="366" customFormat="1" ht="15.75">
      <c r="A64" s="367">
        <v>2112</v>
      </c>
      <c r="B64" s="368">
        <v>294554</v>
      </c>
      <c r="C64" s="367" t="s">
        <v>574</v>
      </c>
      <c r="D64" s="369" t="s">
        <v>2025</v>
      </c>
      <c r="E64" s="367"/>
      <c r="F64" s="369" t="s">
        <v>2026</v>
      </c>
      <c r="G64" s="369" t="s">
        <v>2116</v>
      </c>
      <c r="H64" s="369">
        <v>2023</v>
      </c>
      <c r="I64" s="369" t="s">
        <v>998</v>
      </c>
      <c r="J64" s="369" t="s">
        <v>1371</v>
      </c>
      <c r="K64" s="369" t="s">
        <v>699</v>
      </c>
      <c r="L64" s="370">
        <v>44865</v>
      </c>
      <c r="M64" s="370">
        <v>44865</v>
      </c>
      <c r="N64" s="369" t="s">
        <v>2027</v>
      </c>
      <c r="O64" s="367">
        <v>1000</v>
      </c>
      <c r="P64" s="367">
        <v>14040</v>
      </c>
      <c r="Q64" s="371">
        <v>296244.28000000003</v>
      </c>
      <c r="R64" s="367">
        <v>14046</v>
      </c>
      <c r="S64" s="371">
        <v>22218.33</v>
      </c>
      <c r="T64" s="371">
        <f t="shared" si="11"/>
        <v>274025.95</v>
      </c>
      <c r="U64" s="372">
        <v>17280.919999999998</v>
      </c>
      <c r="V64" s="367">
        <v>51260</v>
      </c>
      <c r="W64" s="371">
        <v>2468.6999999999998</v>
      </c>
      <c r="X64" s="369" t="s">
        <v>574</v>
      </c>
      <c r="Y64" s="369"/>
      <c r="Z64" s="369"/>
      <c r="AA64" s="369">
        <v>446</v>
      </c>
      <c r="AB64" s="369" t="s">
        <v>571</v>
      </c>
      <c r="AC64" s="369" t="s">
        <v>570</v>
      </c>
      <c r="AD64" s="367" t="s">
        <v>569</v>
      </c>
      <c r="AE64" s="369"/>
      <c r="AF64" s="367" t="s">
        <v>568</v>
      </c>
      <c r="AG64" s="369">
        <v>0</v>
      </c>
      <c r="AH64" s="369">
        <v>0</v>
      </c>
      <c r="AI64" s="517">
        <v>446</v>
      </c>
      <c r="AJ64" s="518" t="s">
        <v>1879</v>
      </c>
      <c r="AK64" s="333">
        <f t="shared" si="1"/>
        <v>10</v>
      </c>
      <c r="AL64" s="333">
        <f t="shared" si="2"/>
        <v>2022</v>
      </c>
      <c r="AM64" s="333">
        <f t="shared" si="3"/>
        <v>2032</v>
      </c>
      <c r="AN64" s="334">
        <f t="shared" si="4"/>
        <v>2032.8333333333333</v>
      </c>
      <c r="AO64" s="335">
        <f t="shared" si="5"/>
        <v>2468.7023333333336</v>
      </c>
      <c r="AP64" s="335">
        <f t="shared" si="6"/>
        <v>29624.428000000004</v>
      </c>
      <c r="AQ64" s="332">
        <f t="shared" si="7"/>
        <v>29624.428000000004</v>
      </c>
      <c r="AR64" s="332">
        <f t="shared" si="8"/>
        <v>0</v>
      </c>
      <c r="AS64" s="332">
        <f t="shared" si="9"/>
        <v>29624.428000000004</v>
      </c>
      <c r="AT64" s="332">
        <f t="shared" si="10"/>
        <v>266619.85200000001</v>
      </c>
      <c r="AU64" s="374" t="s">
        <v>59</v>
      </c>
    </row>
    <row r="65" spans="1:47" s="366" customFormat="1" ht="15.75">
      <c r="A65" s="367">
        <v>2112</v>
      </c>
      <c r="B65" s="368">
        <v>290998</v>
      </c>
      <c r="C65" s="367">
        <v>290995</v>
      </c>
      <c r="D65" s="369" t="s">
        <v>2023</v>
      </c>
      <c r="E65" s="367">
        <v>0</v>
      </c>
      <c r="F65" s="369"/>
      <c r="G65" s="369"/>
      <c r="H65" s="369">
        <v>0</v>
      </c>
      <c r="I65" s="369" t="s">
        <v>2024</v>
      </c>
      <c r="J65" s="369"/>
      <c r="K65" s="369" t="s">
        <v>572</v>
      </c>
      <c r="L65" s="370">
        <v>40541</v>
      </c>
      <c r="M65" s="370">
        <v>40541</v>
      </c>
      <c r="N65" s="369" t="s">
        <v>2020</v>
      </c>
      <c r="O65" s="367">
        <v>300</v>
      </c>
      <c r="P65" s="367">
        <v>14040</v>
      </c>
      <c r="Q65" s="371">
        <v>5632.16</v>
      </c>
      <c r="R65" s="367">
        <v>14046</v>
      </c>
      <c r="S65" s="371">
        <v>5632.16</v>
      </c>
      <c r="T65" s="371">
        <f t="shared" si="11"/>
        <v>0</v>
      </c>
      <c r="U65" s="372">
        <v>0</v>
      </c>
      <c r="V65" s="367">
        <v>51260</v>
      </c>
      <c r="W65" s="371">
        <v>0</v>
      </c>
      <c r="X65" s="369" t="s">
        <v>574</v>
      </c>
      <c r="Y65" s="369"/>
      <c r="Z65" s="369">
        <v>48955</v>
      </c>
      <c r="AA65" s="369"/>
      <c r="AB65" s="369" t="s">
        <v>571</v>
      </c>
      <c r="AC65" s="369" t="s">
        <v>570</v>
      </c>
      <c r="AD65" s="367" t="s">
        <v>569</v>
      </c>
      <c r="AE65" s="373">
        <v>44834</v>
      </c>
      <c r="AF65" s="367" t="s">
        <v>568</v>
      </c>
      <c r="AG65" s="369">
        <v>0</v>
      </c>
      <c r="AH65" s="369">
        <v>5632.16</v>
      </c>
      <c r="AI65" s="517">
        <v>9577</v>
      </c>
      <c r="AJ65" s="518" t="s">
        <v>1227</v>
      </c>
      <c r="AK65" s="333">
        <f t="shared" si="1"/>
        <v>12</v>
      </c>
      <c r="AL65" s="333">
        <f t="shared" si="2"/>
        <v>2010</v>
      </c>
      <c r="AM65" s="333">
        <f t="shared" si="3"/>
        <v>2013</v>
      </c>
      <c r="AN65" s="334">
        <f t="shared" si="4"/>
        <v>2014</v>
      </c>
      <c r="AO65" s="335">
        <f t="shared" si="5"/>
        <v>156.44888888888889</v>
      </c>
      <c r="AP65" s="335">
        <f t="shared" si="6"/>
        <v>1877.3866666666668</v>
      </c>
      <c r="AQ65" s="332">
        <f t="shared" si="7"/>
        <v>0</v>
      </c>
      <c r="AR65" s="332">
        <f t="shared" si="8"/>
        <v>5632.16</v>
      </c>
      <c r="AS65" s="332">
        <f t="shared" si="9"/>
        <v>5632.16</v>
      </c>
      <c r="AT65" s="332">
        <f t="shared" si="10"/>
        <v>0</v>
      </c>
      <c r="AU65" s="374" t="s">
        <v>59</v>
      </c>
    </row>
    <row r="66" spans="1:47" s="366" customFormat="1" ht="15.75">
      <c r="A66" s="367">
        <v>2112</v>
      </c>
      <c r="B66" s="368">
        <v>290997</v>
      </c>
      <c r="C66" s="367">
        <v>290995</v>
      </c>
      <c r="D66" s="369" t="s">
        <v>2021</v>
      </c>
      <c r="E66" s="367">
        <v>0</v>
      </c>
      <c r="F66" s="369"/>
      <c r="G66" s="369"/>
      <c r="H66" s="369">
        <v>0</v>
      </c>
      <c r="I66" s="369" t="s">
        <v>2022</v>
      </c>
      <c r="J66" s="369"/>
      <c r="K66" s="369" t="s">
        <v>572</v>
      </c>
      <c r="L66" s="370">
        <v>40544</v>
      </c>
      <c r="M66" s="370">
        <v>40544</v>
      </c>
      <c r="N66" s="369" t="s">
        <v>2020</v>
      </c>
      <c r="O66" s="367">
        <v>300</v>
      </c>
      <c r="P66" s="367">
        <v>14040</v>
      </c>
      <c r="Q66" s="371">
        <v>5587.93</v>
      </c>
      <c r="R66" s="367">
        <v>14046</v>
      </c>
      <c r="S66" s="371">
        <v>5587.93</v>
      </c>
      <c r="T66" s="371">
        <f t="shared" si="11"/>
        <v>0</v>
      </c>
      <c r="U66" s="372">
        <v>0</v>
      </c>
      <c r="V66" s="367">
        <v>51260</v>
      </c>
      <c r="W66" s="371">
        <v>0</v>
      </c>
      <c r="X66" s="369" t="s">
        <v>574</v>
      </c>
      <c r="Y66" s="369"/>
      <c r="Z66" s="369">
        <v>52995</v>
      </c>
      <c r="AA66" s="369"/>
      <c r="AB66" s="369" t="s">
        <v>571</v>
      </c>
      <c r="AC66" s="369" t="s">
        <v>570</v>
      </c>
      <c r="AD66" s="367" t="s">
        <v>569</v>
      </c>
      <c r="AE66" s="373">
        <v>44834</v>
      </c>
      <c r="AF66" s="367" t="s">
        <v>568</v>
      </c>
      <c r="AG66" s="369">
        <v>0</v>
      </c>
      <c r="AH66" s="369">
        <v>5587.93</v>
      </c>
      <c r="AI66" s="517">
        <v>9577</v>
      </c>
      <c r="AJ66" s="518" t="s">
        <v>1227</v>
      </c>
      <c r="AK66" s="333">
        <f t="shared" si="1"/>
        <v>1</v>
      </c>
      <c r="AL66" s="333">
        <f t="shared" si="2"/>
        <v>2011</v>
      </c>
      <c r="AM66" s="333">
        <f t="shared" si="3"/>
        <v>2014</v>
      </c>
      <c r="AN66" s="334">
        <f t="shared" si="4"/>
        <v>2014.0833333333333</v>
      </c>
      <c r="AO66" s="335">
        <f t="shared" si="5"/>
        <v>155.2202777777778</v>
      </c>
      <c r="AP66" s="335">
        <f t="shared" si="6"/>
        <v>1862.6433333333334</v>
      </c>
      <c r="AQ66" s="332">
        <f t="shared" si="7"/>
        <v>0</v>
      </c>
      <c r="AR66" s="332">
        <f t="shared" si="8"/>
        <v>5587.93</v>
      </c>
      <c r="AS66" s="332">
        <f t="shared" si="9"/>
        <v>5587.93</v>
      </c>
      <c r="AT66" s="332">
        <f t="shared" si="10"/>
        <v>0</v>
      </c>
      <c r="AU66" s="374" t="s">
        <v>59</v>
      </c>
    </row>
    <row r="67" spans="1:47" s="366" customFormat="1" ht="15.75">
      <c r="A67" s="367">
        <v>2112</v>
      </c>
      <c r="B67" s="368">
        <v>290996</v>
      </c>
      <c r="C67" s="367">
        <v>290995</v>
      </c>
      <c r="D67" s="369" t="s">
        <v>2018</v>
      </c>
      <c r="E67" s="367">
        <v>0</v>
      </c>
      <c r="F67" s="369"/>
      <c r="G67" s="369"/>
      <c r="H67" s="369">
        <v>0</v>
      </c>
      <c r="I67" s="369" t="s">
        <v>2019</v>
      </c>
      <c r="J67" s="369"/>
      <c r="K67" s="369" t="s">
        <v>572</v>
      </c>
      <c r="L67" s="370">
        <v>40544</v>
      </c>
      <c r="M67" s="370">
        <v>40544</v>
      </c>
      <c r="N67" s="369" t="s">
        <v>2020</v>
      </c>
      <c r="O67" s="367">
        <v>300</v>
      </c>
      <c r="P67" s="367">
        <v>14040</v>
      </c>
      <c r="Q67" s="371">
        <v>323.42</v>
      </c>
      <c r="R67" s="367">
        <v>14046</v>
      </c>
      <c r="S67" s="371">
        <v>323.42</v>
      </c>
      <c r="T67" s="371">
        <f t="shared" si="11"/>
        <v>0</v>
      </c>
      <c r="U67" s="372">
        <v>0</v>
      </c>
      <c r="V67" s="367">
        <v>51260</v>
      </c>
      <c r="W67" s="371">
        <v>0</v>
      </c>
      <c r="X67" s="369" t="s">
        <v>574</v>
      </c>
      <c r="Y67" s="369"/>
      <c r="Z67" s="369">
        <v>139003</v>
      </c>
      <c r="AA67" s="369"/>
      <c r="AB67" s="369" t="s">
        <v>571</v>
      </c>
      <c r="AC67" s="369" t="s">
        <v>570</v>
      </c>
      <c r="AD67" s="367" t="s">
        <v>569</v>
      </c>
      <c r="AE67" s="373">
        <v>44834</v>
      </c>
      <c r="AF67" s="367" t="s">
        <v>568</v>
      </c>
      <c r="AG67" s="369">
        <v>0</v>
      </c>
      <c r="AH67" s="369">
        <v>323.42</v>
      </c>
      <c r="AI67" s="517">
        <v>9577</v>
      </c>
      <c r="AJ67" s="518" t="s">
        <v>1227</v>
      </c>
      <c r="AK67" s="333">
        <f t="shared" si="1"/>
        <v>1</v>
      </c>
      <c r="AL67" s="333">
        <f t="shared" si="2"/>
        <v>2011</v>
      </c>
      <c r="AM67" s="333">
        <f t="shared" si="3"/>
        <v>2014</v>
      </c>
      <c r="AN67" s="334">
        <f t="shared" si="4"/>
        <v>2014.0833333333333</v>
      </c>
      <c r="AO67" s="335">
        <f t="shared" si="5"/>
        <v>8.9838888888888899</v>
      </c>
      <c r="AP67" s="335">
        <f t="shared" si="6"/>
        <v>107.80666666666667</v>
      </c>
      <c r="AQ67" s="332">
        <f t="shared" si="7"/>
        <v>0</v>
      </c>
      <c r="AR67" s="332">
        <f t="shared" si="8"/>
        <v>323.42</v>
      </c>
      <c r="AS67" s="332">
        <f t="shared" si="9"/>
        <v>323.42</v>
      </c>
      <c r="AT67" s="332">
        <f t="shared" si="10"/>
        <v>0</v>
      </c>
      <c r="AU67" s="374" t="s">
        <v>59</v>
      </c>
    </row>
    <row r="68" spans="1:47" s="366" customFormat="1" ht="15.75">
      <c r="A68" s="367">
        <v>2112</v>
      </c>
      <c r="B68" s="368">
        <v>290995</v>
      </c>
      <c r="C68" s="367" t="s">
        <v>574</v>
      </c>
      <c r="D68" s="369" t="s">
        <v>2015</v>
      </c>
      <c r="E68" s="367">
        <v>0</v>
      </c>
      <c r="F68" s="369" t="s">
        <v>2016</v>
      </c>
      <c r="G68" s="369"/>
      <c r="H68" s="369">
        <v>1999</v>
      </c>
      <c r="I68" s="369" t="s">
        <v>2017</v>
      </c>
      <c r="J68" s="369" t="s">
        <v>668</v>
      </c>
      <c r="K68" s="369" t="s">
        <v>1227</v>
      </c>
      <c r="L68" s="370">
        <v>39755</v>
      </c>
      <c r="M68" s="370">
        <v>39755</v>
      </c>
      <c r="N68" s="369"/>
      <c r="O68" s="367">
        <v>300</v>
      </c>
      <c r="P68" s="367">
        <v>14040</v>
      </c>
      <c r="Q68" s="371">
        <v>7000</v>
      </c>
      <c r="R68" s="367">
        <v>14046</v>
      </c>
      <c r="S68" s="371">
        <v>7000</v>
      </c>
      <c r="T68" s="371">
        <f t="shared" si="11"/>
        <v>0</v>
      </c>
      <c r="U68" s="372">
        <v>0</v>
      </c>
      <c r="V68" s="367">
        <v>51260</v>
      </c>
      <c r="W68" s="371">
        <v>0</v>
      </c>
      <c r="X68" s="369" t="s">
        <v>570</v>
      </c>
      <c r="Y68" s="369" t="s">
        <v>748</v>
      </c>
      <c r="Z68" s="369"/>
      <c r="AA68" s="369">
        <v>9577</v>
      </c>
      <c r="AB68" s="369" t="s">
        <v>571</v>
      </c>
      <c r="AC68" s="369" t="s">
        <v>570</v>
      </c>
      <c r="AD68" s="367" t="s">
        <v>569</v>
      </c>
      <c r="AE68" s="373">
        <v>44834</v>
      </c>
      <c r="AF68" s="367" t="s">
        <v>568</v>
      </c>
      <c r="AG68" s="369">
        <v>0</v>
      </c>
      <c r="AH68" s="369">
        <v>7000</v>
      </c>
      <c r="AI68" s="517">
        <v>9577</v>
      </c>
      <c r="AJ68" s="518" t="s">
        <v>1227</v>
      </c>
      <c r="AK68" s="333">
        <f t="shared" si="1"/>
        <v>11</v>
      </c>
      <c r="AL68" s="333">
        <f t="shared" si="2"/>
        <v>2008</v>
      </c>
      <c r="AM68" s="333">
        <f t="shared" si="3"/>
        <v>2011</v>
      </c>
      <c r="AN68" s="334">
        <f t="shared" si="4"/>
        <v>2011.9166666666667</v>
      </c>
      <c r="AO68" s="335">
        <f t="shared" si="5"/>
        <v>194.44444444444446</v>
      </c>
      <c r="AP68" s="335">
        <f t="shared" si="6"/>
        <v>2333.3333333333335</v>
      </c>
      <c r="AQ68" s="332">
        <f t="shared" si="7"/>
        <v>0</v>
      </c>
      <c r="AR68" s="332">
        <f t="shared" si="8"/>
        <v>7000</v>
      </c>
      <c r="AS68" s="332">
        <f t="shared" si="9"/>
        <v>7000</v>
      </c>
      <c r="AT68" s="332">
        <f t="shared" si="10"/>
        <v>0</v>
      </c>
      <c r="AU68" s="374" t="s">
        <v>59</v>
      </c>
    </row>
    <row r="69" spans="1:47" s="366" customFormat="1" ht="15.75">
      <c r="A69" s="367">
        <v>2112</v>
      </c>
      <c r="B69" s="368">
        <v>287547</v>
      </c>
      <c r="C69" s="367" t="s">
        <v>574</v>
      </c>
      <c r="D69" s="369" t="s">
        <v>2009</v>
      </c>
      <c r="E69" s="367">
        <v>1</v>
      </c>
      <c r="F69" s="369"/>
      <c r="G69" s="369"/>
      <c r="H69" s="369">
        <v>0</v>
      </c>
      <c r="I69" s="369" t="s">
        <v>2010</v>
      </c>
      <c r="J69" s="369"/>
      <c r="K69" s="369"/>
      <c r="L69" s="370">
        <v>44777</v>
      </c>
      <c r="M69" s="370">
        <v>44777</v>
      </c>
      <c r="N69" s="369" t="s">
        <v>2011</v>
      </c>
      <c r="O69" s="367">
        <v>300</v>
      </c>
      <c r="P69" s="367">
        <v>14110</v>
      </c>
      <c r="Q69" s="371">
        <v>1353.6</v>
      </c>
      <c r="R69" s="367">
        <v>14116</v>
      </c>
      <c r="S69" s="371">
        <v>451.2</v>
      </c>
      <c r="T69" s="371">
        <f t="shared" si="11"/>
        <v>902.39999999999986</v>
      </c>
      <c r="U69" s="372">
        <v>263.2</v>
      </c>
      <c r="V69" s="367">
        <v>70260</v>
      </c>
      <c r="W69" s="371">
        <v>37.6</v>
      </c>
      <c r="X69" s="369" t="s">
        <v>574</v>
      </c>
      <c r="Y69" s="369"/>
      <c r="Z69" s="369" t="s">
        <v>2012</v>
      </c>
      <c r="AA69" s="369"/>
      <c r="AB69" s="369" t="s">
        <v>571</v>
      </c>
      <c r="AC69" s="369" t="s">
        <v>570</v>
      </c>
      <c r="AD69" s="367" t="s">
        <v>569</v>
      </c>
      <c r="AE69" s="369"/>
      <c r="AF69" s="367" t="s">
        <v>568</v>
      </c>
      <c r="AG69" s="369">
        <v>0</v>
      </c>
      <c r="AH69" s="369">
        <v>0</v>
      </c>
      <c r="AI69" s="517"/>
      <c r="AJ69" s="518" t="s">
        <v>81</v>
      </c>
      <c r="AK69" s="333">
        <f t="shared" si="1"/>
        <v>8</v>
      </c>
      <c r="AL69" s="333">
        <f t="shared" si="2"/>
        <v>2022</v>
      </c>
      <c r="AM69" s="333">
        <f t="shared" si="3"/>
        <v>2025</v>
      </c>
      <c r="AN69" s="334">
        <f t="shared" si="4"/>
        <v>2025.6666666666667</v>
      </c>
      <c r="AO69" s="335">
        <f t="shared" si="5"/>
        <v>37.6</v>
      </c>
      <c r="AP69" s="335">
        <f t="shared" si="6"/>
        <v>451.20000000000005</v>
      </c>
      <c r="AQ69" s="332">
        <f t="shared" si="7"/>
        <v>451.20000000000005</v>
      </c>
      <c r="AR69" s="332">
        <f t="shared" si="8"/>
        <v>0</v>
      </c>
      <c r="AS69" s="332">
        <f t="shared" si="9"/>
        <v>451.20000000000005</v>
      </c>
      <c r="AT69" s="332">
        <f t="shared" si="10"/>
        <v>902.39999999999986</v>
      </c>
      <c r="AU69" s="374" t="s">
        <v>59</v>
      </c>
    </row>
    <row r="70" spans="1:47" s="366" customFormat="1" ht="15.75">
      <c r="A70" s="367">
        <v>2112</v>
      </c>
      <c r="B70" s="368">
        <v>287163</v>
      </c>
      <c r="C70" s="367">
        <v>287547</v>
      </c>
      <c r="D70" s="369" t="s">
        <v>2013</v>
      </c>
      <c r="E70" s="367">
        <v>1</v>
      </c>
      <c r="F70" s="369"/>
      <c r="G70" s="369"/>
      <c r="H70" s="369">
        <v>0</v>
      </c>
      <c r="I70" s="369" t="s">
        <v>2014</v>
      </c>
      <c r="J70" s="369"/>
      <c r="K70" s="369"/>
      <c r="L70" s="370">
        <v>44777</v>
      </c>
      <c r="M70" s="370">
        <v>44777</v>
      </c>
      <c r="N70" s="369" t="s">
        <v>2011</v>
      </c>
      <c r="O70" s="367">
        <v>300</v>
      </c>
      <c r="P70" s="367">
        <v>14110</v>
      </c>
      <c r="Q70" s="371">
        <v>307.98</v>
      </c>
      <c r="R70" s="367">
        <v>14116</v>
      </c>
      <c r="S70" s="371">
        <v>102.67</v>
      </c>
      <c r="T70" s="371">
        <f t="shared" si="11"/>
        <v>205.31</v>
      </c>
      <c r="U70" s="372">
        <v>59.89</v>
      </c>
      <c r="V70" s="367">
        <v>70260</v>
      </c>
      <c r="W70" s="371">
        <v>8.56</v>
      </c>
      <c r="X70" s="369" t="s">
        <v>574</v>
      </c>
      <c r="Y70" s="369"/>
      <c r="Z70" s="369">
        <v>9148202</v>
      </c>
      <c r="AA70" s="369"/>
      <c r="AB70" s="369" t="s">
        <v>571</v>
      </c>
      <c r="AC70" s="369" t="s">
        <v>570</v>
      </c>
      <c r="AD70" s="367" t="s">
        <v>569</v>
      </c>
      <c r="AE70" s="369"/>
      <c r="AF70" s="367" t="s">
        <v>568</v>
      </c>
      <c r="AG70" s="369">
        <v>0</v>
      </c>
      <c r="AH70" s="369">
        <v>0</v>
      </c>
      <c r="AI70" s="517"/>
      <c r="AJ70" s="518" t="s">
        <v>81</v>
      </c>
      <c r="AK70" s="333">
        <f t="shared" si="1"/>
        <v>8</v>
      </c>
      <c r="AL70" s="333">
        <f t="shared" si="2"/>
        <v>2022</v>
      </c>
      <c r="AM70" s="333">
        <f t="shared" si="3"/>
        <v>2025</v>
      </c>
      <c r="AN70" s="334">
        <f t="shared" si="4"/>
        <v>2025.6666666666667</v>
      </c>
      <c r="AO70" s="335">
        <f t="shared" si="5"/>
        <v>8.5550000000000015</v>
      </c>
      <c r="AP70" s="335">
        <f t="shared" si="6"/>
        <v>102.66000000000003</v>
      </c>
      <c r="AQ70" s="332">
        <f t="shared" si="7"/>
        <v>102.66000000000003</v>
      </c>
      <c r="AR70" s="332">
        <f t="shared" si="8"/>
        <v>0</v>
      </c>
      <c r="AS70" s="332">
        <f t="shared" si="9"/>
        <v>102.66000000000003</v>
      </c>
      <c r="AT70" s="332">
        <f t="shared" si="10"/>
        <v>205.32</v>
      </c>
      <c r="AU70" s="374" t="s">
        <v>59</v>
      </c>
    </row>
    <row r="71" spans="1:47" s="366" customFormat="1" ht="15.75">
      <c r="A71" s="367">
        <v>2112</v>
      </c>
      <c r="B71" s="368">
        <v>286335</v>
      </c>
      <c r="C71" s="367" t="s">
        <v>574</v>
      </c>
      <c r="D71" s="369" t="s">
        <v>768</v>
      </c>
      <c r="E71" s="367">
        <v>0</v>
      </c>
      <c r="F71" s="369" t="s">
        <v>2006</v>
      </c>
      <c r="G71" s="369" t="s">
        <v>2007</v>
      </c>
      <c r="H71" s="369">
        <v>2009</v>
      </c>
      <c r="I71" s="369" t="s">
        <v>759</v>
      </c>
      <c r="J71" s="369" t="s">
        <v>758</v>
      </c>
      <c r="K71" s="369" t="s">
        <v>767</v>
      </c>
      <c r="L71" s="370">
        <v>40209</v>
      </c>
      <c r="M71" s="370">
        <v>40209</v>
      </c>
      <c r="N71" s="369" t="s">
        <v>2008</v>
      </c>
      <c r="O71" s="367">
        <v>900</v>
      </c>
      <c r="P71" s="367">
        <v>14040</v>
      </c>
      <c r="Q71" s="371">
        <v>274650.34000000003</v>
      </c>
      <c r="R71" s="367">
        <v>14046</v>
      </c>
      <c r="S71" s="371">
        <v>274650.34000000003</v>
      </c>
      <c r="T71" s="371">
        <f t="shared" si="11"/>
        <v>0</v>
      </c>
      <c r="U71" s="372">
        <v>0</v>
      </c>
      <c r="V71" s="367">
        <v>51260</v>
      </c>
      <c r="W71" s="371">
        <v>0</v>
      </c>
      <c r="X71" s="369" t="s">
        <v>574</v>
      </c>
      <c r="Y71" s="369"/>
      <c r="Z71" s="369">
        <v>1197363</v>
      </c>
      <c r="AA71" s="369">
        <v>881</v>
      </c>
      <c r="AB71" s="369" t="s">
        <v>571</v>
      </c>
      <c r="AC71" s="369" t="s">
        <v>570</v>
      </c>
      <c r="AD71" s="367" t="s">
        <v>569</v>
      </c>
      <c r="AE71" s="373">
        <v>44773</v>
      </c>
      <c r="AF71" s="367" t="s">
        <v>568</v>
      </c>
      <c r="AG71" s="369">
        <v>0</v>
      </c>
      <c r="AH71" s="369">
        <v>274650.34000000003</v>
      </c>
      <c r="AI71" s="517">
        <v>881</v>
      </c>
      <c r="AJ71" s="518" t="s">
        <v>1881</v>
      </c>
      <c r="AK71" s="333">
        <f t="shared" si="1"/>
        <v>1</v>
      </c>
      <c r="AL71" s="333">
        <f t="shared" si="2"/>
        <v>2010</v>
      </c>
      <c r="AM71" s="333">
        <f t="shared" si="3"/>
        <v>2019</v>
      </c>
      <c r="AN71" s="334">
        <f t="shared" si="4"/>
        <v>2019.0833333333333</v>
      </c>
      <c r="AO71" s="335">
        <f t="shared" si="5"/>
        <v>2543.0587037037039</v>
      </c>
      <c r="AP71" s="335">
        <f t="shared" si="6"/>
        <v>30516.704444444447</v>
      </c>
      <c r="AQ71" s="332">
        <f t="shared" si="7"/>
        <v>0</v>
      </c>
      <c r="AR71" s="332">
        <f t="shared" si="8"/>
        <v>274650.34000000003</v>
      </c>
      <c r="AS71" s="332">
        <f t="shared" si="9"/>
        <v>274650.34000000003</v>
      </c>
      <c r="AT71" s="332">
        <f t="shared" si="10"/>
        <v>0</v>
      </c>
      <c r="AU71" s="374" t="s">
        <v>59</v>
      </c>
    </row>
    <row r="72" spans="1:47" s="366" customFormat="1" ht="15.75">
      <c r="A72" s="367">
        <v>2112</v>
      </c>
      <c r="B72" s="368">
        <v>285324</v>
      </c>
      <c r="C72" s="367" t="s">
        <v>574</v>
      </c>
      <c r="D72" s="369" t="s">
        <v>2003</v>
      </c>
      <c r="E72" s="367">
        <v>3</v>
      </c>
      <c r="F72" s="369"/>
      <c r="G72" s="369"/>
      <c r="H72" s="369">
        <v>0</v>
      </c>
      <c r="I72" s="369" t="s">
        <v>1361</v>
      </c>
      <c r="J72" s="369"/>
      <c r="K72" s="369" t="s">
        <v>2004</v>
      </c>
      <c r="L72" s="370">
        <v>44728</v>
      </c>
      <c r="M72" s="370">
        <v>44728</v>
      </c>
      <c r="N72" s="369" t="s">
        <v>2005</v>
      </c>
      <c r="O72" s="367">
        <v>1200</v>
      </c>
      <c r="P72" s="367">
        <v>14050</v>
      </c>
      <c r="Q72" s="371">
        <v>6382</v>
      </c>
      <c r="R72" s="367">
        <v>14056</v>
      </c>
      <c r="S72" s="371">
        <v>576.15</v>
      </c>
      <c r="T72" s="371">
        <f t="shared" si="11"/>
        <v>5805.85</v>
      </c>
      <c r="U72" s="372">
        <v>310.23</v>
      </c>
      <c r="V72" s="367">
        <v>54260</v>
      </c>
      <c r="W72" s="371">
        <v>44.31</v>
      </c>
      <c r="X72" s="369" t="s">
        <v>574</v>
      </c>
      <c r="Y72" s="369"/>
      <c r="Z72" s="369" t="s">
        <v>2001</v>
      </c>
      <c r="AA72" s="369"/>
      <c r="AB72" s="369" t="s">
        <v>571</v>
      </c>
      <c r="AC72" s="369" t="s">
        <v>570</v>
      </c>
      <c r="AD72" s="367" t="s">
        <v>569</v>
      </c>
      <c r="AE72" s="369"/>
      <c r="AF72" s="367" t="s">
        <v>568</v>
      </c>
      <c r="AG72" s="369">
        <v>0</v>
      </c>
      <c r="AH72" s="369">
        <v>0</v>
      </c>
      <c r="AI72" s="517"/>
      <c r="AJ72" s="518" t="s">
        <v>513</v>
      </c>
      <c r="AK72" s="333">
        <f t="shared" si="1"/>
        <v>6</v>
      </c>
      <c r="AL72" s="333">
        <f t="shared" si="2"/>
        <v>2022</v>
      </c>
      <c r="AM72" s="333">
        <f t="shared" si="3"/>
        <v>2034</v>
      </c>
      <c r="AN72" s="334">
        <f t="shared" si="4"/>
        <v>2034.5</v>
      </c>
      <c r="AO72" s="335">
        <f t="shared" si="5"/>
        <v>44.31944444444445</v>
      </c>
      <c r="AP72" s="335">
        <f t="shared" si="6"/>
        <v>531.83333333333337</v>
      </c>
      <c r="AQ72" s="332">
        <f t="shared" si="7"/>
        <v>531.83333333333337</v>
      </c>
      <c r="AR72" s="332">
        <f t="shared" si="8"/>
        <v>88.638888888928705</v>
      </c>
      <c r="AS72" s="332">
        <f t="shared" si="9"/>
        <v>620.47222222226208</v>
      </c>
      <c r="AT72" s="332">
        <f t="shared" si="10"/>
        <v>5761.5277777777383</v>
      </c>
      <c r="AU72" s="374" t="s">
        <v>59</v>
      </c>
    </row>
    <row r="73" spans="1:47" s="366" customFormat="1" ht="15.75">
      <c r="A73" s="367">
        <v>2112</v>
      </c>
      <c r="B73" s="368">
        <v>285321</v>
      </c>
      <c r="C73" s="367" t="s">
        <v>574</v>
      </c>
      <c r="D73" s="369" t="s">
        <v>2003</v>
      </c>
      <c r="E73" s="367">
        <v>1</v>
      </c>
      <c r="F73" s="369"/>
      <c r="G73" s="369"/>
      <c r="H73" s="369">
        <v>0</v>
      </c>
      <c r="I73" s="369" t="s">
        <v>1361</v>
      </c>
      <c r="J73" s="369"/>
      <c r="K73" s="369" t="s">
        <v>2004</v>
      </c>
      <c r="L73" s="370">
        <v>44728</v>
      </c>
      <c r="M73" s="370">
        <v>44728</v>
      </c>
      <c r="N73" s="369" t="s">
        <v>1996</v>
      </c>
      <c r="O73" s="367">
        <v>1200</v>
      </c>
      <c r="P73" s="367">
        <v>14050</v>
      </c>
      <c r="Q73" s="371">
        <v>124.59</v>
      </c>
      <c r="R73" s="367">
        <v>14056</v>
      </c>
      <c r="S73" s="371">
        <v>11.25</v>
      </c>
      <c r="T73" s="371">
        <f t="shared" si="11"/>
        <v>113.34</v>
      </c>
      <c r="U73" s="372">
        <v>6.06</v>
      </c>
      <c r="V73" s="367">
        <v>54260</v>
      </c>
      <c r="W73" s="371">
        <v>0.87</v>
      </c>
      <c r="X73" s="369" t="s">
        <v>574</v>
      </c>
      <c r="Y73" s="369"/>
      <c r="Z73" s="369" t="s">
        <v>2001</v>
      </c>
      <c r="AA73" s="369"/>
      <c r="AB73" s="369" t="s">
        <v>571</v>
      </c>
      <c r="AC73" s="369" t="s">
        <v>570</v>
      </c>
      <c r="AD73" s="367" t="s">
        <v>569</v>
      </c>
      <c r="AE73" s="369"/>
      <c r="AF73" s="367" t="s">
        <v>568</v>
      </c>
      <c r="AG73" s="369">
        <v>0</v>
      </c>
      <c r="AH73" s="369">
        <v>0</v>
      </c>
      <c r="AI73" s="517"/>
      <c r="AJ73" s="518" t="s">
        <v>513</v>
      </c>
      <c r="AK73" s="333">
        <f t="shared" si="1"/>
        <v>6</v>
      </c>
      <c r="AL73" s="333">
        <f t="shared" si="2"/>
        <v>2022</v>
      </c>
      <c r="AM73" s="333">
        <f t="shared" si="3"/>
        <v>2034</v>
      </c>
      <c r="AN73" s="334">
        <f t="shared" si="4"/>
        <v>2034.5</v>
      </c>
      <c r="AO73" s="335">
        <f t="shared" si="5"/>
        <v>0.86520833333333336</v>
      </c>
      <c r="AP73" s="335">
        <f t="shared" si="6"/>
        <v>10.3825</v>
      </c>
      <c r="AQ73" s="332">
        <f t="shared" si="7"/>
        <v>10.3825</v>
      </c>
      <c r="AR73" s="332">
        <f t="shared" si="8"/>
        <v>1.7304166666674519</v>
      </c>
      <c r="AS73" s="332">
        <f t="shared" si="9"/>
        <v>12.112916666667452</v>
      </c>
      <c r="AT73" s="332">
        <f t="shared" si="10"/>
        <v>112.47708333333256</v>
      </c>
      <c r="AU73" s="374" t="s">
        <v>59</v>
      </c>
    </row>
    <row r="74" spans="1:47" s="366" customFormat="1" ht="15.75">
      <c r="A74" s="367">
        <v>2112</v>
      </c>
      <c r="B74" s="368">
        <v>285305</v>
      </c>
      <c r="C74" s="367" t="s">
        <v>574</v>
      </c>
      <c r="D74" s="369" t="s">
        <v>1999</v>
      </c>
      <c r="E74" s="367">
        <v>3</v>
      </c>
      <c r="F74" s="369"/>
      <c r="G74" s="369"/>
      <c r="H74" s="369">
        <v>0</v>
      </c>
      <c r="I74" s="369" t="s">
        <v>1361</v>
      </c>
      <c r="J74" s="369"/>
      <c r="K74" s="369" t="s">
        <v>2000</v>
      </c>
      <c r="L74" s="370">
        <v>44728</v>
      </c>
      <c r="M74" s="370">
        <v>44728</v>
      </c>
      <c r="N74" s="369" t="s">
        <v>2002</v>
      </c>
      <c r="O74" s="367">
        <v>1200</v>
      </c>
      <c r="P74" s="367">
        <v>14050</v>
      </c>
      <c r="Q74" s="371">
        <v>5555</v>
      </c>
      <c r="R74" s="367">
        <v>14056</v>
      </c>
      <c r="S74" s="371">
        <v>501.5</v>
      </c>
      <c r="T74" s="371">
        <f t="shared" si="11"/>
        <v>5053.5</v>
      </c>
      <c r="U74" s="372">
        <v>270.04000000000002</v>
      </c>
      <c r="V74" s="367">
        <v>54260</v>
      </c>
      <c r="W74" s="371">
        <v>38.58</v>
      </c>
      <c r="X74" s="369" t="s">
        <v>574</v>
      </c>
      <c r="Y74" s="369"/>
      <c r="Z74" s="369" t="s">
        <v>2001</v>
      </c>
      <c r="AA74" s="369"/>
      <c r="AB74" s="369" t="s">
        <v>571</v>
      </c>
      <c r="AC74" s="369" t="s">
        <v>570</v>
      </c>
      <c r="AD74" s="367" t="s">
        <v>569</v>
      </c>
      <c r="AE74" s="369"/>
      <c r="AF74" s="367" t="s">
        <v>568</v>
      </c>
      <c r="AG74" s="369">
        <v>0</v>
      </c>
      <c r="AH74" s="369">
        <v>0</v>
      </c>
      <c r="AI74" s="517"/>
      <c r="AJ74" s="518" t="s">
        <v>513</v>
      </c>
      <c r="AK74" s="333">
        <f t="shared" si="1"/>
        <v>6</v>
      </c>
      <c r="AL74" s="333">
        <f t="shared" si="2"/>
        <v>2022</v>
      </c>
      <c r="AM74" s="333">
        <f t="shared" si="3"/>
        <v>2034</v>
      </c>
      <c r="AN74" s="334">
        <f t="shared" si="4"/>
        <v>2034.5</v>
      </c>
      <c r="AO74" s="335">
        <f t="shared" si="5"/>
        <v>38.576388888888893</v>
      </c>
      <c r="AP74" s="335">
        <f t="shared" si="6"/>
        <v>462.91666666666674</v>
      </c>
      <c r="AQ74" s="332">
        <f t="shared" si="7"/>
        <v>462.91666666666674</v>
      </c>
      <c r="AR74" s="332">
        <f t="shared" si="8"/>
        <v>77.152777777811934</v>
      </c>
      <c r="AS74" s="332">
        <f t="shared" si="9"/>
        <v>540.06944444447868</v>
      </c>
      <c r="AT74" s="332">
        <f t="shared" si="10"/>
        <v>5014.9305555555211</v>
      </c>
      <c r="AU74" s="374" t="s">
        <v>59</v>
      </c>
    </row>
    <row r="75" spans="1:47" s="366" customFormat="1" ht="15.75">
      <c r="A75" s="367">
        <v>2112</v>
      </c>
      <c r="B75" s="368">
        <v>285303</v>
      </c>
      <c r="C75" s="367" t="s">
        <v>574</v>
      </c>
      <c r="D75" s="369" t="s">
        <v>1999</v>
      </c>
      <c r="E75" s="367">
        <v>1</v>
      </c>
      <c r="F75" s="369"/>
      <c r="G75" s="369"/>
      <c r="H75" s="369">
        <v>0</v>
      </c>
      <c r="I75" s="369" t="s">
        <v>1361</v>
      </c>
      <c r="J75" s="369"/>
      <c r="K75" s="369" t="s">
        <v>2000</v>
      </c>
      <c r="L75" s="370">
        <v>44728</v>
      </c>
      <c r="M75" s="370">
        <v>44728</v>
      </c>
      <c r="N75" s="369" t="s">
        <v>1998</v>
      </c>
      <c r="O75" s="367">
        <v>1200</v>
      </c>
      <c r="P75" s="367">
        <v>14050</v>
      </c>
      <c r="Q75" s="371">
        <v>126.22</v>
      </c>
      <c r="R75" s="367">
        <v>14056</v>
      </c>
      <c r="S75" s="371">
        <v>11.4</v>
      </c>
      <c r="T75" s="371">
        <f t="shared" si="11"/>
        <v>114.82</v>
      </c>
      <c r="U75" s="372">
        <v>6.14</v>
      </c>
      <c r="V75" s="367">
        <v>54260</v>
      </c>
      <c r="W75" s="371">
        <v>0.88</v>
      </c>
      <c r="X75" s="369" t="s">
        <v>574</v>
      </c>
      <c r="Y75" s="369"/>
      <c r="Z75" s="369" t="s">
        <v>2001</v>
      </c>
      <c r="AA75" s="369"/>
      <c r="AB75" s="369" t="s">
        <v>571</v>
      </c>
      <c r="AC75" s="369" t="s">
        <v>570</v>
      </c>
      <c r="AD75" s="367" t="s">
        <v>569</v>
      </c>
      <c r="AE75" s="369"/>
      <c r="AF75" s="367" t="s">
        <v>568</v>
      </c>
      <c r="AG75" s="369">
        <v>0</v>
      </c>
      <c r="AH75" s="369">
        <v>0</v>
      </c>
      <c r="AI75" s="517"/>
      <c r="AJ75" s="518" t="s">
        <v>513</v>
      </c>
      <c r="AK75" s="333">
        <f t="shared" si="1"/>
        <v>6</v>
      </c>
      <c r="AL75" s="333">
        <f t="shared" si="2"/>
        <v>2022</v>
      </c>
      <c r="AM75" s="333">
        <f t="shared" si="3"/>
        <v>2034</v>
      </c>
      <c r="AN75" s="334">
        <f t="shared" si="4"/>
        <v>2034.5</v>
      </c>
      <c r="AO75" s="335">
        <f t="shared" si="5"/>
        <v>0.87652777777777768</v>
      </c>
      <c r="AP75" s="335">
        <f t="shared" si="6"/>
        <v>10.518333333333333</v>
      </c>
      <c r="AQ75" s="332">
        <f t="shared" si="7"/>
        <v>10.518333333333333</v>
      </c>
      <c r="AR75" s="332">
        <f t="shared" si="8"/>
        <v>1.7530555555563581</v>
      </c>
      <c r="AS75" s="332">
        <f t="shared" si="9"/>
        <v>12.271388888889691</v>
      </c>
      <c r="AT75" s="332">
        <f t="shared" si="10"/>
        <v>113.94861111111031</v>
      </c>
      <c r="AU75" s="374" t="s">
        <v>59</v>
      </c>
    </row>
    <row r="76" spans="1:47" s="366" customFormat="1" ht="15.75">
      <c r="A76" s="367">
        <v>2112</v>
      </c>
      <c r="B76" s="368">
        <v>285292</v>
      </c>
      <c r="C76" s="367" t="s">
        <v>574</v>
      </c>
      <c r="D76" s="369" t="s">
        <v>1997</v>
      </c>
      <c r="E76" s="367">
        <v>15</v>
      </c>
      <c r="F76" s="369"/>
      <c r="G76" s="369"/>
      <c r="H76" s="369">
        <v>0</v>
      </c>
      <c r="I76" s="369" t="s">
        <v>1361</v>
      </c>
      <c r="J76" s="369"/>
      <c r="K76" s="369" t="s">
        <v>1763</v>
      </c>
      <c r="L76" s="370">
        <v>44699</v>
      </c>
      <c r="M76" s="370">
        <v>44699</v>
      </c>
      <c r="N76" s="369" t="s">
        <v>1998</v>
      </c>
      <c r="O76" s="367">
        <v>1200</v>
      </c>
      <c r="P76" s="367">
        <v>14050</v>
      </c>
      <c r="Q76" s="371">
        <v>13601.6</v>
      </c>
      <c r="R76" s="367">
        <v>14056</v>
      </c>
      <c r="S76" s="371">
        <v>1322.38</v>
      </c>
      <c r="T76" s="371">
        <f t="shared" si="11"/>
        <v>12279.220000000001</v>
      </c>
      <c r="U76" s="372">
        <v>661.19</v>
      </c>
      <c r="V76" s="367">
        <v>54260</v>
      </c>
      <c r="W76" s="371">
        <v>94.45</v>
      </c>
      <c r="X76" s="369" t="s">
        <v>574</v>
      </c>
      <c r="Y76" s="369"/>
      <c r="Z76" s="369" t="s">
        <v>1984</v>
      </c>
      <c r="AA76" s="369"/>
      <c r="AB76" s="369" t="s">
        <v>571</v>
      </c>
      <c r="AC76" s="369" t="s">
        <v>570</v>
      </c>
      <c r="AD76" s="367" t="s">
        <v>569</v>
      </c>
      <c r="AE76" s="369"/>
      <c r="AF76" s="367" t="s">
        <v>568</v>
      </c>
      <c r="AG76" s="369">
        <v>0</v>
      </c>
      <c r="AH76" s="369">
        <v>0</v>
      </c>
      <c r="AI76" s="517"/>
      <c r="AJ76" s="518" t="s">
        <v>513</v>
      </c>
      <c r="AK76" s="333">
        <f t="shared" si="1"/>
        <v>5</v>
      </c>
      <c r="AL76" s="333">
        <f t="shared" si="2"/>
        <v>2022</v>
      </c>
      <c r="AM76" s="333">
        <f t="shared" si="3"/>
        <v>2034</v>
      </c>
      <c r="AN76" s="334">
        <f t="shared" si="4"/>
        <v>2034.4166666666667</v>
      </c>
      <c r="AO76" s="335">
        <f t="shared" si="5"/>
        <v>94.455555555555563</v>
      </c>
      <c r="AP76" s="335">
        <f t="shared" si="6"/>
        <v>1133.4666666666667</v>
      </c>
      <c r="AQ76" s="332">
        <f t="shared" si="7"/>
        <v>1133.4666666666667</v>
      </c>
      <c r="AR76" s="332">
        <f t="shared" si="8"/>
        <v>283.36666666666679</v>
      </c>
      <c r="AS76" s="332">
        <f t="shared" si="9"/>
        <v>1416.8333333333335</v>
      </c>
      <c r="AT76" s="332">
        <f t="shared" si="10"/>
        <v>12184.766666666666</v>
      </c>
      <c r="AU76" s="374" t="s">
        <v>59</v>
      </c>
    </row>
    <row r="77" spans="1:47" s="366" customFormat="1" ht="15.75">
      <c r="A77" s="367">
        <v>2112</v>
      </c>
      <c r="B77" s="368">
        <v>285287</v>
      </c>
      <c r="C77" s="367" t="s">
        <v>574</v>
      </c>
      <c r="D77" s="369" t="s">
        <v>1994</v>
      </c>
      <c r="E77" s="367">
        <v>15</v>
      </c>
      <c r="F77" s="369"/>
      <c r="G77" s="369"/>
      <c r="H77" s="369">
        <v>0</v>
      </c>
      <c r="I77" s="369" t="s">
        <v>1361</v>
      </c>
      <c r="J77" s="369"/>
      <c r="K77" s="369" t="s">
        <v>1995</v>
      </c>
      <c r="L77" s="370">
        <v>44699</v>
      </c>
      <c r="M77" s="370">
        <v>44699</v>
      </c>
      <c r="N77" s="369" t="s">
        <v>1996</v>
      </c>
      <c r="O77" s="367">
        <v>1200</v>
      </c>
      <c r="P77" s="367">
        <v>14050</v>
      </c>
      <c r="Q77" s="371">
        <v>12037.76</v>
      </c>
      <c r="R77" s="367">
        <v>14056</v>
      </c>
      <c r="S77" s="371">
        <v>1170.3399999999999</v>
      </c>
      <c r="T77" s="371">
        <f t="shared" si="11"/>
        <v>10867.42</v>
      </c>
      <c r="U77" s="372">
        <v>585.16999999999996</v>
      </c>
      <c r="V77" s="367">
        <v>54260</v>
      </c>
      <c r="W77" s="371">
        <v>83.59</v>
      </c>
      <c r="X77" s="369" t="s">
        <v>574</v>
      </c>
      <c r="Y77" s="369"/>
      <c r="Z77" s="369" t="s">
        <v>1984</v>
      </c>
      <c r="AA77" s="369"/>
      <c r="AB77" s="369" t="s">
        <v>571</v>
      </c>
      <c r="AC77" s="369" t="s">
        <v>570</v>
      </c>
      <c r="AD77" s="367" t="s">
        <v>569</v>
      </c>
      <c r="AE77" s="369"/>
      <c r="AF77" s="367" t="s">
        <v>568</v>
      </c>
      <c r="AG77" s="369">
        <v>0</v>
      </c>
      <c r="AH77" s="369">
        <v>0</v>
      </c>
      <c r="AI77" s="517"/>
      <c r="AJ77" s="518" t="s">
        <v>513</v>
      </c>
      <c r="AK77" s="333">
        <f t="shared" si="1"/>
        <v>5</v>
      </c>
      <c r="AL77" s="333">
        <f t="shared" si="2"/>
        <v>2022</v>
      </c>
      <c r="AM77" s="333">
        <f t="shared" si="3"/>
        <v>2034</v>
      </c>
      <c r="AN77" s="334">
        <f t="shared" si="4"/>
        <v>2034.4166666666667</v>
      </c>
      <c r="AO77" s="335">
        <f t="shared" si="5"/>
        <v>83.595555555555549</v>
      </c>
      <c r="AP77" s="335">
        <f t="shared" si="6"/>
        <v>1003.1466666666665</v>
      </c>
      <c r="AQ77" s="332">
        <f t="shared" si="7"/>
        <v>1003.1466666666665</v>
      </c>
      <c r="AR77" s="332">
        <f t="shared" si="8"/>
        <v>250.78666666666868</v>
      </c>
      <c r="AS77" s="332">
        <f t="shared" si="9"/>
        <v>1253.9333333333352</v>
      </c>
      <c r="AT77" s="332">
        <f t="shared" si="10"/>
        <v>10783.826666666664</v>
      </c>
      <c r="AU77" s="374" t="s">
        <v>59</v>
      </c>
    </row>
    <row r="78" spans="1:47" s="366" customFormat="1" ht="15.75">
      <c r="A78" s="367">
        <v>2112</v>
      </c>
      <c r="B78" s="368">
        <v>285284</v>
      </c>
      <c r="C78" s="367" t="s">
        <v>574</v>
      </c>
      <c r="D78" s="369" t="s">
        <v>1991</v>
      </c>
      <c r="E78" s="367">
        <v>30</v>
      </c>
      <c r="F78" s="369"/>
      <c r="G78" s="369"/>
      <c r="H78" s="369">
        <v>0</v>
      </c>
      <c r="I78" s="369" t="s">
        <v>1361</v>
      </c>
      <c r="J78" s="369"/>
      <c r="K78" s="369" t="s">
        <v>1761</v>
      </c>
      <c r="L78" s="370">
        <v>44734</v>
      </c>
      <c r="M78" s="370">
        <v>44734</v>
      </c>
      <c r="N78" s="369" t="s">
        <v>1992</v>
      </c>
      <c r="O78" s="367">
        <v>1200</v>
      </c>
      <c r="P78" s="367">
        <v>14050</v>
      </c>
      <c r="Q78" s="371">
        <v>25627.83</v>
      </c>
      <c r="R78" s="367">
        <v>14056</v>
      </c>
      <c r="S78" s="371">
        <v>2313.63</v>
      </c>
      <c r="T78" s="371">
        <f t="shared" si="11"/>
        <v>23314.2</v>
      </c>
      <c r="U78" s="372">
        <v>1245.8</v>
      </c>
      <c r="V78" s="367">
        <v>54260</v>
      </c>
      <c r="W78" s="371">
        <v>177.97</v>
      </c>
      <c r="X78" s="369" t="s">
        <v>574</v>
      </c>
      <c r="Y78" s="369"/>
      <c r="Z78" s="369" t="s">
        <v>1993</v>
      </c>
      <c r="AA78" s="369"/>
      <c r="AB78" s="369" t="s">
        <v>571</v>
      </c>
      <c r="AC78" s="369" t="s">
        <v>570</v>
      </c>
      <c r="AD78" s="367" t="s">
        <v>569</v>
      </c>
      <c r="AE78" s="369"/>
      <c r="AF78" s="367" t="s">
        <v>568</v>
      </c>
      <c r="AG78" s="369">
        <v>0</v>
      </c>
      <c r="AH78" s="369">
        <v>0</v>
      </c>
      <c r="AI78" s="517"/>
      <c r="AJ78" s="518" t="s">
        <v>513</v>
      </c>
      <c r="AK78" s="333">
        <f t="shared" ref="AK78:AK141" si="12">MONTH($L78)</f>
        <v>6</v>
      </c>
      <c r="AL78" s="333">
        <f t="shared" ref="AL78:AL141" si="13">YEAR($L78)</f>
        <v>2022</v>
      </c>
      <c r="AM78" s="333">
        <f t="shared" ref="AM78:AM141" si="14">$AL78+($O78/100)</f>
        <v>2034</v>
      </c>
      <c r="AN78" s="334">
        <f t="shared" ref="AN78:AN141" si="15">$AM78+($AK78/12)</f>
        <v>2034.5</v>
      </c>
      <c r="AO78" s="335">
        <f t="shared" ref="AO78:AO141" si="16">IFERROR($Q78/($O78/100)/12,0)</f>
        <v>177.97104166666668</v>
      </c>
      <c r="AP78" s="335">
        <f t="shared" ref="AP78:AP141" si="17">$AO78*12</f>
        <v>2135.6525000000001</v>
      </c>
      <c r="AQ78" s="332">
        <f t="shared" ref="AQ78:AQ141" si="18">+IF(AN78&lt;=$AI$9,0,AP78)</f>
        <v>2135.6525000000001</v>
      </c>
      <c r="AR78" s="332">
        <f t="shared" ref="AR78:AR141" si="19">+IF(AN78&lt;=$AI$10,Q78,IF((AL78+(AK78/12))&gt;=$AI$10,0,((Q78-((AN78-$AI$10)*12)*AO78))))</f>
        <v>355.94208333349525</v>
      </c>
      <c r="AS78" s="332">
        <f t="shared" ref="AS78:AS141" si="20">+IF(AN78&lt;$AI$9,Q78,AQ78+AR78)</f>
        <v>2491.5945833334954</v>
      </c>
      <c r="AT78" s="332">
        <f t="shared" ref="AT78:AT141" si="21">$Q78-$AS78</f>
        <v>23136.235416666506</v>
      </c>
      <c r="AU78" s="374" t="s">
        <v>59</v>
      </c>
    </row>
    <row r="79" spans="1:47" s="366" customFormat="1" ht="15.75">
      <c r="A79" s="367">
        <v>2112</v>
      </c>
      <c r="B79" s="368">
        <v>285283</v>
      </c>
      <c r="C79" s="367" t="s">
        <v>574</v>
      </c>
      <c r="D79" s="369" t="s">
        <v>1989</v>
      </c>
      <c r="E79" s="367">
        <v>9</v>
      </c>
      <c r="F79" s="369"/>
      <c r="G79" s="369"/>
      <c r="H79" s="369">
        <v>0</v>
      </c>
      <c r="I79" s="369" t="s">
        <v>1361</v>
      </c>
      <c r="J79" s="369"/>
      <c r="K79" s="369" t="s">
        <v>1761</v>
      </c>
      <c r="L79" s="370">
        <v>44735</v>
      </c>
      <c r="M79" s="370">
        <v>44735</v>
      </c>
      <c r="N79" s="369" t="s">
        <v>1990</v>
      </c>
      <c r="O79" s="367">
        <v>1200</v>
      </c>
      <c r="P79" s="367">
        <v>14050</v>
      </c>
      <c r="Q79" s="371">
        <v>8023</v>
      </c>
      <c r="R79" s="367">
        <v>14056</v>
      </c>
      <c r="S79" s="371">
        <v>724.3</v>
      </c>
      <c r="T79" s="371">
        <f t="shared" si="11"/>
        <v>7298.7</v>
      </c>
      <c r="U79" s="372">
        <v>390.01</v>
      </c>
      <c r="V79" s="367">
        <v>54260</v>
      </c>
      <c r="W79" s="371">
        <v>55.72</v>
      </c>
      <c r="X79" s="369" t="s">
        <v>574</v>
      </c>
      <c r="Y79" s="369"/>
      <c r="Z79" s="369" t="s">
        <v>1987</v>
      </c>
      <c r="AA79" s="369"/>
      <c r="AB79" s="369" t="s">
        <v>571</v>
      </c>
      <c r="AC79" s="369" t="s">
        <v>570</v>
      </c>
      <c r="AD79" s="367" t="s">
        <v>569</v>
      </c>
      <c r="AE79" s="369"/>
      <c r="AF79" s="367" t="s">
        <v>568</v>
      </c>
      <c r="AG79" s="369">
        <v>0</v>
      </c>
      <c r="AH79" s="369">
        <v>0</v>
      </c>
      <c r="AI79" s="517"/>
      <c r="AJ79" s="518" t="s">
        <v>513</v>
      </c>
      <c r="AK79" s="333">
        <f t="shared" si="12"/>
        <v>6</v>
      </c>
      <c r="AL79" s="333">
        <f t="shared" si="13"/>
        <v>2022</v>
      </c>
      <c r="AM79" s="333">
        <f t="shared" si="14"/>
        <v>2034</v>
      </c>
      <c r="AN79" s="334">
        <f t="shared" si="15"/>
        <v>2034.5</v>
      </c>
      <c r="AO79" s="335">
        <f t="shared" si="16"/>
        <v>55.715277777777779</v>
      </c>
      <c r="AP79" s="335">
        <f t="shared" si="17"/>
        <v>668.58333333333337</v>
      </c>
      <c r="AQ79" s="332">
        <f t="shared" si="18"/>
        <v>668.58333333333337</v>
      </c>
      <c r="AR79" s="332">
        <f t="shared" si="19"/>
        <v>111.43055555560568</v>
      </c>
      <c r="AS79" s="332">
        <f t="shared" si="20"/>
        <v>780.01388888893905</v>
      </c>
      <c r="AT79" s="332">
        <f t="shared" si="21"/>
        <v>7242.9861111110613</v>
      </c>
      <c r="AU79" s="374" t="s">
        <v>59</v>
      </c>
    </row>
    <row r="80" spans="1:47" s="366" customFormat="1" ht="15.75">
      <c r="A80" s="367">
        <v>2112</v>
      </c>
      <c r="B80" s="368">
        <v>285282</v>
      </c>
      <c r="C80" s="367" t="s">
        <v>574</v>
      </c>
      <c r="D80" s="369" t="s">
        <v>1989</v>
      </c>
      <c r="E80" s="367">
        <v>1</v>
      </c>
      <c r="F80" s="369"/>
      <c r="G80" s="369"/>
      <c r="H80" s="369">
        <v>0</v>
      </c>
      <c r="I80" s="369" t="s">
        <v>1361</v>
      </c>
      <c r="J80" s="369"/>
      <c r="K80" s="369" t="s">
        <v>1761</v>
      </c>
      <c r="L80" s="370">
        <v>44735</v>
      </c>
      <c r="M80" s="370">
        <v>44735</v>
      </c>
      <c r="N80" s="369" t="s">
        <v>1983</v>
      </c>
      <c r="O80" s="367">
        <v>1200</v>
      </c>
      <c r="P80" s="367">
        <v>14050</v>
      </c>
      <c r="Q80" s="371">
        <v>121.29</v>
      </c>
      <c r="R80" s="367">
        <v>14056</v>
      </c>
      <c r="S80" s="371">
        <v>10.95</v>
      </c>
      <c r="T80" s="371">
        <f t="shared" si="11"/>
        <v>110.34</v>
      </c>
      <c r="U80" s="372">
        <v>5.9</v>
      </c>
      <c r="V80" s="367">
        <v>54260</v>
      </c>
      <c r="W80" s="371">
        <v>0.84</v>
      </c>
      <c r="X80" s="369" t="s">
        <v>574</v>
      </c>
      <c r="Y80" s="369"/>
      <c r="Z80" s="369" t="s">
        <v>1987</v>
      </c>
      <c r="AA80" s="369"/>
      <c r="AB80" s="369" t="s">
        <v>571</v>
      </c>
      <c r="AC80" s="369" t="s">
        <v>570</v>
      </c>
      <c r="AD80" s="367" t="s">
        <v>569</v>
      </c>
      <c r="AE80" s="369"/>
      <c r="AF80" s="367" t="s">
        <v>568</v>
      </c>
      <c r="AG80" s="369">
        <v>0</v>
      </c>
      <c r="AH80" s="369">
        <v>0</v>
      </c>
      <c r="AI80" s="517"/>
      <c r="AJ80" s="518" t="s">
        <v>513</v>
      </c>
      <c r="AK80" s="333">
        <f t="shared" si="12"/>
        <v>6</v>
      </c>
      <c r="AL80" s="333">
        <f t="shared" si="13"/>
        <v>2022</v>
      </c>
      <c r="AM80" s="333">
        <f t="shared" si="14"/>
        <v>2034</v>
      </c>
      <c r="AN80" s="334">
        <f t="shared" si="15"/>
        <v>2034.5</v>
      </c>
      <c r="AO80" s="335">
        <f t="shared" si="16"/>
        <v>0.84229166666666666</v>
      </c>
      <c r="AP80" s="335">
        <f t="shared" si="17"/>
        <v>10.1075</v>
      </c>
      <c r="AQ80" s="332">
        <f t="shared" si="18"/>
        <v>10.1075</v>
      </c>
      <c r="AR80" s="332">
        <f t="shared" si="19"/>
        <v>1.6845833333341034</v>
      </c>
      <c r="AS80" s="332">
        <f t="shared" si="20"/>
        <v>11.792083333334103</v>
      </c>
      <c r="AT80" s="332">
        <f t="shared" si="21"/>
        <v>109.4979166666659</v>
      </c>
      <c r="AU80" s="374" t="s">
        <v>59</v>
      </c>
    </row>
    <row r="81" spans="1:47" s="366" customFormat="1" ht="15.75">
      <c r="A81" s="367">
        <v>2112</v>
      </c>
      <c r="B81" s="368">
        <v>285278</v>
      </c>
      <c r="C81" s="367" t="s">
        <v>574</v>
      </c>
      <c r="D81" s="369" t="s">
        <v>1985</v>
      </c>
      <c r="E81" s="367">
        <v>8</v>
      </c>
      <c r="F81" s="369"/>
      <c r="G81" s="369"/>
      <c r="H81" s="369">
        <v>0</v>
      </c>
      <c r="I81" s="369" t="s">
        <v>1361</v>
      </c>
      <c r="J81" s="369"/>
      <c r="K81" s="369" t="s">
        <v>1986</v>
      </c>
      <c r="L81" s="370">
        <v>44735</v>
      </c>
      <c r="M81" s="370">
        <v>44735</v>
      </c>
      <c r="N81" s="369" t="s">
        <v>1988</v>
      </c>
      <c r="O81" s="367">
        <v>1200</v>
      </c>
      <c r="P81" s="367">
        <v>14050</v>
      </c>
      <c r="Q81" s="371">
        <v>6543</v>
      </c>
      <c r="R81" s="367">
        <v>14056</v>
      </c>
      <c r="S81" s="371">
        <v>590.69000000000005</v>
      </c>
      <c r="T81" s="371">
        <f t="shared" si="11"/>
        <v>5952.3099999999995</v>
      </c>
      <c r="U81" s="372">
        <v>318.06</v>
      </c>
      <c r="V81" s="367">
        <v>54260</v>
      </c>
      <c r="W81" s="371">
        <v>45.43</v>
      </c>
      <c r="X81" s="369" t="s">
        <v>574</v>
      </c>
      <c r="Y81" s="369"/>
      <c r="Z81" s="369" t="s">
        <v>1987</v>
      </c>
      <c r="AA81" s="369"/>
      <c r="AB81" s="369" t="s">
        <v>571</v>
      </c>
      <c r="AC81" s="369" t="s">
        <v>570</v>
      </c>
      <c r="AD81" s="367" t="s">
        <v>569</v>
      </c>
      <c r="AE81" s="369"/>
      <c r="AF81" s="367" t="s">
        <v>568</v>
      </c>
      <c r="AG81" s="369">
        <v>0</v>
      </c>
      <c r="AH81" s="369">
        <v>0</v>
      </c>
      <c r="AI81" s="517"/>
      <c r="AJ81" s="518" t="s">
        <v>513</v>
      </c>
      <c r="AK81" s="333">
        <f t="shared" si="12"/>
        <v>6</v>
      </c>
      <c r="AL81" s="333">
        <f t="shared" si="13"/>
        <v>2022</v>
      </c>
      <c r="AM81" s="333">
        <f t="shared" si="14"/>
        <v>2034</v>
      </c>
      <c r="AN81" s="334">
        <f t="shared" si="15"/>
        <v>2034.5</v>
      </c>
      <c r="AO81" s="335">
        <f t="shared" si="16"/>
        <v>45.4375</v>
      </c>
      <c r="AP81" s="335">
        <f t="shared" si="17"/>
        <v>545.25</v>
      </c>
      <c r="AQ81" s="332">
        <f t="shared" si="18"/>
        <v>545.25</v>
      </c>
      <c r="AR81" s="332">
        <f t="shared" si="19"/>
        <v>90.875000000040927</v>
      </c>
      <c r="AS81" s="332">
        <f t="shared" si="20"/>
        <v>636.12500000004093</v>
      </c>
      <c r="AT81" s="332">
        <f t="shared" si="21"/>
        <v>5906.8749999999591</v>
      </c>
      <c r="AU81" s="374" t="s">
        <v>59</v>
      </c>
    </row>
    <row r="82" spans="1:47" s="366" customFormat="1" ht="15.75">
      <c r="A82" s="367">
        <v>2112</v>
      </c>
      <c r="B82" s="368">
        <v>285277</v>
      </c>
      <c r="C82" s="367" t="s">
        <v>574</v>
      </c>
      <c r="D82" s="369" t="s">
        <v>1985</v>
      </c>
      <c r="E82" s="367">
        <v>2</v>
      </c>
      <c r="F82" s="369"/>
      <c r="G82" s="369"/>
      <c r="H82" s="369">
        <v>0</v>
      </c>
      <c r="I82" s="369" t="s">
        <v>1361</v>
      </c>
      <c r="J82" s="369"/>
      <c r="K82" s="369" t="s">
        <v>1986</v>
      </c>
      <c r="L82" s="370">
        <v>44735</v>
      </c>
      <c r="M82" s="370">
        <v>44735</v>
      </c>
      <c r="N82" s="369" t="s">
        <v>1983</v>
      </c>
      <c r="O82" s="367">
        <v>1200</v>
      </c>
      <c r="P82" s="367">
        <v>14050</v>
      </c>
      <c r="Q82" s="371">
        <v>1242.9000000000001</v>
      </c>
      <c r="R82" s="367">
        <v>14056</v>
      </c>
      <c r="S82" s="371">
        <v>112.21</v>
      </c>
      <c r="T82" s="371">
        <f t="shared" si="11"/>
        <v>1130.69</v>
      </c>
      <c r="U82" s="372">
        <v>60.42</v>
      </c>
      <c r="V82" s="367">
        <v>54260</v>
      </c>
      <c r="W82" s="371">
        <v>8.6300000000000008</v>
      </c>
      <c r="X82" s="369" t="s">
        <v>574</v>
      </c>
      <c r="Y82" s="369"/>
      <c r="Z82" s="369" t="s">
        <v>1987</v>
      </c>
      <c r="AA82" s="369"/>
      <c r="AB82" s="369" t="s">
        <v>571</v>
      </c>
      <c r="AC82" s="369" t="s">
        <v>570</v>
      </c>
      <c r="AD82" s="367" t="s">
        <v>569</v>
      </c>
      <c r="AE82" s="369"/>
      <c r="AF82" s="367" t="s">
        <v>568</v>
      </c>
      <c r="AG82" s="369">
        <v>0</v>
      </c>
      <c r="AH82" s="369">
        <v>0</v>
      </c>
      <c r="AI82" s="517"/>
      <c r="AJ82" s="518" t="s">
        <v>513</v>
      </c>
      <c r="AK82" s="333">
        <f t="shared" si="12"/>
        <v>6</v>
      </c>
      <c r="AL82" s="333">
        <f t="shared" si="13"/>
        <v>2022</v>
      </c>
      <c r="AM82" s="333">
        <f t="shared" si="14"/>
        <v>2034</v>
      </c>
      <c r="AN82" s="334">
        <f t="shared" si="15"/>
        <v>2034.5</v>
      </c>
      <c r="AO82" s="335">
        <f t="shared" si="16"/>
        <v>8.6312499999999996</v>
      </c>
      <c r="AP82" s="335">
        <f t="shared" si="17"/>
        <v>103.57499999999999</v>
      </c>
      <c r="AQ82" s="332">
        <f t="shared" si="18"/>
        <v>103.57499999999999</v>
      </c>
      <c r="AR82" s="332">
        <f t="shared" si="19"/>
        <v>17.262500000008004</v>
      </c>
      <c r="AS82" s="332">
        <f t="shared" si="20"/>
        <v>120.83750000000799</v>
      </c>
      <c r="AT82" s="332">
        <f t="shared" si="21"/>
        <v>1122.062499999992</v>
      </c>
      <c r="AU82" s="374" t="s">
        <v>59</v>
      </c>
    </row>
    <row r="83" spans="1:47" s="366" customFormat="1" ht="15.75">
      <c r="A83" s="367">
        <v>2112</v>
      </c>
      <c r="B83" s="368">
        <v>285275</v>
      </c>
      <c r="C83" s="367" t="s">
        <v>574</v>
      </c>
      <c r="D83" s="369" t="s">
        <v>1981</v>
      </c>
      <c r="E83" s="367">
        <v>10</v>
      </c>
      <c r="F83" s="369"/>
      <c r="G83" s="369"/>
      <c r="H83" s="369">
        <v>0</v>
      </c>
      <c r="I83" s="369" t="s">
        <v>1361</v>
      </c>
      <c r="J83" s="369"/>
      <c r="K83" s="369" t="s">
        <v>1982</v>
      </c>
      <c r="L83" s="370">
        <v>44699</v>
      </c>
      <c r="M83" s="370">
        <v>44699</v>
      </c>
      <c r="N83" s="369" t="s">
        <v>1983</v>
      </c>
      <c r="O83" s="367">
        <v>1200</v>
      </c>
      <c r="P83" s="367">
        <v>14050</v>
      </c>
      <c r="Q83" s="371">
        <v>6189.84</v>
      </c>
      <c r="R83" s="367">
        <v>14056</v>
      </c>
      <c r="S83" s="371">
        <v>601.79999999999995</v>
      </c>
      <c r="T83" s="371">
        <f t="shared" si="11"/>
        <v>5588.04</v>
      </c>
      <c r="U83" s="372">
        <v>300.89999999999998</v>
      </c>
      <c r="V83" s="367">
        <v>54260</v>
      </c>
      <c r="W83" s="371">
        <v>42.99</v>
      </c>
      <c r="X83" s="369" t="s">
        <v>574</v>
      </c>
      <c r="Y83" s="369"/>
      <c r="Z83" s="369" t="s">
        <v>1984</v>
      </c>
      <c r="AA83" s="369"/>
      <c r="AB83" s="369" t="s">
        <v>571</v>
      </c>
      <c r="AC83" s="369" t="s">
        <v>570</v>
      </c>
      <c r="AD83" s="367" t="s">
        <v>569</v>
      </c>
      <c r="AE83" s="369"/>
      <c r="AF83" s="367" t="s">
        <v>568</v>
      </c>
      <c r="AG83" s="369">
        <v>0</v>
      </c>
      <c r="AH83" s="369">
        <v>0</v>
      </c>
      <c r="AI83" s="517"/>
      <c r="AJ83" s="518" t="s">
        <v>513</v>
      </c>
      <c r="AK83" s="333">
        <f t="shared" si="12"/>
        <v>5</v>
      </c>
      <c r="AL83" s="333">
        <f t="shared" si="13"/>
        <v>2022</v>
      </c>
      <c r="AM83" s="333">
        <f t="shared" si="14"/>
        <v>2034</v>
      </c>
      <c r="AN83" s="334">
        <f t="shared" si="15"/>
        <v>2034.4166666666667</v>
      </c>
      <c r="AO83" s="335">
        <f t="shared" si="16"/>
        <v>42.985000000000007</v>
      </c>
      <c r="AP83" s="335">
        <f t="shared" si="17"/>
        <v>515.82000000000005</v>
      </c>
      <c r="AQ83" s="332">
        <f t="shared" si="18"/>
        <v>515.82000000000005</v>
      </c>
      <c r="AR83" s="332">
        <f t="shared" si="19"/>
        <v>128.95499999999902</v>
      </c>
      <c r="AS83" s="332">
        <f t="shared" si="20"/>
        <v>644.77499999999907</v>
      </c>
      <c r="AT83" s="332">
        <f t="shared" si="21"/>
        <v>5545.0650000000014</v>
      </c>
      <c r="AU83" s="374" t="s">
        <v>59</v>
      </c>
    </row>
    <row r="84" spans="1:47" s="366" customFormat="1" ht="15.75">
      <c r="A84" s="367">
        <v>2112</v>
      </c>
      <c r="B84" s="368">
        <v>284341</v>
      </c>
      <c r="C84" s="367" t="s">
        <v>574</v>
      </c>
      <c r="D84" s="369" t="s">
        <v>1978</v>
      </c>
      <c r="E84" s="367">
        <v>648</v>
      </c>
      <c r="F84" s="369"/>
      <c r="G84" s="369"/>
      <c r="H84" s="369">
        <v>0</v>
      </c>
      <c r="I84" s="369" t="s">
        <v>1335</v>
      </c>
      <c r="J84" s="369"/>
      <c r="K84" s="369" t="s">
        <v>1979</v>
      </c>
      <c r="L84" s="370">
        <v>44740</v>
      </c>
      <c r="M84" s="370">
        <v>44740</v>
      </c>
      <c r="N84" s="369" t="s">
        <v>1980</v>
      </c>
      <c r="O84" s="367">
        <v>700</v>
      </c>
      <c r="P84" s="367">
        <v>14050</v>
      </c>
      <c r="Q84" s="371">
        <v>40517.730000000003</v>
      </c>
      <c r="R84" s="367">
        <v>14056</v>
      </c>
      <c r="S84" s="371">
        <v>6270.6</v>
      </c>
      <c r="T84" s="371">
        <f t="shared" si="11"/>
        <v>34247.130000000005</v>
      </c>
      <c r="U84" s="372">
        <v>3376.48</v>
      </c>
      <c r="V84" s="367">
        <v>54260</v>
      </c>
      <c r="W84" s="371">
        <v>482.35</v>
      </c>
      <c r="X84" s="369" t="s">
        <v>574</v>
      </c>
      <c r="Y84" s="369"/>
      <c r="Z84" s="369">
        <v>50250254</v>
      </c>
      <c r="AA84" s="369"/>
      <c r="AB84" s="369" t="s">
        <v>571</v>
      </c>
      <c r="AC84" s="369" t="s">
        <v>570</v>
      </c>
      <c r="AD84" s="367" t="s">
        <v>569</v>
      </c>
      <c r="AE84" s="369"/>
      <c r="AF84" s="367" t="s">
        <v>568</v>
      </c>
      <c r="AG84" s="369">
        <v>0</v>
      </c>
      <c r="AH84" s="369">
        <v>0</v>
      </c>
      <c r="AI84" s="517"/>
      <c r="AJ84" s="518" t="s">
        <v>255</v>
      </c>
      <c r="AK84" s="333">
        <f t="shared" si="12"/>
        <v>6</v>
      </c>
      <c r="AL84" s="333">
        <f t="shared" si="13"/>
        <v>2022</v>
      </c>
      <c r="AM84" s="333">
        <f t="shared" si="14"/>
        <v>2029</v>
      </c>
      <c r="AN84" s="334">
        <f t="shared" si="15"/>
        <v>2029.5</v>
      </c>
      <c r="AO84" s="335">
        <f t="shared" si="16"/>
        <v>482.35392857142864</v>
      </c>
      <c r="AP84" s="335">
        <f t="shared" si="17"/>
        <v>5788.2471428571434</v>
      </c>
      <c r="AQ84" s="332">
        <f t="shared" si="18"/>
        <v>5788.2471428571434</v>
      </c>
      <c r="AR84" s="332">
        <f t="shared" si="19"/>
        <v>964.70785714329395</v>
      </c>
      <c r="AS84" s="332">
        <f t="shared" si="20"/>
        <v>6752.9550000004374</v>
      </c>
      <c r="AT84" s="332">
        <f t="shared" si="21"/>
        <v>33764.774999999565</v>
      </c>
      <c r="AU84" s="374" t="s">
        <v>59</v>
      </c>
    </row>
    <row r="85" spans="1:47" s="366" customFormat="1" ht="15.75">
      <c r="A85" s="367">
        <v>2112</v>
      </c>
      <c r="B85" s="368">
        <v>283931</v>
      </c>
      <c r="C85" s="367" t="s">
        <v>574</v>
      </c>
      <c r="D85" s="369" t="s">
        <v>1974</v>
      </c>
      <c r="E85" s="367">
        <v>1</v>
      </c>
      <c r="F85" s="369"/>
      <c r="G85" s="369"/>
      <c r="H85" s="369">
        <v>0</v>
      </c>
      <c r="I85" s="369" t="s">
        <v>1969</v>
      </c>
      <c r="J85" s="369"/>
      <c r="K85" s="369"/>
      <c r="L85" s="370">
        <v>44728</v>
      </c>
      <c r="M85" s="370">
        <v>44728</v>
      </c>
      <c r="N85" s="369" t="s">
        <v>1975</v>
      </c>
      <c r="O85" s="367">
        <v>300</v>
      </c>
      <c r="P85" s="367">
        <v>14110</v>
      </c>
      <c r="Q85" s="371">
        <v>1580.41</v>
      </c>
      <c r="R85" s="367">
        <v>14116</v>
      </c>
      <c r="S85" s="371">
        <v>570.70000000000005</v>
      </c>
      <c r="T85" s="371">
        <f t="shared" ref="T85:T148" si="22">Q85-S85</f>
        <v>1009.71</v>
      </c>
      <c r="U85" s="372">
        <v>307.3</v>
      </c>
      <c r="V85" s="367">
        <v>70260</v>
      </c>
      <c r="W85" s="371">
        <v>43.9</v>
      </c>
      <c r="X85" s="369" t="s">
        <v>574</v>
      </c>
      <c r="Y85" s="369"/>
      <c r="Z85" s="369" t="s">
        <v>1971</v>
      </c>
      <c r="AA85" s="369"/>
      <c r="AB85" s="369" t="s">
        <v>571</v>
      </c>
      <c r="AC85" s="369" t="s">
        <v>570</v>
      </c>
      <c r="AD85" s="367" t="s">
        <v>569</v>
      </c>
      <c r="AE85" s="369"/>
      <c r="AF85" s="367" t="s">
        <v>568</v>
      </c>
      <c r="AG85" s="369">
        <v>0</v>
      </c>
      <c r="AH85" s="369">
        <v>0</v>
      </c>
      <c r="AI85" s="517"/>
      <c r="AJ85" s="518" t="s">
        <v>80</v>
      </c>
      <c r="AK85" s="333">
        <f t="shared" si="12"/>
        <v>6</v>
      </c>
      <c r="AL85" s="333">
        <f t="shared" si="13"/>
        <v>2022</v>
      </c>
      <c r="AM85" s="333">
        <f t="shared" si="14"/>
        <v>2025</v>
      </c>
      <c r="AN85" s="334">
        <f t="shared" si="15"/>
        <v>2025.5</v>
      </c>
      <c r="AO85" s="335">
        <f t="shared" si="16"/>
        <v>43.900277777777781</v>
      </c>
      <c r="AP85" s="335">
        <f t="shared" si="17"/>
        <v>526.8033333333334</v>
      </c>
      <c r="AQ85" s="332">
        <f t="shared" si="18"/>
        <v>526.8033333333334</v>
      </c>
      <c r="AR85" s="332">
        <f t="shared" si="19"/>
        <v>87.800555555595565</v>
      </c>
      <c r="AS85" s="332">
        <f t="shared" si="20"/>
        <v>614.60388888892896</v>
      </c>
      <c r="AT85" s="332">
        <f t="shared" si="21"/>
        <v>965.80611111107112</v>
      </c>
      <c r="AU85" s="374" t="s">
        <v>59</v>
      </c>
    </row>
    <row r="86" spans="1:47" s="366" customFormat="1" ht="15.75">
      <c r="A86" s="367">
        <v>2112</v>
      </c>
      <c r="B86" s="368">
        <v>283930</v>
      </c>
      <c r="C86" s="367">
        <v>283931</v>
      </c>
      <c r="D86" s="369" t="s">
        <v>1976</v>
      </c>
      <c r="E86" s="367">
        <v>1</v>
      </c>
      <c r="F86" s="369"/>
      <c r="G86" s="369"/>
      <c r="H86" s="369">
        <v>0</v>
      </c>
      <c r="I86" s="369" t="s">
        <v>1977</v>
      </c>
      <c r="J86" s="369"/>
      <c r="K86" s="369"/>
      <c r="L86" s="370">
        <v>44728</v>
      </c>
      <c r="M86" s="370">
        <v>44728</v>
      </c>
      <c r="N86" s="369" t="s">
        <v>1975</v>
      </c>
      <c r="O86" s="367">
        <v>300</v>
      </c>
      <c r="P86" s="367">
        <v>14110</v>
      </c>
      <c r="Q86" s="371">
        <v>303.77999999999997</v>
      </c>
      <c r="R86" s="367">
        <v>14116</v>
      </c>
      <c r="S86" s="371">
        <v>109.7</v>
      </c>
      <c r="T86" s="371">
        <f t="shared" si="22"/>
        <v>194.07999999999998</v>
      </c>
      <c r="U86" s="372">
        <v>59.07</v>
      </c>
      <c r="V86" s="367">
        <v>70260</v>
      </c>
      <c r="W86" s="371">
        <v>8.44</v>
      </c>
      <c r="X86" s="369" t="s">
        <v>574</v>
      </c>
      <c r="Y86" s="369"/>
      <c r="Z86" s="369">
        <v>8273047</v>
      </c>
      <c r="AA86" s="369"/>
      <c r="AB86" s="369" t="s">
        <v>571</v>
      </c>
      <c r="AC86" s="369" t="s">
        <v>570</v>
      </c>
      <c r="AD86" s="367" t="s">
        <v>569</v>
      </c>
      <c r="AE86" s="369"/>
      <c r="AF86" s="367" t="s">
        <v>568</v>
      </c>
      <c r="AG86" s="369">
        <v>0</v>
      </c>
      <c r="AH86" s="369">
        <v>0</v>
      </c>
      <c r="AI86" s="517"/>
      <c r="AJ86" s="518" t="s">
        <v>80</v>
      </c>
      <c r="AK86" s="333">
        <f t="shared" si="12"/>
        <v>6</v>
      </c>
      <c r="AL86" s="333">
        <f t="shared" si="13"/>
        <v>2022</v>
      </c>
      <c r="AM86" s="333">
        <f t="shared" si="14"/>
        <v>2025</v>
      </c>
      <c r="AN86" s="334">
        <f t="shared" si="15"/>
        <v>2025.5</v>
      </c>
      <c r="AO86" s="335">
        <f t="shared" si="16"/>
        <v>8.4383333333333326</v>
      </c>
      <c r="AP86" s="335">
        <f t="shared" si="17"/>
        <v>101.25999999999999</v>
      </c>
      <c r="AQ86" s="332">
        <f t="shared" si="18"/>
        <v>101.25999999999999</v>
      </c>
      <c r="AR86" s="332">
        <f t="shared" si="19"/>
        <v>16.876666666674339</v>
      </c>
      <c r="AS86" s="332">
        <f t="shared" si="20"/>
        <v>118.13666666667433</v>
      </c>
      <c r="AT86" s="332">
        <f t="shared" si="21"/>
        <v>185.64333333332564</v>
      </c>
      <c r="AU86" s="374" t="s">
        <v>59</v>
      </c>
    </row>
    <row r="87" spans="1:47" s="366" customFormat="1" ht="15.75">
      <c r="A87" s="367">
        <v>2112</v>
      </c>
      <c r="B87" s="368">
        <v>283929</v>
      </c>
      <c r="C87" s="367" t="s">
        <v>574</v>
      </c>
      <c r="D87" s="369" t="s">
        <v>1968</v>
      </c>
      <c r="E87" s="367">
        <v>1</v>
      </c>
      <c r="F87" s="369"/>
      <c r="G87" s="369"/>
      <c r="H87" s="369">
        <v>0</v>
      </c>
      <c r="I87" s="369" t="s">
        <v>1969</v>
      </c>
      <c r="J87" s="369"/>
      <c r="K87" s="369"/>
      <c r="L87" s="370">
        <v>44728</v>
      </c>
      <c r="M87" s="370">
        <v>44728</v>
      </c>
      <c r="N87" s="369" t="s">
        <v>1970</v>
      </c>
      <c r="O87" s="367">
        <v>300</v>
      </c>
      <c r="P87" s="367">
        <v>14110</v>
      </c>
      <c r="Q87" s="371">
        <v>1580.42</v>
      </c>
      <c r="R87" s="367">
        <v>14116</v>
      </c>
      <c r="S87" s="371">
        <v>570.71</v>
      </c>
      <c r="T87" s="371">
        <f t="shared" si="22"/>
        <v>1009.71</v>
      </c>
      <c r="U87" s="372">
        <v>307.31</v>
      </c>
      <c r="V87" s="367">
        <v>70260</v>
      </c>
      <c r="W87" s="371">
        <v>43.9</v>
      </c>
      <c r="X87" s="369" t="s">
        <v>574</v>
      </c>
      <c r="Y87" s="369"/>
      <c r="Z87" s="369" t="s">
        <v>1971</v>
      </c>
      <c r="AA87" s="369"/>
      <c r="AB87" s="369" t="s">
        <v>571</v>
      </c>
      <c r="AC87" s="369" t="s">
        <v>570</v>
      </c>
      <c r="AD87" s="367" t="s">
        <v>569</v>
      </c>
      <c r="AE87" s="369"/>
      <c r="AF87" s="367" t="s">
        <v>568</v>
      </c>
      <c r="AG87" s="369">
        <v>0</v>
      </c>
      <c r="AH87" s="369">
        <v>0</v>
      </c>
      <c r="AI87" s="517"/>
      <c r="AJ87" s="518" t="s">
        <v>81</v>
      </c>
      <c r="AK87" s="333">
        <f t="shared" si="12"/>
        <v>6</v>
      </c>
      <c r="AL87" s="333">
        <f t="shared" si="13"/>
        <v>2022</v>
      </c>
      <c r="AM87" s="333">
        <f t="shared" si="14"/>
        <v>2025</v>
      </c>
      <c r="AN87" s="334">
        <f t="shared" si="15"/>
        <v>2025.5</v>
      </c>
      <c r="AO87" s="335">
        <f t="shared" si="16"/>
        <v>43.900555555555563</v>
      </c>
      <c r="AP87" s="335">
        <f t="shared" si="17"/>
        <v>526.80666666666673</v>
      </c>
      <c r="AQ87" s="332">
        <f t="shared" si="18"/>
        <v>526.80666666666673</v>
      </c>
      <c r="AR87" s="332">
        <f t="shared" si="19"/>
        <v>87.801111111150931</v>
      </c>
      <c r="AS87" s="332">
        <f t="shared" si="20"/>
        <v>614.60777777781766</v>
      </c>
      <c r="AT87" s="332">
        <f t="shared" si="21"/>
        <v>965.81222222218241</v>
      </c>
      <c r="AU87" s="374" t="s">
        <v>59</v>
      </c>
    </row>
    <row r="88" spans="1:47" s="366" customFormat="1" ht="15.75">
      <c r="A88" s="367">
        <v>2112</v>
      </c>
      <c r="B88" s="368">
        <v>283928</v>
      </c>
      <c r="C88" s="367">
        <v>283929</v>
      </c>
      <c r="D88" s="369" t="s">
        <v>1972</v>
      </c>
      <c r="E88" s="367">
        <v>1</v>
      </c>
      <c r="F88" s="369"/>
      <c r="G88" s="369"/>
      <c r="H88" s="369">
        <v>0</v>
      </c>
      <c r="I88" s="369" t="s">
        <v>1973</v>
      </c>
      <c r="J88" s="369"/>
      <c r="K88" s="369"/>
      <c r="L88" s="370">
        <v>44728</v>
      </c>
      <c r="M88" s="370">
        <v>44728</v>
      </c>
      <c r="N88" s="369" t="s">
        <v>1970</v>
      </c>
      <c r="O88" s="367">
        <v>300</v>
      </c>
      <c r="P88" s="367">
        <v>14110</v>
      </c>
      <c r="Q88" s="371">
        <v>303.77999999999997</v>
      </c>
      <c r="R88" s="367">
        <v>14116</v>
      </c>
      <c r="S88" s="371">
        <v>109.7</v>
      </c>
      <c r="T88" s="371">
        <f t="shared" si="22"/>
        <v>194.07999999999998</v>
      </c>
      <c r="U88" s="372">
        <v>59.07</v>
      </c>
      <c r="V88" s="367">
        <v>70260</v>
      </c>
      <c r="W88" s="371">
        <v>8.44</v>
      </c>
      <c r="X88" s="369" t="s">
        <v>574</v>
      </c>
      <c r="Y88" s="369"/>
      <c r="Z88" s="369">
        <v>6981015</v>
      </c>
      <c r="AA88" s="369"/>
      <c r="AB88" s="369" t="s">
        <v>571</v>
      </c>
      <c r="AC88" s="369" t="s">
        <v>570</v>
      </c>
      <c r="AD88" s="367" t="s">
        <v>569</v>
      </c>
      <c r="AE88" s="369"/>
      <c r="AF88" s="367" t="s">
        <v>568</v>
      </c>
      <c r="AG88" s="369">
        <v>0</v>
      </c>
      <c r="AH88" s="369">
        <v>0</v>
      </c>
      <c r="AI88" s="517"/>
      <c r="AJ88" s="518" t="s">
        <v>81</v>
      </c>
      <c r="AK88" s="333">
        <f t="shared" si="12"/>
        <v>6</v>
      </c>
      <c r="AL88" s="333">
        <f t="shared" si="13"/>
        <v>2022</v>
      </c>
      <c r="AM88" s="333">
        <f t="shared" si="14"/>
        <v>2025</v>
      </c>
      <c r="AN88" s="334">
        <f t="shared" si="15"/>
        <v>2025.5</v>
      </c>
      <c r="AO88" s="335">
        <f t="shared" si="16"/>
        <v>8.4383333333333326</v>
      </c>
      <c r="AP88" s="335">
        <f t="shared" si="17"/>
        <v>101.25999999999999</v>
      </c>
      <c r="AQ88" s="332">
        <f t="shared" si="18"/>
        <v>101.25999999999999</v>
      </c>
      <c r="AR88" s="332">
        <f t="shared" si="19"/>
        <v>16.876666666674339</v>
      </c>
      <c r="AS88" s="332">
        <f t="shared" si="20"/>
        <v>118.13666666667433</v>
      </c>
      <c r="AT88" s="332">
        <f t="shared" si="21"/>
        <v>185.64333333332564</v>
      </c>
      <c r="AU88" s="374" t="s">
        <v>59</v>
      </c>
    </row>
    <row r="89" spans="1:47" s="366" customFormat="1" ht="15.75">
      <c r="A89" s="367">
        <v>2112</v>
      </c>
      <c r="B89" s="368">
        <v>283927</v>
      </c>
      <c r="C89" s="367" t="s">
        <v>574</v>
      </c>
      <c r="D89" s="369" t="s">
        <v>1964</v>
      </c>
      <c r="E89" s="367">
        <v>1</v>
      </c>
      <c r="F89" s="369"/>
      <c r="G89" s="369"/>
      <c r="H89" s="369">
        <v>0</v>
      </c>
      <c r="I89" s="369" t="s">
        <v>1965</v>
      </c>
      <c r="J89" s="369"/>
      <c r="K89" s="369"/>
      <c r="L89" s="370">
        <v>44728</v>
      </c>
      <c r="M89" s="370">
        <v>44728</v>
      </c>
      <c r="N89" s="369" t="s">
        <v>1966</v>
      </c>
      <c r="O89" s="367">
        <v>300</v>
      </c>
      <c r="P89" s="367">
        <v>14110</v>
      </c>
      <c r="Q89" s="371">
        <v>1451.82</v>
      </c>
      <c r="R89" s="367">
        <v>14116</v>
      </c>
      <c r="S89" s="371">
        <v>524.27</v>
      </c>
      <c r="T89" s="371">
        <f t="shared" si="22"/>
        <v>927.55</v>
      </c>
      <c r="U89" s="372">
        <v>282.3</v>
      </c>
      <c r="V89" s="367">
        <v>70260</v>
      </c>
      <c r="W89" s="371">
        <v>40.33</v>
      </c>
      <c r="X89" s="369" t="s">
        <v>574</v>
      </c>
      <c r="Y89" s="369"/>
      <c r="Z89" s="369" t="s">
        <v>1967</v>
      </c>
      <c r="AA89" s="369"/>
      <c r="AB89" s="369" t="s">
        <v>571</v>
      </c>
      <c r="AC89" s="369" t="s">
        <v>570</v>
      </c>
      <c r="AD89" s="367" t="s">
        <v>569</v>
      </c>
      <c r="AE89" s="369"/>
      <c r="AF89" s="367" t="s">
        <v>568</v>
      </c>
      <c r="AG89" s="369">
        <v>0</v>
      </c>
      <c r="AH89" s="369">
        <v>0</v>
      </c>
      <c r="AI89" s="517"/>
      <c r="AJ89" s="518" t="s">
        <v>81</v>
      </c>
      <c r="AK89" s="333">
        <f t="shared" si="12"/>
        <v>6</v>
      </c>
      <c r="AL89" s="333">
        <f t="shared" si="13"/>
        <v>2022</v>
      </c>
      <c r="AM89" s="333">
        <f t="shared" si="14"/>
        <v>2025</v>
      </c>
      <c r="AN89" s="334">
        <f t="shared" si="15"/>
        <v>2025.5</v>
      </c>
      <c r="AO89" s="335">
        <f t="shared" si="16"/>
        <v>40.328333333333333</v>
      </c>
      <c r="AP89" s="335">
        <f t="shared" si="17"/>
        <v>483.94</v>
      </c>
      <c r="AQ89" s="332">
        <f t="shared" si="18"/>
        <v>483.94</v>
      </c>
      <c r="AR89" s="332">
        <f t="shared" si="19"/>
        <v>80.656666666703359</v>
      </c>
      <c r="AS89" s="332">
        <f t="shared" si="20"/>
        <v>564.59666666670341</v>
      </c>
      <c r="AT89" s="332">
        <f t="shared" si="21"/>
        <v>887.22333333329652</v>
      </c>
      <c r="AU89" s="374" t="s">
        <v>59</v>
      </c>
    </row>
    <row r="90" spans="1:47" s="366" customFormat="1" ht="15.75">
      <c r="A90" s="367">
        <v>2112</v>
      </c>
      <c r="B90" s="368">
        <v>282057</v>
      </c>
      <c r="C90" s="367" t="s">
        <v>574</v>
      </c>
      <c r="D90" s="369" t="s">
        <v>1958</v>
      </c>
      <c r="E90" s="367">
        <v>1</v>
      </c>
      <c r="F90" s="369"/>
      <c r="G90" s="369"/>
      <c r="H90" s="369">
        <v>0</v>
      </c>
      <c r="I90" s="369" t="s">
        <v>1959</v>
      </c>
      <c r="J90" s="369"/>
      <c r="K90" s="369"/>
      <c r="L90" s="370">
        <v>44697</v>
      </c>
      <c r="M90" s="370">
        <v>44697</v>
      </c>
      <c r="N90" s="369" t="s">
        <v>1960</v>
      </c>
      <c r="O90" s="367">
        <v>300</v>
      </c>
      <c r="P90" s="367">
        <v>14110</v>
      </c>
      <c r="Q90" s="371">
        <v>1459.08</v>
      </c>
      <c r="R90" s="367">
        <v>14116</v>
      </c>
      <c r="S90" s="371">
        <v>567.41999999999996</v>
      </c>
      <c r="T90" s="371">
        <f t="shared" si="22"/>
        <v>891.66</v>
      </c>
      <c r="U90" s="372">
        <v>283.70999999999998</v>
      </c>
      <c r="V90" s="367">
        <v>70260</v>
      </c>
      <c r="W90" s="371">
        <v>40.53</v>
      </c>
      <c r="X90" s="369" t="s">
        <v>574</v>
      </c>
      <c r="Y90" s="369"/>
      <c r="Z90" s="369" t="s">
        <v>1961</v>
      </c>
      <c r="AA90" s="369"/>
      <c r="AB90" s="369" t="s">
        <v>571</v>
      </c>
      <c r="AC90" s="369" t="s">
        <v>570</v>
      </c>
      <c r="AD90" s="367" t="s">
        <v>569</v>
      </c>
      <c r="AE90" s="369"/>
      <c r="AF90" s="367" t="s">
        <v>568</v>
      </c>
      <c r="AG90" s="369">
        <v>0</v>
      </c>
      <c r="AH90" s="369">
        <v>0</v>
      </c>
      <c r="AI90" s="517"/>
      <c r="AJ90" s="518" t="s">
        <v>81</v>
      </c>
      <c r="AK90" s="333">
        <f t="shared" si="12"/>
        <v>5</v>
      </c>
      <c r="AL90" s="333">
        <f t="shared" si="13"/>
        <v>2022</v>
      </c>
      <c r="AM90" s="333">
        <f t="shared" si="14"/>
        <v>2025</v>
      </c>
      <c r="AN90" s="334">
        <f t="shared" si="15"/>
        <v>2025.4166666666667</v>
      </c>
      <c r="AO90" s="335">
        <f t="shared" si="16"/>
        <v>40.529999999999994</v>
      </c>
      <c r="AP90" s="335">
        <f t="shared" si="17"/>
        <v>486.3599999999999</v>
      </c>
      <c r="AQ90" s="332">
        <f t="shared" si="18"/>
        <v>486.3599999999999</v>
      </c>
      <c r="AR90" s="332">
        <f t="shared" si="19"/>
        <v>121.59000000000015</v>
      </c>
      <c r="AS90" s="332">
        <f t="shared" si="20"/>
        <v>607.95000000000005</v>
      </c>
      <c r="AT90" s="332">
        <f t="shared" si="21"/>
        <v>851.12999999999988</v>
      </c>
      <c r="AU90" s="374" t="s">
        <v>59</v>
      </c>
    </row>
    <row r="91" spans="1:47" s="366" customFormat="1" ht="15.75">
      <c r="A91" s="367">
        <v>2112</v>
      </c>
      <c r="B91" s="368">
        <v>282056</v>
      </c>
      <c r="C91" s="367">
        <v>282057</v>
      </c>
      <c r="D91" s="369" t="s">
        <v>1962</v>
      </c>
      <c r="E91" s="367">
        <v>1</v>
      </c>
      <c r="F91" s="369"/>
      <c r="G91" s="369"/>
      <c r="H91" s="369">
        <v>0</v>
      </c>
      <c r="I91" s="369" t="s">
        <v>1963</v>
      </c>
      <c r="J91" s="369"/>
      <c r="K91" s="369"/>
      <c r="L91" s="370">
        <v>44697</v>
      </c>
      <c r="M91" s="370">
        <v>44697</v>
      </c>
      <c r="N91" s="369" t="s">
        <v>1960</v>
      </c>
      <c r="O91" s="367">
        <v>300</v>
      </c>
      <c r="P91" s="367">
        <v>14110</v>
      </c>
      <c r="Q91" s="371">
        <v>302.7</v>
      </c>
      <c r="R91" s="367">
        <v>14116</v>
      </c>
      <c r="S91" s="371">
        <v>117.72</v>
      </c>
      <c r="T91" s="371">
        <f t="shared" si="22"/>
        <v>184.98</v>
      </c>
      <c r="U91" s="372">
        <v>58.86</v>
      </c>
      <c r="V91" s="367">
        <v>70260</v>
      </c>
      <c r="W91" s="371">
        <v>8.41</v>
      </c>
      <c r="X91" s="369" t="s">
        <v>574</v>
      </c>
      <c r="Y91" s="369"/>
      <c r="Z91" s="369">
        <v>224</v>
      </c>
      <c r="AA91" s="369"/>
      <c r="AB91" s="369" t="s">
        <v>571</v>
      </c>
      <c r="AC91" s="369" t="s">
        <v>570</v>
      </c>
      <c r="AD91" s="367" t="s">
        <v>569</v>
      </c>
      <c r="AE91" s="369"/>
      <c r="AF91" s="367" t="s">
        <v>568</v>
      </c>
      <c r="AG91" s="369">
        <v>0</v>
      </c>
      <c r="AH91" s="369">
        <v>0</v>
      </c>
      <c r="AI91" s="517"/>
      <c r="AJ91" s="518" t="s">
        <v>81</v>
      </c>
      <c r="AK91" s="333">
        <f t="shared" si="12"/>
        <v>5</v>
      </c>
      <c r="AL91" s="333">
        <f t="shared" si="13"/>
        <v>2022</v>
      </c>
      <c r="AM91" s="333">
        <f t="shared" si="14"/>
        <v>2025</v>
      </c>
      <c r="AN91" s="334">
        <f t="shared" si="15"/>
        <v>2025.4166666666667</v>
      </c>
      <c r="AO91" s="335">
        <f t="shared" si="16"/>
        <v>8.4083333333333332</v>
      </c>
      <c r="AP91" s="335">
        <f t="shared" si="17"/>
        <v>100.9</v>
      </c>
      <c r="AQ91" s="332">
        <f t="shared" si="18"/>
        <v>100.9</v>
      </c>
      <c r="AR91" s="332">
        <f t="shared" si="19"/>
        <v>25.224999999999966</v>
      </c>
      <c r="AS91" s="332">
        <f t="shared" si="20"/>
        <v>126.12499999999997</v>
      </c>
      <c r="AT91" s="332">
        <f t="shared" si="21"/>
        <v>176.57500000000002</v>
      </c>
      <c r="AU91" s="374" t="s">
        <v>59</v>
      </c>
    </row>
    <row r="92" spans="1:47" s="366" customFormat="1" ht="15.75">
      <c r="A92" s="367">
        <v>2112</v>
      </c>
      <c r="B92" s="368">
        <v>281620</v>
      </c>
      <c r="C92" s="367" t="s">
        <v>574</v>
      </c>
      <c r="D92" s="369" t="s">
        <v>2117</v>
      </c>
      <c r="E92" s="367">
        <v>3</v>
      </c>
      <c r="F92" s="369"/>
      <c r="G92" s="369"/>
      <c r="H92" s="369">
        <v>0</v>
      </c>
      <c r="I92" s="369"/>
      <c r="J92" s="369" t="s">
        <v>2118</v>
      </c>
      <c r="K92" s="369" t="s">
        <v>2117</v>
      </c>
      <c r="L92" s="370">
        <v>44682</v>
      </c>
      <c r="M92" s="370">
        <v>44682</v>
      </c>
      <c r="N92" s="369"/>
      <c r="O92" s="367">
        <v>0</v>
      </c>
      <c r="P92" s="367">
        <v>14050</v>
      </c>
      <c r="Q92" s="371">
        <v>0</v>
      </c>
      <c r="R92" s="367">
        <v>14056</v>
      </c>
      <c r="S92" s="371">
        <v>0</v>
      </c>
      <c r="T92" s="371">
        <f t="shared" si="22"/>
        <v>0</v>
      </c>
      <c r="U92" s="372">
        <v>0</v>
      </c>
      <c r="V92" s="367">
        <v>54260</v>
      </c>
      <c r="W92" s="371">
        <v>0</v>
      </c>
      <c r="X92" s="369" t="s">
        <v>574</v>
      </c>
      <c r="Y92" s="369"/>
      <c r="Z92" s="369"/>
      <c r="AA92" s="369"/>
      <c r="AB92" s="369" t="s">
        <v>571</v>
      </c>
      <c r="AC92" s="369" t="s">
        <v>570</v>
      </c>
      <c r="AD92" s="367" t="s">
        <v>596</v>
      </c>
      <c r="AE92" s="369"/>
      <c r="AF92" s="367" t="s">
        <v>568</v>
      </c>
      <c r="AG92" s="369">
        <v>0</v>
      </c>
      <c r="AH92" s="369">
        <v>0</v>
      </c>
      <c r="AI92" s="517"/>
      <c r="AJ92" s="525" t="s">
        <v>257</v>
      </c>
      <c r="AK92" s="333">
        <f t="shared" si="12"/>
        <v>5</v>
      </c>
      <c r="AL92" s="333">
        <f t="shared" si="13"/>
        <v>2022</v>
      </c>
      <c r="AM92" s="333">
        <f t="shared" si="14"/>
        <v>2022</v>
      </c>
      <c r="AN92" s="334">
        <f t="shared" si="15"/>
        <v>2022.4166666666667</v>
      </c>
      <c r="AO92" s="335">
        <f t="shared" si="16"/>
        <v>0</v>
      </c>
      <c r="AP92" s="335">
        <f t="shared" si="17"/>
        <v>0</v>
      </c>
      <c r="AQ92" s="332">
        <f t="shared" si="18"/>
        <v>0</v>
      </c>
      <c r="AR92" s="332">
        <f t="shared" si="19"/>
        <v>0</v>
      </c>
      <c r="AS92" s="332">
        <f t="shared" si="20"/>
        <v>0</v>
      </c>
      <c r="AT92" s="332">
        <f t="shared" si="21"/>
        <v>0</v>
      </c>
      <c r="AU92" s="374" t="s">
        <v>59</v>
      </c>
    </row>
    <row r="93" spans="1:47" s="366" customFormat="1" ht="15.75">
      <c r="A93" s="367">
        <v>2112</v>
      </c>
      <c r="B93" s="368">
        <v>281558</v>
      </c>
      <c r="C93" s="367" t="s">
        <v>574</v>
      </c>
      <c r="D93" s="369" t="s">
        <v>1956</v>
      </c>
      <c r="E93" s="367">
        <v>3</v>
      </c>
      <c r="F93" s="369"/>
      <c r="G93" s="369"/>
      <c r="H93" s="369">
        <v>0</v>
      </c>
      <c r="I93" s="369"/>
      <c r="J93" s="369"/>
      <c r="K93" s="369" t="s">
        <v>1607</v>
      </c>
      <c r="L93" s="370">
        <v>42522</v>
      </c>
      <c r="M93" s="370">
        <v>42522</v>
      </c>
      <c r="N93" s="369"/>
      <c r="O93" s="367">
        <v>700</v>
      </c>
      <c r="P93" s="367">
        <v>14050</v>
      </c>
      <c r="Q93" s="371">
        <v>1.86</v>
      </c>
      <c r="R93" s="367">
        <v>14056</v>
      </c>
      <c r="S93" s="371">
        <v>1.86</v>
      </c>
      <c r="T93" s="371">
        <f t="shared" si="22"/>
        <v>0</v>
      </c>
      <c r="U93" s="372">
        <v>0.11</v>
      </c>
      <c r="V93" s="367">
        <v>54260</v>
      </c>
      <c r="W93" s="371">
        <v>0</v>
      </c>
      <c r="X93" s="369" t="s">
        <v>570</v>
      </c>
      <c r="Y93" s="369" t="s">
        <v>1957</v>
      </c>
      <c r="Z93" s="369"/>
      <c r="AA93" s="369"/>
      <c r="AB93" s="369" t="s">
        <v>571</v>
      </c>
      <c r="AC93" s="369" t="s">
        <v>570</v>
      </c>
      <c r="AD93" s="367" t="s">
        <v>569</v>
      </c>
      <c r="AE93" s="373">
        <v>44681</v>
      </c>
      <c r="AF93" s="367" t="s">
        <v>568</v>
      </c>
      <c r="AG93" s="369">
        <v>0</v>
      </c>
      <c r="AH93" s="369">
        <v>1.57</v>
      </c>
      <c r="AI93" s="517"/>
      <c r="AJ93" s="518" t="s">
        <v>513</v>
      </c>
      <c r="AK93" s="333">
        <f t="shared" si="12"/>
        <v>6</v>
      </c>
      <c r="AL93" s="333">
        <f t="shared" si="13"/>
        <v>2016</v>
      </c>
      <c r="AM93" s="333">
        <f t="shared" si="14"/>
        <v>2023</v>
      </c>
      <c r="AN93" s="334">
        <f t="shared" si="15"/>
        <v>2023.5</v>
      </c>
      <c r="AO93" s="335">
        <f t="shared" si="16"/>
        <v>2.2142857142857145E-2</v>
      </c>
      <c r="AP93" s="335">
        <f t="shared" si="17"/>
        <v>0.26571428571428574</v>
      </c>
      <c r="AQ93" s="332">
        <f t="shared" si="18"/>
        <v>0</v>
      </c>
      <c r="AR93" s="332">
        <f t="shared" si="19"/>
        <v>1.6385714285714488</v>
      </c>
      <c r="AS93" s="332">
        <f t="shared" si="20"/>
        <v>1.86</v>
      </c>
      <c r="AT93" s="332">
        <f t="shared" si="21"/>
        <v>0</v>
      </c>
      <c r="AU93" s="374" t="s">
        <v>59</v>
      </c>
    </row>
    <row r="94" spans="1:47" s="366" customFormat="1" ht="15.75">
      <c r="A94" s="367">
        <v>2112</v>
      </c>
      <c r="B94" s="368">
        <v>281458</v>
      </c>
      <c r="C94" s="367" t="s">
        <v>574</v>
      </c>
      <c r="D94" s="369" t="s">
        <v>740</v>
      </c>
      <c r="E94" s="367">
        <v>8</v>
      </c>
      <c r="F94" s="369"/>
      <c r="G94" s="369"/>
      <c r="H94" s="369">
        <v>0</v>
      </c>
      <c r="I94" s="369"/>
      <c r="J94" s="369"/>
      <c r="K94" s="369" t="s">
        <v>671</v>
      </c>
      <c r="L94" s="370">
        <v>37862</v>
      </c>
      <c r="M94" s="370">
        <v>37862</v>
      </c>
      <c r="N94" s="369"/>
      <c r="O94" s="367">
        <v>700</v>
      </c>
      <c r="P94" s="367">
        <v>14050</v>
      </c>
      <c r="Q94" s="371">
        <v>240</v>
      </c>
      <c r="R94" s="367">
        <v>14056</v>
      </c>
      <c r="S94" s="371">
        <v>240</v>
      </c>
      <c r="T94" s="371">
        <f t="shared" si="22"/>
        <v>0</v>
      </c>
      <c r="U94" s="372">
        <v>0</v>
      </c>
      <c r="V94" s="367">
        <v>54260</v>
      </c>
      <c r="W94" s="371">
        <v>0</v>
      </c>
      <c r="X94" s="369" t="s">
        <v>570</v>
      </c>
      <c r="Y94" s="369" t="s">
        <v>1955</v>
      </c>
      <c r="Z94" s="369"/>
      <c r="AA94" s="369"/>
      <c r="AB94" s="369" t="s">
        <v>571</v>
      </c>
      <c r="AC94" s="369" t="s">
        <v>570</v>
      </c>
      <c r="AD94" s="367" t="s">
        <v>569</v>
      </c>
      <c r="AE94" s="373">
        <v>44681</v>
      </c>
      <c r="AF94" s="367" t="s">
        <v>568</v>
      </c>
      <c r="AG94" s="369">
        <v>0</v>
      </c>
      <c r="AH94" s="369">
        <v>240</v>
      </c>
      <c r="AI94" s="517"/>
      <c r="AJ94" s="518" t="s">
        <v>513</v>
      </c>
      <c r="AK94" s="333">
        <f t="shared" si="12"/>
        <v>8</v>
      </c>
      <c r="AL94" s="333">
        <f t="shared" si="13"/>
        <v>2003</v>
      </c>
      <c r="AM94" s="333">
        <f t="shared" si="14"/>
        <v>2010</v>
      </c>
      <c r="AN94" s="334">
        <f t="shared" si="15"/>
        <v>2010.6666666666667</v>
      </c>
      <c r="AO94" s="335">
        <f t="shared" si="16"/>
        <v>2.8571428571428572</v>
      </c>
      <c r="AP94" s="335">
        <f t="shared" si="17"/>
        <v>34.285714285714285</v>
      </c>
      <c r="AQ94" s="332">
        <f t="shared" si="18"/>
        <v>0</v>
      </c>
      <c r="AR94" s="332">
        <f t="shared" si="19"/>
        <v>240</v>
      </c>
      <c r="AS94" s="332">
        <f t="shared" si="20"/>
        <v>240</v>
      </c>
      <c r="AT94" s="332">
        <f t="shared" si="21"/>
        <v>0</v>
      </c>
      <c r="AU94" s="374" t="s">
        <v>59</v>
      </c>
    </row>
    <row r="95" spans="1:47" s="366" customFormat="1" ht="15.75">
      <c r="A95" s="367">
        <v>2112</v>
      </c>
      <c r="B95" s="368">
        <v>281312</v>
      </c>
      <c r="C95" s="367" t="s">
        <v>574</v>
      </c>
      <c r="D95" s="369" t="s">
        <v>1953</v>
      </c>
      <c r="E95" s="367">
        <v>7</v>
      </c>
      <c r="F95" s="369"/>
      <c r="G95" s="369"/>
      <c r="H95" s="369">
        <v>0</v>
      </c>
      <c r="I95" s="369"/>
      <c r="J95" s="369"/>
      <c r="K95" s="369"/>
      <c r="L95" s="370">
        <v>38875</v>
      </c>
      <c r="M95" s="370">
        <v>38875</v>
      </c>
      <c r="N95" s="369"/>
      <c r="O95" s="367">
        <v>700</v>
      </c>
      <c r="P95" s="367">
        <v>14050</v>
      </c>
      <c r="Q95" s="371">
        <v>3484.78</v>
      </c>
      <c r="R95" s="367">
        <v>14056</v>
      </c>
      <c r="S95" s="371">
        <v>3484.78</v>
      </c>
      <c r="T95" s="371">
        <f t="shared" si="22"/>
        <v>0</v>
      </c>
      <c r="U95" s="372">
        <v>0</v>
      </c>
      <c r="V95" s="367">
        <v>54260</v>
      </c>
      <c r="W95" s="371">
        <v>0</v>
      </c>
      <c r="X95" s="369" t="s">
        <v>570</v>
      </c>
      <c r="Y95" s="369" t="s">
        <v>1954</v>
      </c>
      <c r="Z95" s="369"/>
      <c r="AA95" s="369">
        <v>502</v>
      </c>
      <c r="AB95" s="369" t="s">
        <v>571</v>
      </c>
      <c r="AC95" s="369" t="s">
        <v>570</v>
      </c>
      <c r="AD95" s="367" t="s">
        <v>569</v>
      </c>
      <c r="AE95" s="373">
        <v>44681</v>
      </c>
      <c r="AF95" s="367" t="s">
        <v>568</v>
      </c>
      <c r="AG95" s="369">
        <v>0</v>
      </c>
      <c r="AH95" s="369">
        <v>3484.78</v>
      </c>
      <c r="AI95" s="517"/>
      <c r="AJ95" s="518" t="s">
        <v>513</v>
      </c>
      <c r="AK95" s="333">
        <f t="shared" si="12"/>
        <v>6</v>
      </c>
      <c r="AL95" s="333">
        <f t="shared" si="13"/>
        <v>2006</v>
      </c>
      <c r="AM95" s="333">
        <f t="shared" si="14"/>
        <v>2013</v>
      </c>
      <c r="AN95" s="334">
        <f t="shared" si="15"/>
        <v>2013.5</v>
      </c>
      <c r="AO95" s="335">
        <f t="shared" si="16"/>
        <v>41.485476190476192</v>
      </c>
      <c r="AP95" s="335">
        <f t="shared" si="17"/>
        <v>497.8257142857143</v>
      </c>
      <c r="AQ95" s="332">
        <f t="shared" si="18"/>
        <v>0</v>
      </c>
      <c r="AR95" s="332">
        <f t="shared" si="19"/>
        <v>3484.78</v>
      </c>
      <c r="AS95" s="332">
        <f t="shared" si="20"/>
        <v>3484.78</v>
      </c>
      <c r="AT95" s="332">
        <f t="shared" si="21"/>
        <v>0</v>
      </c>
      <c r="AU95" s="374" t="s">
        <v>59</v>
      </c>
    </row>
    <row r="96" spans="1:47" s="366" customFormat="1" ht="15.75">
      <c r="A96" s="367">
        <v>2112</v>
      </c>
      <c r="B96" s="368">
        <v>281311</v>
      </c>
      <c r="C96" s="367" t="s">
        <v>574</v>
      </c>
      <c r="D96" s="369" t="s">
        <v>1214</v>
      </c>
      <c r="E96" s="367">
        <v>32</v>
      </c>
      <c r="F96" s="369"/>
      <c r="G96" s="369"/>
      <c r="H96" s="369">
        <v>0</v>
      </c>
      <c r="I96" s="369"/>
      <c r="J96" s="369"/>
      <c r="K96" s="369"/>
      <c r="L96" s="370">
        <v>38811</v>
      </c>
      <c r="M96" s="370">
        <v>38811</v>
      </c>
      <c r="N96" s="369"/>
      <c r="O96" s="367">
        <v>700</v>
      </c>
      <c r="P96" s="367">
        <v>14050</v>
      </c>
      <c r="Q96" s="371">
        <v>2400.19</v>
      </c>
      <c r="R96" s="367">
        <v>14056</v>
      </c>
      <c r="S96" s="371">
        <v>2400.19</v>
      </c>
      <c r="T96" s="371">
        <f t="shared" si="22"/>
        <v>0</v>
      </c>
      <c r="U96" s="372">
        <v>0</v>
      </c>
      <c r="V96" s="367">
        <v>54260</v>
      </c>
      <c r="W96" s="371">
        <v>0</v>
      </c>
      <c r="X96" s="369" t="s">
        <v>570</v>
      </c>
      <c r="Y96" s="369" t="s">
        <v>1952</v>
      </c>
      <c r="Z96" s="369"/>
      <c r="AA96" s="369"/>
      <c r="AB96" s="369" t="s">
        <v>571</v>
      </c>
      <c r="AC96" s="369" t="s">
        <v>570</v>
      </c>
      <c r="AD96" s="367" t="s">
        <v>569</v>
      </c>
      <c r="AE96" s="373">
        <v>44681</v>
      </c>
      <c r="AF96" s="367" t="s">
        <v>568</v>
      </c>
      <c r="AG96" s="369">
        <v>0</v>
      </c>
      <c r="AH96" s="369">
        <v>2400.19</v>
      </c>
      <c r="AI96" s="517"/>
      <c r="AJ96" s="518" t="s">
        <v>513</v>
      </c>
      <c r="AK96" s="333">
        <f t="shared" si="12"/>
        <v>4</v>
      </c>
      <c r="AL96" s="333">
        <f t="shared" si="13"/>
        <v>2006</v>
      </c>
      <c r="AM96" s="333">
        <f t="shared" si="14"/>
        <v>2013</v>
      </c>
      <c r="AN96" s="334">
        <f t="shared" si="15"/>
        <v>2013.3333333333333</v>
      </c>
      <c r="AO96" s="335">
        <f t="shared" si="16"/>
        <v>28.573690476190478</v>
      </c>
      <c r="AP96" s="335">
        <f t="shared" si="17"/>
        <v>342.88428571428574</v>
      </c>
      <c r="AQ96" s="332">
        <f t="shared" si="18"/>
        <v>0</v>
      </c>
      <c r="AR96" s="332">
        <f t="shared" si="19"/>
        <v>2400.19</v>
      </c>
      <c r="AS96" s="332">
        <f t="shared" si="20"/>
        <v>2400.19</v>
      </c>
      <c r="AT96" s="332">
        <f t="shared" si="21"/>
        <v>0</v>
      </c>
      <c r="AU96" s="374" t="s">
        <v>59</v>
      </c>
    </row>
    <row r="97" spans="1:47" s="366" customFormat="1" ht="15.75">
      <c r="A97" s="367">
        <v>2112</v>
      </c>
      <c r="B97" s="368">
        <v>281305</v>
      </c>
      <c r="C97" s="367" t="s">
        <v>574</v>
      </c>
      <c r="D97" s="369" t="s">
        <v>544</v>
      </c>
      <c r="E97" s="367">
        <v>5</v>
      </c>
      <c r="F97" s="369"/>
      <c r="G97" s="369"/>
      <c r="H97" s="369">
        <v>0</v>
      </c>
      <c r="I97" s="369"/>
      <c r="J97" s="369"/>
      <c r="K97" s="369" t="s">
        <v>782</v>
      </c>
      <c r="L97" s="370">
        <v>37881</v>
      </c>
      <c r="M97" s="370">
        <v>37881</v>
      </c>
      <c r="N97" s="369"/>
      <c r="O97" s="367">
        <v>700</v>
      </c>
      <c r="P97" s="367">
        <v>14050</v>
      </c>
      <c r="Q97" s="371">
        <v>513.16</v>
      </c>
      <c r="R97" s="367">
        <v>14056</v>
      </c>
      <c r="S97" s="371">
        <v>513.16</v>
      </c>
      <c r="T97" s="371">
        <f t="shared" si="22"/>
        <v>0</v>
      </c>
      <c r="U97" s="372">
        <v>0</v>
      </c>
      <c r="V97" s="367">
        <v>54260</v>
      </c>
      <c r="W97" s="371">
        <v>0</v>
      </c>
      <c r="X97" s="369" t="s">
        <v>570</v>
      </c>
      <c r="Y97" s="369" t="s">
        <v>1951</v>
      </c>
      <c r="Z97" s="369"/>
      <c r="AA97" s="369"/>
      <c r="AB97" s="369" t="s">
        <v>571</v>
      </c>
      <c r="AC97" s="369" t="s">
        <v>570</v>
      </c>
      <c r="AD97" s="367" t="s">
        <v>569</v>
      </c>
      <c r="AE97" s="373">
        <v>45077</v>
      </c>
      <c r="AF97" s="367" t="s">
        <v>568</v>
      </c>
      <c r="AG97" s="369">
        <v>1</v>
      </c>
      <c r="AH97" s="369">
        <v>513.16</v>
      </c>
      <c r="AI97" s="517"/>
      <c r="AJ97" s="518" t="s">
        <v>513</v>
      </c>
      <c r="AK97" s="333">
        <f t="shared" si="12"/>
        <v>9</v>
      </c>
      <c r="AL97" s="333">
        <f t="shared" si="13"/>
        <v>2003</v>
      </c>
      <c r="AM97" s="333">
        <f t="shared" si="14"/>
        <v>2010</v>
      </c>
      <c r="AN97" s="334">
        <f t="shared" si="15"/>
        <v>2010.75</v>
      </c>
      <c r="AO97" s="335">
        <f t="shared" si="16"/>
        <v>6.1090476190476188</v>
      </c>
      <c r="AP97" s="335">
        <f t="shared" si="17"/>
        <v>73.308571428571426</v>
      </c>
      <c r="AQ97" s="332">
        <f t="shared" si="18"/>
        <v>0</v>
      </c>
      <c r="AR97" s="332">
        <f t="shared" si="19"/>
        <v>513.16</v>
      </c>
      <c r="AS97" s="332">
        <f t="shared" si="20"/>
        <v>513.16</v>
      </c>
      <c r="AT97" s="332">
        <f t="shared" si="21"/>
        <v>0</v>
      </c>
      <c r="AU97" s="374" t="s">
        <v>59</v>
      </c>
    </row>
    <row r="98" spans="1:47" s="366" customFormat="1" ht="15.75">
      <c r="A98" s="367">
        <v>2112</v>
      </c>
      <c r="B98" s="368">
        <v>281292</v>
      </c>
      <c r="C98" s="367" t="s">
        <v>574</v>
      </c>
      <c r="D98" s="369" t="s">
        <v>1948</v>
      </c>
      <c r="E98" s="367">
        <v>10</v>
      </c>
      <c r="F98" s="369"/>
      <c r="G98" s="369"/>
      <c r="H98" s="369">
        <v>0</v>
      </c>
      <c r="I98" s="369"/>
      <c r="J98" s="369"/>
      <c r="K98" s="369" t="s">
        <v>722</v>
      </c>
      <c r="L98" s="370">
        <v>36647</v>
      </c>
      <c r="M98" s="370">
        <v>36647</v>
      </c>
      <c r="N98" s="369"/>
      <c r="O98" s="367">
        <v>500</v>
      </c>
      <c r="P98" s="367">
        <v>14050</v>
      </c>
      <c r="Q98" s="371">
        <v>3737.2</v>
      </c>
      <c r="R98" s="367">
        <v>14056</v>
      </c>
      <c r="S98" s="371">
        <v>3737.2</v>
      </c>
      <c r="T98" s="371">
        <f t="shared" si="22"/>
        <v>0</v>
      </c>
      <c r="U98" s="372">
        <v>0</v>
      </c>
      <c r="V98" s="367">
        <v>54260</v>
      </c>
      <c r="W98" s="371">
        <v>0</v>
      </c>
      <c r="X98" s="369" t="s">
        <v>1949</v>
      </c>
      <c r="Y98" s="369" t="s">
        <v>1950</v>
      </c>
      <c r="Z98" s="369"/>
      <c r="AA98" s="369"/>
      <c r="AB98" s="369" t="s">
        <v>571</v>
      </c>
      <c r="AC98" s="369" t="s">
        <v>570</v>
      </c>
      <c r="AD98" s="367" t="s">
        <v>569</v>
      </c>
      <c r="AE98" s="373">
        <v>44681</v>
      </c>
      <c r="AF98" s="367" t="s">
        <v>568</v>
      </c>
      <c r="AG98" s="369">
        <v>0</v>
      </c>
      <c r="AH98" s="369">
        <v>3737.2</v>
      </c>
      <c r="AI98" s="517"/>
      <c r="AJ98" s="518" t="s">
        <v>257</v>
      </c>
      <c r="AK98" s="333">
        <f t="shared" si="12"/>
        <v>5</v>
      </c>
      <c r="AL98" s="333">
        <f t="shared" si="13"/>
        <v>2000</v>
      </c>
      <c r="AM98" s="333">
        <f t="shared" si="14"/>
        <v>2005</v>
      </c>
      <c r="AN98" s="334">
        <f t="shared" si="15"/>
        <v>2005.4166666666667</v>
      </c>
      <c r="AO98" s="335">
        <f t="shared" si="16"/>
        <v>62.286666666666662</v>
      </c>
      <c r="AP98" s="335">
        <f t="shared" si="17"/>
        <v>747.43999999999994</v>
      </c>
      <c r="AQ98" s="332">
        <f t="shared" si="18"/>
        <v>0</v>
      </c>
      <c r="AR98" s="332">
        <f t="shared" si="19"/>
        <v>3737.2</v>
      </c>
      <c r="AS98" s="332">
        <f t="shared" si="20"/>
        <v>3737.2</v>
      </c>
      <c r="AT98" s="332">
        <f t="shared" si="21"/>
        <v>0</v>
      </c>
      <c r="AU98" s="374" t="s">
        <v>59</v>
      </c>
    </row>
    <row r="99" spans="1:47" s="366" customFormat="1" ht="15.75">
      <c r="A99" s="367">
        <v>2112</v>
      </c>
      <c r="B99" s="368">
        <v>281075</v>
      </c>
      <c r="C99" s="367" t="s">
        <v>574</v>
      </c>
      <c r="D99" s="369" t="s">
        <v>1945</v>
      </c>
      <c r="E99" s="367">
        <v>22</v>
      </c>
      <c r="F99" s="369">
        <v>0</v>
      </c>
      <c r="G99" s="369"/>
      <c r="H99" s="369">
        <v>0</v>
      </c>
      <c r="I99" s="369" t="s">
        <v>1946</v>
      </c>
      <c r="J99" s="369"/>
      <c r="K99" s="369"/>
      <c r="L99" s="370">
        <v>39083</v>
      </c>
      <c r="M99" s="370">
        <v>39083</v>
      </c>
      <c r="N99" s="369" t="s">
        <v>1947</v>
      </c>
      <c r="O99" s="367">
        <v>1111</v>
      </c>
      <c r="P99" s="367">
        <v>14050</v>
      </c>
      <c r="Q99" s="371">
        <v>11513.87</v>
      </c>
      <c r="R99" s="367">
        <v>14056</v>
      </c>
      <c r="S99" s="371">
        <v>11513.87</v>
      </c>
      <c r="T99" s="371">
        <f t="shared" si="22"/>
        <v>0</v>
      </c>
      <c r="U99" s="372">
        <v>0</v>
      </c>
      <c r="V99" s="367">
        <v>54260</v>
      </c>
      <c r="W99" s="371">
        <v>0</v>
      </c>
      <c r="X99" s="369" t="s">
        <v>574</v>
      </c>
      <c r="Y99" s="369"/>
      <c r="Z99" s="369">
        <v>120706</v>
      </c>
      <c r="AA99" s="369"/>
      <c r="AB99" s="369" t="s">
        <v>571</v>
      </c>
      <c r="AC99" s="369" t="s">
        <v>570</v>
      </c>
      <c r="AD99" s="367" t="s">
        <v>569</v>
      </c>
      <c r="AE99" s="373">
        <v>44681</v>
      </c>
      <c r="AF99" s="367" t="s">
        <v>568</v>
      </c>
      <c r="AG99" s="369">
        <v>0</v>
      </c>
      <c r="AH99" s="369">
        <v>11513.87</v>
      </c>
      <c r="AI99" s="517"/>
      <c r="AJ99" s="518" t="s">
        <v>513</v>
      </c>
      <c r="AK99" s="333">
        <f t="shared" si="12"/>
        <v>1</v>
      </c>
      <c r="AL99" s="333">
        <f t="shared" si="13"/>
        <v>2007</v>
      </c>
      <c r="AM99" s="333">
        <f t="shared" si="14"/>
        <v>2018.11</v>
      </c>
      <c r="AN99" s="334">
        <f t="shared" si="15"/>
        <v>2018.1933333333332</v>
      </c>
      <c r="AO99" s="335">
        <f t="shared" si="16"/>
        <v>86.362661266126622</v>
      </c>
      <c r="AP99" s="335">
        <f t="shared" si="17"/>
        <v>1036.3519351935195</v>
      </c>
      <c r="AQ99" s="332">
        <f t="shared" si="18"/>
        <v>0</v>
      </c>
      <c r="AR99" s="332">
        <f t="shared" si="19"/>
        <v>11513.87</v>
      </c>
      <c r="AS99" s="332">
        <f t="shared" si="20"/>
        <v>11513.87</v>
      </c>
      <c r="AT99" s="332">
        <f t="shared" si="21"/>
        <v>0</v>
      </c>
      <c r="AU99" s="374" t="s">
        <v>59</v>
      </c>
    </row>
    <row r="100" spans="1:47" s="366" customFormat="1" ht="15.75">
      <c r="A100" s="367">
        <v>2112</v>
      </c>
      <c r="B100" s="368">
        <v>280498</v>
      </c>
      <c r="C100" s="367" t="s">
        <v>574</v>
      </c>
      <c r="D100" s="369" t="s">
        <v>782</v>
      </c>
      <c r="E100" s="367">
        <v>3</v>
      </c>
      <c r="F100" s="369"/>
      <c r="G100" s="369"/>
      <c r="H100" s="369">
        <v>0</v>
      </c>
      <c r="I100" s="369"/>
      <c r="J100" s="369" t="s">
        <v>1944</v>
      </c>
      <c r="K100" s="369" t="s">
        <v>782</v>
      </c>
      <c r="L100" s="370">
        <v>44682</v>
      </c>
      <c r="M100" s="370">
        <v>44682</v>
      </c>
      <c r="N100" s="369"/>
      <c r="O100" s="367">
        <v>0</v>
      </c>
      <c r="P100" s="367">
        <v>14050</v>
      </c>
      <c r="Q100" s="371">
        <v>0</v>
      </c>
      <c r="R100" s="367">
        <v>14056</v>
      </c>
      <c r="S100" s="371">
        <v>0</v>
      </c>
      <c r="T100" s="371">
        <f t="shared" si="22"/>
        <v>0</v>
      </c>
      <c r="U100" s="372">
        <v>0</v>
      </c>
      <c r="V100" s="367">
        <v>54260</v>
      </c>
      <c r="W100" s="371">
        <v>0</v>
      </c>
      <c r="X100" s="369" t="s">
        <v>574</v>
      </c>
      <c r="Y100" s="369"/>
      <c r="Z100" s="369"/>
      <c r="AA100" s="369"/>
      <c r="AB100" s="369" t="s">
        <v>571</v>
      </c>
      <c r="AC100" s="369" t="s">
        <v>570</v>
      </c>
      <c r="AD100" s="367" t="s">
        <v>596</v>
      </c>
      <c r="AE100" s="369"/>
      <c r="AF100" s="367" t="s">
        <v>568</v>
      </c>
      <c r="AG100" s="369">
        <v>0</v>
      </c>
      <c r="AH100" s="369">
        <v>0</v>
      </c>
      <c r="AI100" s="517"/>
      <c r="AJ100" s="518" t="s">
        <v>513</v>
      </c>
      <c r="AK100" s="333">
        <f t="shared" si="12"/>
        <v>5</v>
      </c>
      <c r="AL100" s="333">
        <f t="shared" si="13"/>
        <v>2022</v>
      </c>
      <c r="AM100" s="333">
        <f t="shared" si="14"/>
        <v>2022</v>
      </c>
      <c r="AN100" s="334">
        <f t="shared" si="15"/>
        <v>2022.4166666666667</v>
      </c>
      <c r="AO100" s="335">
        <f t="shared" si="16"/>
        <v>0</v>
      </c>
      <c r="AP100" s="335">
        <f t="shared" si="17"/>
        <v>0</v>
      </c>
      <c r="AQ100" s="332">
        <f t="shared" si="18"/>
        <v>0</v>
      </c>
      <c r="AR100" s="332">
        <f t="shared" si="19"/>
        <v>0</v>
      </c>
      <c r="AS100" s="332">
        <f t="shared" si="20"/>
        <v>0</v>
      </c>
      <c r="AT100" s="332">
        <f t="shared" si="21"/>
        <v>0</v>
      </c>
      <c r="AU100" s="374" t="s">
        <v>59</v>
      </c>
    </row>
    <row r="101" spans="1:47" s="366" customFormat="1" ht="15.75">
      <c r="A101" s="367">
        <v>2112</v>
      </c>
      <c r="B101" s="368">
        <v>279853</v>
      </c>
      <c r="C101" s="367" t="s">
        <v>574</v>
      </c>
      <c r="D101" s="369" t="s">
        <v>1627</v>
      </c>
      <c r="E101" s="367">
        <v>163</v>
      </c>
      <c r="F101" s="369"/>
      <c r="G101" s="369"/>
      <c r="H101" s="369">
        <v>0</v>
      </c>
      <c r="I101" s="369"/>
      <c r="J101" s="369"/>
      <c r="K101" s="369" t="s">
        <v>782</v>
      </c>
      <c r="L101" s="370">
        <v>39755</v>
      </c>
      <c r="M101" s="370">
        <v>39755</v>
      </c>
      <c r="N101" s="369"/>
      <c r="O101" s="367">
        <v>700</v>
      </c>
      <c r="P101" s="367">
        <v>14050</v>
      </c>
      <c r="Q101" s="371">
        <v>480</v>
      </c>
      <c r="R101" s="367">
        <v>14056</v>
      </c>
      <c r="S101" s="371">
        <v>480</v>
      </c>
      <c r="T101" s="371">
        <f t="shared" si="22"/>
        <v>0</v>
      </c>
      <c r="U101" s="372">
        <v>0</v>
      </c>
      <c r="V101" s="367">
        <v>54260</v>
      </c>
      <c r="W101" s="371">
        <v>0</v>
      </c>
      <c r="X101" s="369" t="s">
        <v>570</v>
      </c>
      <c r="Y101" s="369" t="s">
        <v>748</v>
      </c>
      <c r="Z101" s="369"/>
      <c r="AA101" s="369"/>
      <c r="AB101" s="369" t="s">
        <v>571</v>
      </c>
      <c r="AC101" s="369" t="s">
        <v>570</v>
      </c>
      <c r="AD101" s="367" t="s">
        <v>569</v>
      </c>
      <c r="AE101" s="373">
        <v>44681</v>
      </c>
      <c r="AF101" s="367" t="s">
        <v>568</v>
      </c>
      <c r="AG101" s="369">
        <v>0</v>
      </c>
      <c r="AH101" s="369">
        <v>480</v>
      </c>
      <c r="AI101" s="517"/>
      <c r="AJ101" s="518" t="s">
        <v>513</v>
      </c>
      <c r="AK101" s="333">
        <f t="shared" si="12"/>
        <v>11</v>
      </c>
      <c r="AL101" s="333">
        <f t="shared" si="13"/>
        <v>2008</v>
      </c>
      <c r="AM101" s="333">
        <f t="shared" si="14"/>
        <v>2015</v>
      </c>
      <c r="AN101" s="334">
        <f t="shared" si="15"/>
        <v>2015.9166666666667</v>
      </c>
      <c r="AO101" s="335">
        <f t="shared" si="16"/>
        <v>5.7142857142857144</v>
      </c>
      <c r="AP101" s="335">
        <f t="shared" si="17"/>
        <v>68.571428571428569</v>
      </c>
      <c r="AQ101" s="332">
        <f t="shared" si="18"/>
        <v>0</v>
      </c>
      <c r="AR101" s="332">
        <f t="shared" si="19"/>
        <v>480</v>
      </c>
      <c r="AS101" s="332">
        <f t="shared" si="20"/>
        <v>480</v>
      </c>
      <c r="AT101" s="332">
        <f t="shared" si="21"/>
        <v>0</v>
      </c>
      <c r="AU101" s="374" t="s">
        <v>59</v>
      </c>
    </row>
    <row r="102" spans="1:47" s="366" customFormat="1" ht="15.75">
      <c r="A102" s="367">
        <v>2112</v>
      </c>
      <c r="B102" s="368">
        <v>279807</v>
      </c>
      <c r="C102" s="367" t="s">
        <v>574</v>
      </c>
      <c r="D102" s="369" t="s">
        <v>539</v>
      </c>
      <c r="E102" s="367">
        <v>2</v>
      </c>
      <c r="F102" s="369"/>
      <c r="G102" s="369"/>
      <c r="H102" s="369">
        <v>0</v>
      </c>
      <c r="I102" s="369"/>
      <c r="J102" s="369"/>
      <c r="K102" s="369" t="s">
        <v>671</v>
      </c>
      <c r="L102" s="370">
        <v>37196</v>
      </c>
      <c r="M102" s="370">
        <v>37196</v>
      </c>
      <c r="N102" s="369"/>
      <c r="O102" s="367">
        <v>600</v>
      </c>
      <c r="P102" s="367">
        <v>14050</v>
      </c>
      <c r="Q102" s="371">
        <v>48.02</v>
      </c>
      <c r="R102" s="367">
        <v>14056</v>
      </c>
      <c r="S102" s="371">
        <v>48.02</v>
      </c>
      <c r="T102" s="371">
        <f t="shared" si="22"/>
        <v>0</v>
      </c>
      <c r="U102" s="372">
        <v>0</v>
      </c>
      <c r="V102" s="367">
        <v>54260</v>
      </c>
      <c r="W102" s="371">
        <v>0</v>
      </c>
      <c r="X102" s="369" t="s">
        <v>570</v>
      </c>
      <c r="Y102" s="369" t="s">
        <v>1943</v>
      </c>
      <c r="Z102" s="369"/>
      <c r="AA102" s="369"/>
      <c r="AB102" s="369" t="s">
        <v>571</v>
      </c>
      <c r="AC102" s="369" t="s">
        <v>570</v>
      </c>
      <c r="AD102" s="367" t="s">
        <v>569</v>
      </c>
      <c r="AE102" s="373">
        <v>44681</v>
      </c>
      <c r="AF102" s="367" t="s">
        <v>568</v>
      </c>
      <c r="AG102" s="369">
        <v>0</v>
      </c>
      <c r="AH102" s="369">
        <v>48.02</v>
      </c>
      <c r="AI102" s="517"/>
      <c r="AJ102" s="518" t="s">
        <v>513</v>
      </c>
      <c r="AK102" s="333">
        <f t="shared" si="12"/>
        <v>11</v>
      </c>
      <c r="AL102" s="333">
        <f t="shared" si="13"/>
        <v>2001</v>
      </c>
      <c r="AM102" s="333">
        <f t="shared" si="14"/>
        <v>2007</v>
      </c>
      <c r="AN102" s="334">
        <f t="shared" si="15"/>
        <v>2007.9166666666667</v>
      </c>
      <c r="AO102" s="335">
        <f t="shared" si="16"/>
        <v>0.66694444444444445</v>
      </c>
      <c r="AP102" s="335">
        <f t="shared" si="17"/>
        <v>8.0033333333333339</v>
      </c>
      <c r="AQ102" s="332">
        <f t="shared" si="18"/>
        <v>0</v>
      </c>
      <c r="AR102" s="332">
        <f t="shared" si="19"/>
        <v>48.02</v>
      </c>
      <c r="AS102" s="332">
        <f t="shared" si="20"/>
        <v>48.02</v>
      </c>
      <c r="AT102" s="332">
        <f t="shared" si="21"/>
        <v>0</v>
      </c>
      <c r="AU102" s="374" t="s">
        <v>59</v>
      </c>
    </row>
    <row r="103" spans="1:47" s="366" customFormat="1" ht="15.75">
      <c r="A103" s="367">
        <v>2112</v>
      </c>
      <c r="B103" s="368">
        <v>279796</v>
      </c>
      <c r="C103" s="367" t="s">
        <v>574</v>
      </c>
      <c r="D103" s="369" t="s">
        <v>1942</v>
      </c>
      <c r="E103" s="367">
        <v>5</v>
      </c>
      <c r="F103" s="369"/>
      <c r="G103" s="369"/>
      <c r="H103" s="369">
        <v>0</v>
      </c>
      <c r="I103" s="369"/>
      <c r="J103" s="369"/>
      <c r="K103" s="369" t="s">
        <v>671</v>
      </c>
      <c r="L103" s="370">
        <v>32738</v>
      </c>
      <c r="M103" s="370">
        <v>32738</v>
      </c>
      <c r="N103" s="369"/>
      <c r="O103" s="367">
        <v>1200</v>
      </c>
      <c r="P103" s="367">
        <v>14050</v>
      </c>
      <c r="Q103" s="371">
        <v>1514.92</v>
      </c>
      <c r="R103" s="367">
        <v>14056</v>
      </c>
      <c r="S103" s="371">
        <v>1514.92</v>
      </c>
      <c r="T103" s="371">
        <f t="shared" si="22"/>
        <v>0</v>
      </c>
      <c r="U103" s="372">
        <v>0</v>
      </c>
      <c r="V103" s="367">
        <v>54260</v>
      </c>
      <c r="W103" s="371">
        <v>0</v>
      </c>
      <c r="X103" s="369" t="s">
        <v>570</v>
      </c>
      <c r="Y103" s="369" t="s">
        <v>1941</v>
      </c>
      <c r="Z103" s="369"/>
      <c r="AA103" s="369"/>
      <c r="AB103" s="369" t="s">
        <v>571</v>
      </c>
      <c r="AC103" s="369" t="s">
        <v>570</v>
      </c>
      <c r="AD103" s="367" t="s">
        <v>569</v>
      </c>
      <c r="AE103" s="373">
        <v>44681</v>
      </c>
      <c r="AF103" s="367" t="s">
        <v>568</v>
      </c>
      <c r="AG103" s="369">
        <v>0</v>
      </c>
      <c r="AH103" s="369">
        <v>1514.92</v>
      </c>
      <c r="AI103" s="517"/>
      <c r="AJ103" s="518" t="s">
        <v>513</v>
      </c>
      <c r="AK103" s="333">
        <f t="shared" si="12"/>
        <v>8</v>
      </c>
      <c r="AL103" s="333">
        <f t="shared" si="13"/>
        <v>1989</v>
      </c>
      <c r="AM103" s="333">
        <f t="shared" si="14"/>
        <v>2001</v>
      </c>
      <c r="AN103" s="334">
        <f t="shared" si="15"/>
        <v>2001.6666666666667</v>
      </c>
      <c r="AO103" s="335">
        <f t="shared" si="16"/>
        <v>10.520277777777778</v>
      </c>
      <c r="AP103" s="335">
        <f t="shared" si="17"/>
        <v>126.24333333333334</v>
      </c>
      <c r="AQ103" s="332">
        <f t="shared" si="18"/>
        <v>0</v>
      </c>
      <c r="AR103" s="332">
        <f t="shared" si="19"/>
        <v>1514.92</v>
      </c>
      <c r="AS103" s="332">
        <f t="shared" si="20"/>
        <v>1514.92</v>
      </c>
      <c r="AT103" s="332">
        <f t="shared" si="21"/>
        <v>0</v>
      </c>
      <c r="AU103" s="374" t="s">
        <v>59</v>
      </c>
    </row>
    <row r="104" spans="1:47" s="366" customFormat="1" ht="15.75">
      <c r="A104" s="367">
        <v>2112</v>
      </c>
      <c r="B104" s="368">
        <v>279328</v>
      </c>
      <c r="C104" s="367" t="s">
        <v>574</v>
      </c>
      <c r="D104" s="369" t="s">
        <v>1940</v>
      </c>
      <c r="E104" s="367">
        <v>20</v>
      </c>
      <c r="F104" s="369"/>
      <c r="G104" s="369"/>
      <c r="H104" s="369">
        <v>0</v>
      </c>
      <c r="I104" s="369"/>
      <c r="J104" s="369"/>
      <c r="K104" s="369" t="s">
        <v>671</v>
      </c>
      <c r="L104" s="370">
        <v>31937</v>
      </c>
      <c r="M104" s="370">
        <v>31937</v>
      </c>
      <c r="N104" s="369"/>
      <c r="O104" s="367">
        <v>1200</v>
      </c>
      <c r="P104" s="367">
        <v>14050</v>
      </c>
      <c r="Q104" s="371">
        <v>5518.62</v>
      </c>
      <c r="R104" s="367">
        <v>14056</v>
      </c>
      <c r="S104" s="371">
        <v>5518.62</v>
      </c>
      <c r="T104" s="371">
        <f t="shared" si="22"/>
        <v>0</v>
      </c>
      <c r="U104" s="372">
        <v>0</v>
      </c>
      <c r="V104" s="367">
        <v>54260</v>
      </c>
      <c r="W104" s="371">
        <v>0</v>
      </c>
      <c r="X104" s="369" t="s">
        <v>570</v>
      </c>
      <c r="Y104" s="369" t="s">
        <v>1941</v>
      </c>
      <c r="Z104" s="369"/>
      <c r="AA104" s="369"/>
      <c r="AB104" s="369" t="s">
        <v>571</v>
      </c>
      <c r="AC104" s="369" t="s">
        <v>570</v>
      </c>
      <c r="AD104" s="367" t="s">
        <v>569</v>
      </c>
      <c r="AE104" s="373">
        <v>44681</v>
      </c>
      <c r="AF104" s="367" t="s">
        <v>568</v>
      </c>
      <c r="AG104" s="369">
        <v>0</v>
      </c>
      <c r="AH104" s="369">
        <v>5518.62</v>
      </c>
      <c r="AI104" s="517"/>
      <c r="AJ104" s="518" t="s">
        <v>513</v>
      </c>
      <c r="AK104" s="333">
        <f t="shared" si="12"/>
        <v>6</v>
      </c>
      <c r="AL104" s="333">
        <f t="shared" si="13"/>
        <v>1987</v>
      </c>
      <c r="AM104" s="333">
        <f t="shared" si="14"/>
        <v>1999</v>
      </c>
      <c r="AN104" s="334">
        <f t="shared" si="15"/>
        <v>1999.5</v>
      </c>
      <c r="AO104" s="335">
        <f t="shared" si="16"/>
        <v>38.323749999999997</v>
      </c>
      <c r="AP104" s="335">
        <f t="shared" si="17"/>
        <v>459.88499999999999</v>
      </c>
      <c r="AQ104" s="332">
        <f t="shared" si="18"/>
        <v>0</v>
      </c>
      <c r="AR104" s="332">
        <f t="shared" si="19"/>
        <v>5518.62</v>
      </c>
      <c r="AS104" s="332">
        <f t="shared" si="20"/>
        <v>5518.62</v>
      </c>
      <c r="AT104" s="332">
        <f t="shared" si="21"/>
        <v>0</v>
      </c>
      <c r="AU104" s="374" t="s">
        <v>59</v>
      </c>
    </row>
    <row r="105" spans="1:47" s="366" customFormat="1" ht="15.75">
      <c r="A105" s="367">
        <v>2112</v>
      </c>
      <c r="B105" s="368">
        <v>279327</v>
      </c>
      <c r="C105" s="367" t="s">
        <v>574</v>
      </c>
      <c r="D105" s="369" t="s">
        <v>1940</v>
      </c>
      <c r="E105" s="367">
        <v>6</v>
      </c>
      <c r="F105" s="369"/>
      <c r="G105" s="369"/>
      <c r="H105" s="369">
        <v>0</v>
      </c>
      <c r="I105" s="369"/>
      <c r="J105" s="369"/>
      <c r="K105" s="369" t="s">
        <v>671</v>
      </c>
      <c r="L105" s="370">
        <v>30901</v>
      </c>
      <c r="M105" s="370">
        <v>30901</v>
      </c>
      <c r="N105" s="369"/>
      <c r="O105" s="367">
        <v>1200</v>
      </c>
      <c r="P105" s="367">
        <v>14050</v>
      </c>
      <c r="Q105" s="375">
        <v>1694.64</v>
      </c>
      <c r="R105" s="367">
        <v>14056</v>
      </c>
      <c r="S105" s="375">
        <v>1694.64</v>
      </c>
      <c r="T105" s="375">
        <f t="shared" si="22"/>
        <v>0</v>
      </c>
      <c r="U105" s="376">
        <v>0</v>
      </c>
      <c r="V105" s="367">
        <v>54260</v>
      </c>
      <c r="W105" s="375">
        <v>0</v>
      </c>
      <c r="X105" s="369" t="s">
        <v>570</v>
      </c>
      <c r="Y105" s="369" t="s">
        <v>1941</v>
      </c>
      <c r="Z105" s="369"/>
      <c r="AA105" s="369"/>
      <c r="AB105" s="369" t="s">
        <v>571</v>
      </c>
      <c r="AC105" s="369" t="s">
        <v>570</v>
      </c>
      <c r="AD105" s="367" t="s">
        <v>569</v>
      </c>
      <c r="AE105" s="373">
        <v>45077</v>
      </c>
      <c r="AF105" s="367" t="s">
        <v>568</v>
      </c>
      <c r="AG105" s="369">
        <v>1</v>
      </c>
      <c r="AH105" s="369">
        <v>1694.64</v>
      </c>
      <c r="AI105" s="517"/>
      <c r="AJ105" s="518" t="s">
        <v>513</v>
      </c>
      <c r="AK105" s="333">
        <f t="shared" si="12"/>
        <v>8</v>
      </c>
      <c r="AL105" s="333">
        <f t="shared" si="13"/>
        <v>1984</v>
      </c>
      <c r="AM105" s="333">
        <f t="shared" si="14"/>
        <v>1996</v>
      </c>
      <c r="AN105" s="334">
        <f t="shared" si="15"/>
        <v>1996.6666666666667</v>
      </c>
      <c r="AO105" s="335">
        <f t="shared" si="16"/>
        <v>11.768333333333333</v>
      </c>
      <c r="AP105" s="335">
        <f t="shared" si="17"/>
        <v>141.22</v>
      </c>
      <c r="AQ105" s="332">
        <f t="shared" si="18"/>
        <v>0</v>
      </c>
      <c r="AR105" s="332">
        <f t="shared" si="19"/>
        <v>1694.64</v>
      </c>
      <c r="AS105" s="332">
        <f t="shared" si="20"/>
        <v>1694.64</v>
      </c>
      <c r="AT105" s="332">
        <f t="shared" si="21"/>
        <v>0</v>
      </c>
      <c r="AU105" s="374" t="s">
        <v>59</v>
      </c>
    </row>
    <row r="106" spans="1:47" s="366" customFormat="1" ht="15.75">
      <c r="A106" s="367">
        <v>2112</v>
      </c>
      <c r="B106" s="368">
        <v>278442</v>
      </c>
      <c r="C106" s="367">
        <v>277982</v>
      </c>
      <c r="D106" s="369" t="s">
        <v>1933</v>
      </c>
      <c r="E106" s="367">
        <v>0</v>
      </c>
      <c r="F106" s="369"/>
      <c r="G106" s="369" t="s">
        <v>1394</v>
      </c>
      <c r="H106" s="369">
        <v>0</v>
      </c>
      <c r="I106" s="369" t="s">
        <v>1934</v>
      </c>
      <c r="J106" s="369"/>
      <c r="K106" s="369" t="s">
        <v>1564</v>
      </c>
      <c r="L106" s="370">
        <v>44669</v>
      </c>
      <c r="M106" s="370">
        <v>44669</v>
      </c>
      <c r="N106" s="369" t="s">
        <v>1931</v>
      </c>
      <c r="O106" s="367">
        <v>500</v>
      </c>
      <c r="P106" s="367">
        <v>14050</v>
      </c>
      <c r="Q106" s="371">
        <v>617.76</v>
      </c>
      <c r="R106" s="367">
        <v>14056</v>
      </c>
      <c r="S106" s="371">
        <v>154.44</v>
      </c>
      <c r="T106" s="371">
        <f t="shared" si="22"/>
        <v>463.32</v>
      </c>
      <c r="U106" s="372">
        <v>72.069999999999993</v>
      </c>
      <c r="V106" s="367">
        <v>54260</v>
      </c>
      <c r="W106" s="371">
        <v>10.29</v>
      </c>
      <c r="X106" s="369" t="s">
        <v>574</v>
      </c>
      <c r="Y106" s="369"/>
      <c r="Z106" s="369" t="s">
        <v>1935</v>
      </c>
      <c r="AA106" s="369"/>
      <c r="AB106" s="369" t="s">
        <v>571</v>
      </c>
      <c r="AC106" s="369" t="s">
        <v>570</v>
      </c>
      <c r="AD106" s="367" t="s">
        <v>569</v>
      </c>
      <c r="AE106" s="369"/>
      <c r="AF106" s="367" t="s">
        <v>568</v>
      </c>
      <c r="AG106" s="369">
        <v>0</v>
      </c>
      <c r="AH106" s="369">
        <v>0</v>
      </c>
      <c r="AI106" s="517"/>
      <c r="AJ106" s="518" t="s">
        <v>1894</v>
      </c>
      <c r="AK106" s="333">
        <f t="shared" si="12"/>
        <v>4</v>
      </c>
      <c r="AL106" s="333">
        <f t="shared" si="13"/>
        <v>2022</v>
      </c>
      <c r="AM106" s="333">
        <f t="shared" si="14"/>
        <v>2027</v>
      </c>
      <c r="AN106" s="334">
        <f t="shared" si="15"/>
        <v>2027.3333333333333</v>
      </c>
      <c r="AO106" s="335">
        <f t="shared" si="16"/>
        <v>10.295999999999999</v>
      </c>
      <c r="AP106" s="335">
        <f t="shared" si="17"/>
        <v>123.55199999999999</v>
      </c>
      <c r="AQ106" s="332">
        <f t="shared" si="18"/>
        <v>123.55199999999999</v>
      </c>
      <c r="AR106" s="332">
        <f t="shared" si="19"/>
        <v>41.184000000018727</v>
      </c>
      <c r="AS106" s="332">
        <f t="shared" si="20"/>
        <v>164.73600000001872</v>
      </c>
      <c r="AT106" s="332">
        <f t="shared" si="21"/>
        <v>453.02399999998124</v>
      </c>
      <c r="AU106" s="374" t="s">
        <v>59</v>
      </c>
    </row>
    <row r="107" spans="1:47" s="366" customFormat="1" ht="15.75">
      <c r="A107" s="367">
        <v>2112</v>
      </c>
      <c r="B107" s="368">
        <v>277992</v>
      </c>
      <c r="C107" s="367" t="s">
        <v>574</v>
      </c>
      <c r="D107" s="369" t="s">
        <v>1938</v>
      </c>
      <c r="E107" s="367">
        <v>351</v>
      </c>
      <c r="F107" s="369"/>
      <c r="G107" s="369"/>
      <c r="H107" s="369">
        <v>0</v>
      </c>
      <c r="I107" s="369" t="s">
        <v>1335</v>
      </c>
      <c r="J107" s="369"/>
      <c r="K107" s="369" t="s">
        <v>1564</v>
      </c>
      <c r="L107" s="370">
        <v>44661</v>
      </c>
      <c r="M107" s="370">
        <v>44661</v>
      </c>
      <c r="N107" s="369" t="s">
        <v>1939</v>
      </c>
      <c r="O107" s="367">
        <v>700</v>
      </c>
      <c r="P107" s="367">
        <v>14050</v>
      </c>
      <c r="Q107" s="371">
        <v>23883.279999999999</v>
      </c>
      <c r="R107" s="367">
        <v>14056</v>
      </c>
      <c r="S107" s="371">
        <v>4549.2</v>
      </c>
      <c r="T107" s="371">
        <f t="shared" si="22"/>
        <v>19334.079999999998</v>
      </c>
      <c r="U107" s="372">
        <v>1990.28</v>
      </c>
      <c r="V107" s="367">
        <v>54260</v>
      </c>
      <c r="W107" s="371">
        <v>284.33</v>
      </c>
      <c r="X107" s="369" t="s">
        <v>574</v>
      </c>
      <c r="Y107" s="369"/>
      <c r="Z107" s="369">
        <v>50221694</v>
      </c>
      <c r="AA107" s="369"/>
      <c r="AB107" s="369" t="s">
        <v>571</v>
      </c>
      <c r="AC107" s="369" t="s">
        <v>570</v>
      </c>
      <c r="AD107" s="367" t="s">
        <v>569</v>
      </c>
      <c r="AE107" s="369"/>
      <c r="AF107" s="367" t="s">
        <v>568</v>
      </c>
      <c r="AG107" s="369">
        <v>0</v>
      </c>
      <c r="AH107" s="369">
        <v>0</v>
      </c>
      <c r="AI107" s="517"/>
      <c r="AJ107" s="518" t="s">
        <v>255</v>
      </c>
      <c r="AK107" s="333">
        <f t="shared" si="12"/>
        <v>4</v>
      </c>
      <c r="AL107" s="333">
        <f t="shared" si="13"/>
        <v>2022</v>
      </c>
      <c r="AM107" s="333">
        <f t="shared" si="14"/>
        <v>2029</v>
      </c>
      <c r="AN107" s="334">
        <f t="shared" si="15"/>
        <v>2029.3333333333333</v>
      </c>
      <c r="AO107" s="335">
        <f t="shared" si="16"/>
        <v>284.32476190476189</v>
      </c>
      <c r="AP107" s="335">
        <f t="shared" si="17"/>
        <v>3411.8971428571426</v>
      </c>
      <c r="AQ107" s="332">
        <f t="shared" si="18"/>
        <v>3411.8971428571426</v>
      </c>
      <c r="AR107" s="332">
        <f t="shared" si="19"/>
        <v>1137.2990476195664</v>
      </c>
      <c r="AS107" s="332">
        <f t="shared" si="20"/>
        <v>4549.1961904767086</v>
      </c>
      <c r="AT107" s="332">
        <f t="shared" si="21"/>
        <v>19334.08380952329</v>
      </c>
      <c r="AU107" s="374" t="s">
        <v>59</v>
      </c>
    </row>
    <row r="108" spans="1:47" s="366" customFormat="1" ht="15.75">
      <c r="A108" s="367">
        <v>2112</v>
      </c>
      <c r="B108" s="368">
        <v>277986</v>
      </c>
      <c r="C108" s="367" t="s">
        <v>574</v>
      </c>
      <c r="D108" s="369" t="s">
        <v>1936</v>
      </c>
      <c r="E108" s="367">
        <v>324</v>
      </c>
      <c r="F108" s="369"/>
      <c r="G108" s="369"/>
      <c r="H108" s="369">
        <v>0</v>
      </c>
      <c r="I108" s="369" t="s">
        <v>1335</v>
      </c>
      <c r="J108" s="369"/>
      <c r="K108" s="369" t="s">
        <v>1564</v>
      </c>
      <c r="L108" s="370">
        <v>44668</v>
      </c>
      <c r="M108" s="370">
        <v>44668</v>
      </c>
      <c r="N108" s="369" t="s">
        <v>1937</v>
      </c>
      <c r="O108" s="367">
        <v>700</v>
      </c>
      <c r="P108" s="367">
        <v>14050</v>
      </c>
      <c r="Q108" s="371">
        <v>19941.599999999999</v>
      </c>
      <c r="R108" s="367">
        <v>14056</v>
      </c>
      <c r="S108" s="371">
        <v>3561</v>
      </c>
      <c r="T108" s="371">
        <f t="shared" si="22"/>
        <v>16380.599999999999</v>
      </c>
      <c r="U108" s="372">
        <v>1661.8</v>
      </c>
      <c r="V108" s="367">
        <v>54260</v>
      </c>
      <c r="W108" s="371">
        <v>237.4</v>
      </c>
      <c r="X108" s="369" t="s">
        <v>574</v>
      </c>
      <c r="Y108" s="369"/>
      <c r="Z108" s="369">
        <v>50223042</v>
      </c>
      <c r="AA108" s="369"/>
      <c r="AB108" s="369" t="s">
        <v>571</v>
      </c>
      <c r="AC108" s="369" t="s">
        <v>570</v>
      </c>
      <c r="AD108" s="367" t="s">
        <v>569</v>
      </c>
      <c r="AE108" s="369"/>
      <c r="AF108" s="367" t="s">
        <v>568</v>
      </c>
      <c r="AG108" s="369">
        <v>0</v>
      </c>
      <c r="AH108" s="369">
        <v>0</v>
      </c>
      <c r="AI108" s="517"/>
      <c r="AJ108" s="518" t="s">
        <v>255</v>
      </c>
      <c r="AK108" s="333">
        <f t="shared" si="12"/>
        <v>4</v>
      </c>
      <c r="AL108" s="333">
        <f t="shared" si="13"/>
        <v>2022</v>
      </c>
      <c r="AM108" s="333">
        <f t="shared" si="14"/>
        <v>2029</v>
      </c>
      <c r="AN108" s="334">
        <f t="shared" si="15"/>
        <v>2029.3333333333333</v>
      </c>
      <c r="AO108" s="335">
        <f t="shared" si="16"/>
        <v>237.39999999999998</v>
      </c>
      <c r="AP108" s="335">
        <f t="shared" si="17"/>
        <v>2848.7999999999997</v>
      </c>
      <c r="AQ108" s="332">
        <f t="shared" si="18"/>
        <v>2848.7999999999997</v>
      </c>
      <c r="AR108" s="332">
        <f t="shared" si="19"/>
        <v>949.60000000043146</v>
      </c>
      <c r="AS108" s="332">
        <f t="shared" si="20"/>
        <v>3798.4000000004312</v>
      </c>
      <c r="AT108" s="332">
        <f t="shared" si="21"/>
        <v>16143.199999999568</v>
      </c>
      <c r="AU108" s="374" t="s">
        <v>59</v>
      </c>
    </row>
    <row r="109" spans="1:47" s="366" customFormat="1" ht="15.75">
      <c r="A109" s="367">
        <v>2112</v>
      </c>
      <c r="B109" s="368">
        <v>277983</v>
      </c>
      <c r="C109" s="367">
        <v>277982</v>
      </c>
      <c r="D109" s="369" t="s">
        <v>1932</v>
      </c>
      <c r="E109" s="367">
        <v>0</v>
      </c>
      <c r="F109" s="369"/>
      <c r="G109" s="369"/>
      <c r="H109" s="369">
        <v>0</v>
      </c>
      <c r="I109" s="369" t="s">
        <v>886</v>
      </c>
      <c r="J109" s="369"/>
      <c r="K109" s="369" t="s">
        <v>1564</v>
      </c>
      <c r="L109" s="370">
        <v>44669</v>
      </c>
      <c r="M109" s="370">
        <v>44669</v>
      </c>
      <c r="N109" s="369" t="s">
        <v>1931</v>
      </c>
      <c r="O109" s="367">
        <v>500</v>
      </c>
      <c r="P109" s="367">
        <v>14050</v>
      </c>
      <c r="Q109" s="371">
        <v>-617.76</v>
      </c>
      <c r="R109" s="367">
        <v>14056</v>
      </c>
      <c r="S109" s="371">
        <v>-154.44</v>
      </c>
      <c r="T109" s="371">
        <f t="shared" si="22"/>
        <v>-463.32</v>
      </c>
      <c r="U109" s="372">
        <v>-72.069999999999993</v>
      </c>
      <c r="V109" s="367">
        <v>54260</v>
      </c>
      <c r="W109" s="371">
        <v>-10.29</v>
      </c>
      <c r="X109" s="369" t="s">
        <v>574</v>
      </c>
      <c r="Y109" s="369"/>
      <c r="Z109" s="369">
        <v>33457</v>
      </c>
      <c r="AA109" s="369"/>
      <c r="AB109" s="369" t="s">
        <v>571</v>
      </c>
      <c r="AC109" s="369" t="s">
        <v>570</v>
      </c>
      <c r="AD109" s="367" t="s">
        <v>569</v>
      </c>
      <c r="AE109" s="369"/>
      <c r="AF109" s="367" t="s">
        <v>568</v>
      </c>
      <c r="AG109" s="369">
        <v>0</v>
      </c>
      <c r="AH109" s="369">
        <v>0</v>
      </c>
      <c r="AI109" s="517"/>
      <c r="AJ109" s="518" t="s">
        <v>1894</v>
      </c>
      <c r="AK109" s="333">
        <f t="shared" si="12"/>
        <v>4</v>
      </c>
      <c r="AL109" s="333">
        <f t="shared" si="13"/>
        <v>2022</v>
      </c>
      <c r="AM109" s="333">
        <f t="shared" si="14"/>
        <v>2027</v>
      </c>
      <c r="AN109" s="334">
        <f t="shared" si="15"/>
        <v>2027.3333333333333</v>
      </c>
      <c r="AO109" s="335">
        <f t="shared" si="16"/>
        <v>-10.295999999999999</v>
      </c>
      <c r="AP109" s="335">
        <f t="shared" si="17"/>
        <v>-123.55199999999999</v>
      </c>
      <c r="AQ109" s="332">
        <f t="shared" si="18"/>
        <v>-123.55199999999999</v>
      </c>
      <c r="AR109" s="332">
        <f t="shared" si="19"/>
        <v>-41.184000000018727</v>
      </c>
      <c r="AS109" s="332">
        <f t="shared" si="20"/>
        <v>-164.73600000001872</v>
      </c>
      <c r="AT109" s="332">
        <f t="shared" si="21"/>
        <v>-453.02399999998124</v>
      </c>
      <c r="AU109" s="374" t="s">
        <v>59</v>
      </c>
    </row>
    <row r="110" spans="1:47" s="366" customFormat="1" ht="15.75">
      <c r="A110" s="367">
        <v>2112</v>
      </c>
      <c r="B110" s="368">
        <v>277982</v>
      </c>
      <c r="C110" s="367" t="s">
        <v>574</v>
      </c>
      <c r="D110" s="369" t="s">
        <v>1930</v>
      </c>
      <c r="E110" s="367">
        <v>720</v>
      </c>
      <c r="F110" s="369"/>
      <c r="G110" s="369"/>
      <c r="H110" s="369">
        <v>0</v>
      </c>
      <c r="I110" s="369" t="s">
        <v>886</v>
      </c>
      <c r="J110" s="369"/>
      <c r="K110" s="369" t="s">
        <v>1564</v>
      </c>
      <c r="L110" s="370">
        <v>44669</v>
      </c>
      <c r="M110" s="370">
        <v>44669</v>
      </c>
      <c r="N110" s="369" t="s">
        <v>1931</v>
      </c>
      <c r="O110" s="367">
        <v>500</v>
      </c>
      <c r="P110" s="367">
        <v>14050</v>
      </c>
      <c r="Q110" s="371">
        <v>7637.76</v>
      </c>
      <c r="R110" s="367">
        <v>14056</v>
      </c>
      <c r="S110" s="371">
        <v>1909.44</v>
      </c>
      <c r="T110" s="371">
        <f t="shared" si="22"/>
        <v>5728.32</v>
      </c>
      <c r="U110" s="372">
        <v>891.07</v>
      </c>
      <c r="V110" s="367">
        <v>54260</v>
      </c>
      <c r="W110" s="371">
        <v>127.29</v>
      </c>
      <c r="X110" s="369" t="s">
        <v>574</v>
      </c>
      <c r="Y110" s="369"/>
      <c r="Z110" s="369">
        <v>33457</v>
      </c>
      <c r="AA110" s="369"/>
      <c r="AB110" s="369" t="s">
        <v>571</v>
      </c>
      <c r="AC110" s="369" t="s">
        <v>570</v>
      </c>
      <c r="AD110" s="367" t="s">
        <v>569</v>
      </c>
      <c r="AE110" s="369"/>
      <c r="AF110" s="367" t="s">
        <v>568</v>
      </c>
      <c r="AG110" s="369">
        <v>0</v>
      </c>
      <c r="AH110" s="369">
        <v>0</v>
      </c>
      <c r="AI110" s="517"/>
      <c r="AJ110" s="519" t="s">
        <v>1894</v>
      </c>
      <c r="AK110" s="333">
        <f t="shared" si="12"/>
        <v>4</v>
      </c>
      <c r="AL110" s="333">
        <f t="shared" si="13"/>
        <v>2022</v>
      </c>
      <c r="AM110" s="333">
        <f t="shared" si="14"/>
        <v>2027</v>
      </c>
      <c r="AN110" s="334">
        <f t="shared" si="15"/>
        <v>2027.3333333333333</v>
      </c>
      <c r="AO110" s="335">
        <f t="shared" si="16"/>
        <v>127.29600000000001</v>
      </c>
      <c r="AP110" s="335">
        <f t="shared" si="17"/>
        <v>1527.5520000000001</v>
      </c>
      <c r="AQ110" s="332">
        <f t="shared" si="18"/>
        <v>1527.5520000000001</v>
      </c>
      <c r="AR110" s="332">
        <f t="shared" si="19"/>
        <v>509.18400000023121</v>
      </c>
      <c r="AS110" s="332">
        <f t="shared" si="20"/>
        <v>2036.7360000002313</v>
      </c>
      <c r="AT110" s="332">
        <f t="shared" si="21"/>
        <v>5601.0239999997684</v>
      </c>
      <c r="AU110" s="374" t="s">
        <v>59</v>
      </c>
    </row>
    <row r="111" spans="1:47" s="366" customFormat="1" ht="15.75">
      <c r="A111" s="367">
        <v>2112</v>
      </c>
      <c r="B111" s="368">
        <v>275282</v>
      </c>
      <c r="C111" s="367" t="s">
        <v>574</v>
      </c>
      <c r="D111" s="369" t="s">
        <v>1927</v>
      </c>
      <c r="E111" s="367"/>
      <c r="F111" s="369"/>
      <c r="G111" s="369" t="s">
        <v>1394</v>
      </c>
      <c r="H111" s="369">
        <v>0</v>
      </c>
      <c r="I111" s="369" t="s">
        <v>831</v>
      </c>
      <c r="J111" s="369"/>
      <c r="K111" s="369"/>
      <c r="L111" s="370">
        <v>43191</v>
      </c>
      <c r="M111" s="370">
        <v>43191</v>
      </c>
      <c r="N111" s="369" t="s">
        <v>1928</v>
      </c>
      <c r="O111" s="367">
        <v>300</v>
      </c>
      <c r="P111" s="367">
        <v>14110</v>
      </c>
      <c r="Q111" s="371">
        <v>1311.74</v>
      </c>
      <c r="R111" s="367">
        <v>14116</v>
      </c>
      <c r="S111" s="371">
        <v>1311.74</v>
      </c>
      <c r="T111" s="371">
        <f t="shared" si="22"/>
        <v>0</v>
      </c>
      <c r="U111" s="372">
        <v>0</v>
      </c>
      <c r="V111" s="367">
        <v>70260</v>
      </c>
      <c r="W111" s="371">
        <v>0</v>
      </c>
      <c r="X111" s="369" t="s">
        <v>574</v>
      </c>
      <c r="Y111" s="369"/>
      <c r="Z111" s="369" t="s">
        <v>1929</v>
      </c>
      <c r="AA111" s="369"/>
      <c r="AB111" s="369" t="s">
        <v>571</v>
      </c>
      <c r="AC111" s="369" t="s">
        <v>570</v>
      </c>
      <c r="AD111" s="367" t="s">
        <v>569</v>
      </c>
      <c r="AE111" s="373">
        <v>44620</v>
      </c>
      <c r="AF111" s="367" t="s">
        <v>568</v>
      </c>
      <c r="AG111" s="369">
        <v>0</v>
      </c>
      <c r="AH111" s="369">
        <v>1311.74</v>
      </c>
      <c r="AI111" s="517"/>
      <c r="AJ111" s="518" t="s">
        <v>81</v>
      </c>
      <c r="AK111" s="333">
        <f t="shared" si="12"/>
        <v>4</v>
      </c>
      <c r="AL111" s="333">
        <f t="shared" si="13"/>
        <v>2018</v>
      </c>
      <c r="AM111" s="333">
        <f t="shared" si="14"/>
        <v>2021</v>
      </c>
      <c r="AN111" s="334">
        <f t="shared" si="15"/>
        <v>2021.3333333333333</v>
      </c>
      <c r="AO111" s="335">
        <f t="shared" si="16"/>
        <v>36.437222222222225</v>
      </c>
      <c r="AP111" s="335">
        <f t="shared" si="17"/>
        <v>437.24666666666667</v>
      </c>
      <c r="AQ111" s="332">
        <f t="shared" si="18"/>
        <v>0</v>
      </c>
      <c r="AR111" s="332">
        <f t="shared" si="19"/>
        <v>1311.74</v>
      </c>
      <c r="AS111" s="332">
        <f t="shared" si="20"/>
        <v>1311.74</v>
      </c>
      <c r="AT111" s="332">
        <f t="shared" si="21"/>
        <v>0</v>
      </c>
      <c r="AU111" s="374" t="s">
        <v>59</v>
      </c>
    </row>
    <row r="112" spans="1:47" s="366" customFormat="1" ht="15.75">
      <c r="A112" s="367">
        <v>2112</v>
      </c>
      <c r="B112" s="368">
        <v>275281</v>
      </c>
      <c r="C112" s="367" t="s">
        <v>574</v>
      </c>
      <c r="D112" s="369" t="s">
        <v>1925</v>
      </c>
      <c r="E112" s="367">
        <v>0</v>
      </c>
      <c r="F112" s="369"/>
      <c r="G112" s="369"/>
      <c r="H112" s="369">
        <v>0</v>
      </c>
      <c r="I112" s="369" t="s">
        <v>831</v>
      </c>
      <c r="J112" s="369"/>
      <c r="K112" s="369"/>
      <c r="L112" s="370">
        <v>40908</v>
      </c>
      <c r="M112" s="370">
        <v>40908</v>
      </c>
      <c r="N112" s="369" t="s">
        <v>830</v>
      </c>
      <c r="O112" s="367">
        <v>500</v>
      </c>
      <c r="P112" s="367">
        <v>14110</v>
      </c>
      <c r="Q112" s="371">
        <v>850.89</v>
      </c>
      <c r="R112" s="367">
        <v>14116</v>
      </c>
      <c r="S112" s="371">
        <v>850.89</v>
      </c>
      <c r="T112" s="371">
        <f t="shared" si="22"/>
        <v>0</v>
      </c>
      <c r="U112" s="372">
        <v>0</v>
      </c>
      <c r="V112" s="367">
        <v>70260</v>
      </c>
      <c r="W112" s="371">
        <v>0</v>
      </c>
      <c r="X112" s="369" t="s">
        <v>574</v>
      </c>
      <c r="Y112" s="369"/>
      <c r="Z112" s="369" t="s">
        <v>1926</v>
      </c>
      <c r="AA112" s="369"/>
      <c r="AB112" s="369" t="s">
        <v>571</v>
      </c>
      <c r="AC112" s="369" t="s">
        <v>570</v>
      </c>
      <c r="AD112" s="367" t="s">
        <v>569</v>
      </c>
      <c r="AE112" s="373">
        <v>44620</v>
      </c>
      <c r="AF112" s="367" t="s">
        <v>568</v>
      </c>
      <c r="AG112" s="369">
        <v>0</v>
      </c>
      <c r="AH112" s="369">
        <v>850.89</v>
      </c>
      <c r="AI112" s="517"/>
      <c r="AJ112" s="518" t="s">
        <v>81</v>
      </c>
      <c r="AK112" s="333">
        <f t="shared" si="12"/>
        <v>12</v>
      </c>
      <c r="AL112" s="333">
        <f t="shared" si="13"/>
        <v>2011</v>
      </c>
      <c r="AM112" s="333">
        <f t="shared" si="14"/>
        <v>2016</v>
      </c>
      <c r="AN112" s="334">
        <f t="shared" si="15"/>
        <v>2017</v>
      </c>
      <c r="AO112" s="335">
        <f t="shared" si="16"/>
        <v>14.1815</v>
      </c>
      <c r="AP112" s="335">
        <f t="shared" si="17"/>
        <v>170.178</v>
      </c>
      <c r="AQ112" s="332">
        <f t="shared" si="18"/>
        <v>0</v>
      </c>
      <c r="AR112" s="332">
        <f t="shared" si="19"/>
        <v>850.89</v>
      </c>
      <c r="AS112" s="332">
        <f t="shared" si="20"/>
        <v>850.89</v>
      </c>
      <c r="AT112" s="332">
        <f t="shared" si="21"/>
        <v>0</v>
      </c>
      <c r="AU112" s="374" t="s">
        <v>59</v>
      </c>
    </row>
    <row r="113" spans="1:47" s="366" customFormat="1" ht="15.75">
      <c r="A113" s="367">
        <v>2112</v>
      </c>
      <c r="B113" s="368">
        <v>275280</v>
      </c>
      <c r="C113" s="367" t="s">
        <v>574</v>
      </c>
      <c r="D113" s="369" t="s">
        <v>1923</v>
      </c>
      <c r="E113" s="367">
        <v>4</v>
      </c>
      <c r="F113" s="369"/>
      <c r="G113" s="369"/>
      <c r="H113" s="369">
        <v>0</v>
      </c>
      <c r="I113" s="369" t="s">
        <v>1634</v>
      </c>
      <c r="J113" s="369"/>
      <c r="K113" s="369"/>
      <c r="L113" s="370">
        <v>44145</v>
      </c>
      <c r="M113" s="370">
        <v>44145</v>
      </c>
      <c r="N113" s="369" t="s">
        <v>1924</v>
      </c>
      <c r="O113" s="367">
        <v>500</v>
      </c>
      <c r="P113" s="367">
        <v>14070</v>
      </c>
      <c r="Q113" s="371">
        <v>2083.1999999999998</v>
      </c>
      <c r="R113" s="367">
        <v>14076</v>
      </c>
      <c r="S113" s="371">
        <v>1145.76</v>
      </c>
      <c r="T113" s="371">
        <f t="shared" si="22"/>
        <v>937.43999999999983</v>
      </c>
      <c r="U113" s="372">
        <v>243.04</v>
      </c>
      <c r="V113" s="367">
        <v>51260</v>
      </c>
      <c r="W113" s="371">
        <v>34.72</v>
      </c>
      <c r="X113" s="369" t="s">
        <v>574</v>
      </c>
      <c r="Y113" s="369"/>
      <c r="Z113" s="369">
        <v>5321893</v>
      </c>
      <c r="AA113" s="369"/>
      <c r="AB113" s="369" t="s">
        <v>571</v>
      </c>
      <c r="AC113" s="369" t="s">
        <v>570</v>
      </c>
      <c r="AD113" s="367" t="s">
        <v>569</v>
      </c>
      <c r="AE113" s="373">
        <v>44620</v>
      </c>
      <c r="AF113" s="367" t="s">
        <v>568</v>
      </c>
      <c r="AG113" s="369">
        <v>0</v>
      </c>
      <c r="AH113" s="369">
        <v>555.52</v>
      </c>
      <c r="AI113" s="517" t="s">
        <v>2260</v>
      </c>
      <c r="AJ113" s="524" t="s">
        <v>1882</v>
      </c>
      <c r="AK113" s="333">
        <f t="shared" si="12"/>
        <v>11</v>
      </c>
      <c r="AL113" s="333">
        <f t="shared" si="13"/>
        <v>2020</v>
      </c>
      <c r="AM113" s="333">
        <f t="shared" si="14"/>
        <v>2025</v>
      </c>
      <c r="AN113" s="334">
        <f t="shared" si="15"/>
        <v>2025.9166666666667</v>
      </c>
      <c r="AO113" s="335">
        <f t="shared" si="16"/>
        <v>34.72</v>
      </c>
      <c r="AP113" s="335">
        <f t="shared" si="17"/>
        <v>416.64</v>
      </c>
      <c r="AQ113" s="332">
        <f t="shared" si="18"/>
        <v>416.64</v>
      </c>
      <c r="AR113" s="332">
        <f t="shared" si="19"/>
        <v>729.11999999999989</v>
      </c>
      <c r="AS113" s="332">
        <f t="shared" si="20"/>
        <v>1145.7599999999998</v>
      </c>
      <c r="AT113" s="332">
        <f t="shared" si="21"/>
        <v>937.44</v>
      </c>
      <c r="AU113" s="374" t="s">
        <v>59</v>
      </c>
    </row>
    <row r="114" spans="1:47" s="366" customFormat="1" ht="15.75">
      <c r="A114" s="367">
        <v>2112</v>
      </c>
      <c r="B114" s="368">
        <v>275279</v>
      </c>
      <c r="C114" s="367" t="s">
        <v>574</v>
      </c>
      <c r="D114" s="369" t="s">
        <v>1919</v>
      </c>
      <c r="E114" s="367">
        <v>0</v>
      </c>
      <c r="F114" s="369"/>
      <c r="G114" s="369"/>
      <c r="H114" s="369">
        <v>0</v>
      </c>
      <c r="I114" s="369" t="s">
        <v>1920</v>
      </c>
      <c r="J114" s="369"/>
      <c r="K114" s="369"/>
      <c r="L114" s="370">
        <v>40422</v>
      </c>
      <c r="M114" s="370">
        <v>40422</v>
      </c>
      <c r="N114" s="369" t="s">
        <v>1921</v>
      </c>
      <c r="O114" s="367">
        <v>500</v>
      </c>
      <c r="P114" s="367">
        <v>14070</v>
      </c>
      <c r="Q114" s="371">
        <v>11165.19</v>
      </c>
      <c r="R114" s="367">
        <v>14076</v>
      </c>
      <c r="S114" s="371">
        <v>11165.19</v>
      </c>
      <c r="T114" s="371">
        <f t="shared" si="22"/>
        <v>0</v>
      </c>
      <c r="U114" s="372">
        <v>0</v>
      </c>
      <c r="V114" s="367">
        <v>51260</v>
      </c>
      <c r="W114" s="371">
        <v>0</v>
      </c>
      <c r="X114" s="369" t="s">
        <v>574</v>
      </c>
      <c r="Y114" s="369"/>
      <c r="Z114" s="369" t="s">
        <v>1922</v>
      </c>
      <c r="AA114" s="369"/>
      <c r="AB114" s="369" t="s">
        <v>571</v>
      </c>
      <c r="AC114" s="369" t="s">
        <v>570</v>
      </c>
      <c r="AD114" s="367" t="s">
        <v>569</v>
      </c>
      <c r="AE114" s="373">
        <v>44620</v>
      </c>
      <c r="AF114" s="367" t="s">
        <v>568</v>
      </c>
      <c r="AG114" s="369">
        <v>0</v>
      </c>
      <c r="AH114" s="369">
        <v>11165.19</v>
      </c>
      <c r="AI114" s="517"/>
      <c r="AJ114" s="518" t="s">
        <v>80</v>
      </c>
      <c r="AK114" s="333">
        <f t="shared" si="12"/>
        <v>9</v>
      </c>
      <c r="AL114" s="333">
        <f t="shared" si="13"/>
        <v>2010</v>
      </c>
      <c r="AM114" s="333">
        <f t="shared" si="14"/>
        <v>2015</v>
      </c>
      <c r="AN114" s="334">
        <f t="shared" si="15"/>
        <v>2015.75</v>
      </c>
      <c r="AO114" s="335">
        <f t="shared" si="16"/>
        <v>186.0865</v>
      </c>
      <c r="AP114" s="335">
        <f t="shared" si="17"/>
        <v>2233.038</v>
      </c>
      <c r="AQ114" s="332">
        <f t="shared" si="18"/>
        <v>0</v>
      </c>
      <c r="AR114" s="332">
        <f t="shared" si="19"/>
        <v>11165.19</v>
      </c>
      <c r="AS114" s="332">
        <f t="shared" si="20"/>
        <v>11165.19</v>
      </c>
      <c r="AT114" s="332">
        <f t="shared" si="21"/>
        <v>0</v>
      </c>
      <c r="AU114" s="374" t="s">
        <v>59</v>
      </c>
    </row>
    <row r="115" spans="1:47" s="366" customFormat="1" ht="15.75">
      <c r="A115" s="367">
        <v>2112</v>
      </c>
      <c r="B115" s="368">
        <v>275278</v>
      </c>
      <c r="C115" s="367" t="s">
        <v>574</v>
      </c>
      <c r="D115" s="369" t="s">
        <v>1915</v>
      </c>
      <c r="E115" s="367">
        <v>0</v>
      </c>
      <c r="F115" s="369"/>
      <c r="G115" s="369"/>
      <c r="H115" s="369">
        <v>0</v>
      </c>
      <c r="I115" s="369" t="s">
        <v>1916</v>
      </c>
      <c r="J115" s="369"/>
      <c r="K115" s="369"/>
      <c r="L115" s="370">
        <v>40026</v>
      </c>
      <c r="M115" s="370">
        <v>40026</v>
      </c>
      <c r="N115" s="369" t="s">
        <v>1917</v>
      </c>
      <c r="O115" s="367">
        <v>500</v>
      </c>
      <c r="P115" s="367">
        <v>14070</v>
      </c>
      <c r="Q115" s="371">
        <v>1803.6</v>
      </c>
      <c r="R115" s="367">
        <v>14076</v>
      </c>
      <c r="S115" s="371">
        <v>1803.6</v>
      </c>
      <c r="T115" s="371">
        <f t="shared" si="22"/>
        <v>0</v>
      </c>
      <c r="U115" s="372">
        <v>0</v>
      </c>
      <c r="V115" s="367">
        <v>51260</v>
      </c>
      <c r="W115" s="371">
        <v>0</v>
      </c>
      <c r="X115" s="369" t="s">
        <v>574</v>
      </c>
      <c r="Y115" s="369"/>
      <c r="Z115" s="369" t="s">
        <v>1918</v>
      </c>
      <c r="AA115" s="369"/>
      <c r="AB115" s="369" t="s">
        <v>571</v>
      </c>
      <c r="AC115" s="369" t="s">
        <v>570</v>
      </c>
      <c r="AD115" s="367" t="s">
        <v>569</v>
      </c>
      <c r="AE115" s="373">
        <v>44620</v>
      </c>
      <c r="AF115" s="367" t="s">
        <v>568</v>
      </c>
      <c r="AG115" s="369">
        <v>0</v>
      </c>
      <c r="AH115" s="369">
        <v>1803.6</v>
      </c>
      <c r="AI115" s="517" t="s">
        <v>2260</v>
      </c>
      <c r="AJ115" s="524" t="s">
        <v>1882</v>
      </c>
      <c r="AK115" s="333">
        <f t="shared" si="12"/>
        <v>8</v>
      </c>
      <c r="AL115" s="333">
        <f t="shared" si="13"/>
        <v>2009</v>
      </c>
      <c r="AM115" s="333">
        <f t="shared" si="14"/>
        <v>2014</v>
      </c>
      <c r="AN115" s="334">
        <f t="shared" si="15"/>
        <v>2014.6666666666667</v>
      </c>
      <c r="AO115" s="335">
        <f t="shared" si="16"/>
        <v>30.06</v>
      </c>
      <c r="AP115" s="335">
        <f t="shared" si="17"/>
        <v>360.71999999999997</v>
      </c>
      <c r="AQ115" s="332">
        <f t="shared" si="18"/>
        <v>0</v>
      </c>
      <c r="AR115" s="332">
        <f t="shared" si="19"/>
        <v>1803.6</v>
      </c>
      <c r="AS115" s="332">
        <f t="shared" si="20"/>
        <v>1803.6</v>
      </c>
      <c r="AT115" s="332">
        <f t="shared" si="21"/>
        <v>0</v>
      </c>
      <c r="AU115" s="374" t="s">
        <v>59</v>
      </c>
    </row>
    <row r="116" spans="1:47" s="366" customFormat="1" ht="15.75">
      <c r="A116" s="367">
        <v>2112</v>
      </c>
      <c r="B116" s="368">
        <v>275277</v>
      </c>
      <c r="C116" s="367" t="s">
        <v>574</v>
      </c>
      <c r="D116" s="369" t="s">
        <v>1913</v>
      </c>
      <c r="E116" s="367">
        <v>54</v>
      </c>
      <c r="F116" s="369">
        <v>0</v>
      </c>
      <c r="G116" s="369"/>
      <c r="H116" s="369">
        <v>0</v>
      </c>
      <c r="I116" s="369"/>
      <c r="J116" s="369"/>
      <c r="K116" s="369" t="s">
        <v>588</v>
      </c>
      <c r="L116" s="370">
        <v>38961</v>
      </c>
      <c r="M116" s="370">
        <v>38721</v>
      </c>
      <c r="N116" s="369" t="s">
        <v>1914</v>
      </c>
      <c r="O116" s="367">
        <v>1200</v>
      </c>
      <c r="P116" s="367">
        <v>14050</v>
      </c>
      <c r="Q116" s="371">
        <v>37648.800000000003</v>
      </c>
      <c r="R116" s="367">
        <v>14056</v>
      </c>
      <c r="S116" s="371">
        <v>37648.800000000003</v>
      </c>
      <c r="T116" s="371">
        <f t="shared" si="22"/>
        <v>0</v>
      </c>
      <c r="U116" s="372">
        <v>0</v>
      </c>
      <c r="V116" s="367">
        <v>54260</v>
      </c>
      <c r="W116" s="371">
        <v>0</v>
      </c>
      <c r="X116" s="369" t="s">
        <v>12</v>
      </c>
      <c r="Y116" s="369">
        <v>0</v>
      </c>
      <c r="Z116" s="369">
        <v>633004</v>
      </c>
      <c r="AA116" s="369"/>
      <c r="AB116" s="369" t="s">
        <v>571</v>
      </c>
      <c r="AC116" s="369" t="s">
        <v>570</v>
      </c>
      <c r="AD116" s="367" t="s">
        <v>569</v>
      </c>
      <c r="AE116" s="373">
        <v>44620</v>
      </c>
      <c r="AF116" s="367" t="s">
        <v>568</v>
      </c>
      <c r="AG116" s="369">
        <v>0</v>
      </c>
      <c r="AH116" s="369">
        <v>37648.800000000003</v>
      </c>
      <c r="AI116" s="517"/>
      <c r="AJ116" s="525" t="s">
        <v>257</v>
      </c>
      <c r="AK116" s="333">
        <f t="shared" si="12"/>
        <v>9</v>
      </c>
      <c r="AL116" s="333">
        <f t="shared" si="13"/>
        <v>2006</v>
      </c>
      <c r="AM116" s="333">
        <f t="shared" si="14"/>
        <v>2018</v>
      </c>
      <c r="AN116" s="334">
        <f t="shared" si="15"/>
        <v>2018.75</v>
      </c>
      <c r="AO116" s="335">
        <f t="shared" si="16"/>
        <v>261.45</v>
      </c>
      <c r="AP116" s="335">
        <f t="shared" si="17"/>
        <v>3137.3999999999996</v>
      </c>
      <c r="AQ116" s="332">
        <f t="shared" si="18"/>
        <v>0</v>
      </c>
      <c r="AR116" s="332">
        <f t="shared" si="19"/>
        <v>37648.800000000003</v>
      </c>
      <c r="AS116" s="332">
        <f t="shared" si="20"/>
        <v>37648.800000000003</v>
      </c>
      <c r="AT116" s="332">
        <f t="shared" si="21"/>
        <v>0</v>
      </c>
      <c r="AU116" s="374" t="s">
        <v>59</v>
      </c>
    </row>
    <row r="117" spans="1:47" s="366" customFormat="1" ht="15.75">
      <c r="A117" s="367">
        <v>2112</v>
      </c>
      <c r="B117" s="368">
        <v>275276</v>
      </c>
      <c r="C117" s="367" t="s">
        <v>574</v>
      </c>
      <c r="D117" s="369" t="s">
        <v>2120</v>
      </c>
      <c r="E117" s="367">
        <v>0</v>
      </c>
      <c r="F117" s="369" t="s">
        <v>1910</v>
      </c>
      <c r="G117" s="369" t="s">
        <v>1911</v>
      </c>
      <c r="H117" s="369">
        <v>2006</v>
      </c>
      <c r="I117" s="369" t="s">
        <v>772</v>
      </c>
      <c r="J117" s="369" t="s">
        <v>668</v>
      </c>
      <c r="K117" s="369" t="s">
        <v>1906</v>
      </c>
      <c r="L117" s="370">
        <v>39059</v>
      </c>
      <c r="M117" s="370">
        <v>39059</v>
      </c>
      <c r="N117" s="369" t="s">
        <v>1912</v>
      </c>
      <c r="O117" s="367">
        <v>700</v>
      </c>
      <c r="P117" s="367">
        <v>14040</v>
      </c>
      <c r="Q117" s="371">
        <v>41353.599999999999</v>
      </c>
      <c r="R117" s="367">
        <v>14046</v>
      </c>
      <c r="S117" s="371">
        <v>41353.599999999999</v>
      </c>
      <c r="T117" s="371">
        <f t="shared" si="22"/>
        <v>0</v>
      </c>
      <c r="U117" s="372">
        <v>0</v>
      </c>
      <c r="V117" s="367">
        <v>51260</v>
      </c>
      <c r="W117" s="371">
        <v>0</v>
      </c>
      <c r="X117" s="369" t="s">
        <v>574</v>
      </c>
      <c r="Y117" s="369"/>
      <c r="Z117" s="369">
        <v>420282</v>
      </c>
      <c r="AA117" s="369" t="s">
        <v>2119</v>
      </c>
      <c r="AB117" s="369" t="s">
        <v>571</v>
      </c>
      <c r="AC117" s="369" t="s">
        <v>570</v>
      </c>
      <c r="AD117" s="367" t="s">
        <v>569</v>
      </c>
      <c r="AE117" s="373">
        <v>44620</v>
      </c>
      <c r="AF117" s="367" t="s">
        <v>568</v>
      </c>
      <c r="AG117" s="369">
        <v>0</v>
      </c>
      <c r="AH117" s="369">
        <v>41353.599999999999</v>
      </c>
      <c r="AI117" s="517" t="s">
        <v>2119</v>
      </c>
      <c r="AJ117" s="518" t="s">
        <v>1882</v>
      </c>
      <c r="AK117" s="333">
        <f t="shared" si="12"/>
        <v>12</v>
      </c>
      <c r="AL117" s="333">
        <f t="shared" si="13"/>
        <v>2006</v>
      </c>
      <c r="AM117" s="333">
        <f t="shared" si="14"/>
        <v>2013</v>
      </c>
      <c r="AN117" s="334">
        <f t="shared" si="15"/>
        <v>2014</v>
      </c>
      <c r="AO117" s="335">
        <f t="shared" si="16"/>
        <v>492.30476190476185</v>
      </c>
      <c r="AP117" s="335">
        <f t="shared" si="17"/>
        <v>5907.6571428571424</v>
      </c>
      <c r="AQ117" s="332">
        <f t="shared" si="18"/>
        <v>0</v>
      </c>
      <c r="AR117" s="332">
        <f t="shared" si="19"/>
        <v>41353.599999999999</v>
      </c>
      <c r="AS117" s="332">
        <f t="shared" si="20"/>
        <v>41353.599999999999</v>
      </c>
      <c r="AT117" s="332">
        <f t="shared" si="21"/>
        <v>0</v>
      </c>
      <c r="AU117" s="374" t="s">
        <v>59</v>
      </c>
    </row>
    <row r="118" spans="1:47" s="366" customFormat="1" ht="15.75">
      <c r="A118" s="367">
        <v>2112</v>
      </c>
      <c r="B118" s="368">
        <v>273622</v>
      </c>
      <c r="C118" s="367" t="s">
        <v>574</v>
      </c>
      <c r="D118" s="369" t="s">
        <v>1908</v>
      </c>
      <c r="E118" s="367">
        <v>57</v>
      </c>
      <c r="F118" s="369"/>
      <c r="G118" s="369"/>
      <c r="H118" s="369">
        <v>0</v>
      </c>
      <c r="I118" s="369"/>
      <c r="J118" s="369"/>
      <c r="K118" s="369"/>
      <c r="L118" s="370">
        <v>44592</v>
      </c>
      <c r="M118" s="370">
        <v>44592</v>
      </c>
      <c r="N118" s="369" t="s">
        <v>1909</v>
      </c>
      <c r="O118" s="367">
        <v>100</v>
      </c>
      <c r="P118" s="367">
        <v>14110</v>
      </c>
      <c r="Q118" s="371">
        <v>7272.34</v>
      </c>
      <c r="R118" s="367">
        <v>14116</v>
      </c>
      <c r="S118" s="371">
        <v>7272.34</v>
      </c>
      <c r="T118" s="371">
        <f t="shared" si="22"/>
        <v>0</v>
      </c>
      <c r="U118" s="372">
        <v>606.03</v>
      </c>
      <c r="V118" s="367">
        <v>70260</v>
      </c>
      <c r="W118" s="371">
        <v>0</v>
      </c>
      <c r="X118" s="369" t="s">
        <v>574</v>
      </c>
      <c r="Y118" s="369"/>
      <c r="Z118" s="369"/>
      <c r="AA118" s="369"/>
      <c r="AB118" s="369" t="s">
        <v>571</v>
      </c>
      <c r="AC118" s="369" t="s">
        <v>570</v>
      </c>
      <c r="AD118" s="367" t="s">
        <v>569</v>
      </c>
      <c r="AE118" s="369"/>
      <c r="AF118" s="367" t="s">
        <v>568</v>
      </c>
      <c r="AG118" s="369">
        <v>0</v>
      </c>
      <c r="AH118" s="369">
        <v>0</v>
      </c>
      <c r="AI118" s="517"/>
      <c r="AJ118" s="518" t="s">
        <v>81</v>
      </c>
      <c r="AK118" s="333">
        <f t="shared" si="12"/>
        <v>1</v>
      </c>
      <c r="AL118" s="333">
        <f t="shared" si="13"/>
        <v>2022</v>
      </c>
      <c r="AM118" s="333">
        <f t="shared" si="14"/>
        <v>2023</v>
      </c>
      <c r="AN118" s="334">
        <f t="shared" si="15"/>
        <v>2023.0833333333333</v>
      </c>
      <c r="AO118" s="335">
        <f t="shared" si="16"/>
        <v>606.02833333333331</v>
      </c>
      <c r="AP118" s="335">
        <f t="shared" si="17"/>
        <v>7272.34</v>
      </c>
      <c r="AQ118" s="332">
        <f t="shared" si="18"/>
        <v>0</v>
      </c>
      <c r="AR118" s="332">
        <f t="shared" si="19"/>
        <v>4242.198333334436</v>
      </c>
      <c r="AS118" s="332">
        <f t="shared" si="20"/>
        <v>7272.34</v>
      </c>
      <c r="AT118" s="332">
        <f t="shared" si="21"/>
        <v>0</v>
      </c>
      <c r="AU118" s="374" t="s">
        <v>59</v>
      </c>
    </row>
    <row r="119" spans="1:47" s="366" customFormat="1" ht="15.75">
      <c r="A119" s="367">
        <v>2112</v>
      </c>
      <c r="B119" s="368">
        <v>271212</v>
      </c>
      <c r="C119" s="367">
        <v>99658</v>
      </c>
      <c r="D119" s="369" t="s">
        <v>1768</v>
      </c>
      <c r="E119" s="367"/>
      <c r="F119" s="369"/>
      <c r="G119" s="369"/>
      <c r="H119" s="369">
        <v>0</v>
      </c>
      <c r="I119" s="369" t="s">
        <v>1305</v>
      </c>
      <c r="J119" s="369"/>
      <c r="K119" s="369" t="s">
        <v>572</v>
      </c>
      <c r="L119" s="370">
        <v>44501</v>
      </c>
      <c r="M119" s="370">
        <v>44501</v>
      </c>
      <c r="N119" s="369" t="s">
        <v>1767</v>
      </c>
      <c r="O119" s="367">
        <v>300</v>
      </c>
      <c r="P119" s="367">
        <v>14040</v>
      </c>
      <c r="Q119" s="371">
        <v>18093.169999999998</v>
      </c>
      <c r="R119" s="367">
        <v>14046</v>
      </c>
      <c r="S119" s="371">
        <v>10554.36</v>
      </c>
      <c r="T119" s="371">
        <f t="shared" si="22"/>
        <v>7538.8099999999977</v>
      </c>
      <c r="U119" s="372">
        <v>3518.12</v>
      </c>
      <c r="V119" s="367">
        <v>51260</v>
      </c>
      <c r="W119" s="371">
        <v>502.59</v>
      </c>
      <c r="X119" s="369" t="s">
        <v>574</v>
      </c>
      <c r="Y119" s="369"/>
      <c r="Z119" s="369" t="s">
        <v>1766</v>
      </c>
      <c r="AA119" s="369"/>
      <c r="AB119" s="369" t="s">
        <v>571</v>
      </c>
      <c r="AC119" s="369" t="s">
        <v>570</v>
      </c>
      <c r="AD119" s="367" t="s">
        <v>569</v>
      </c>
      <c r="AE119" s="369"/>
      <c r="AF119" s="367" t="s">
        <v>568</v>
      </c>
      <c r="AG119" s="369">
        <v>0</v>
      </c>
      <c r="AH119" s="369">
        <v>0</v>
      </c>
      <c r="AI119" s="517">
        <v>884</v>
      </c>
      <c r="AJ119" s="518" t="s">
        <v>1881</v>
      </c>
      <c r="AK119" s="333">
        <f t="shared" si="12"/>
        <v>11</v>
      </c>
      <c r="AL119" s="333">
        <f t="shared" si="13"/>
        <v>2021</v>
      </c>
      <c r="AM119" s="333">
        <f t="shared" si="14"/>
        <v>2024</v>
      </c>
      <c r="AN119" s="334">
        <f t="shared" si="15"/>
        <v>2024.9166666666667</v>
      </c>
      <c r="AO119" s="335">
        <f t="shared" si="16"/>
        <v>502.58805555555551</v>
      </c>
      <c r="AP119" s="335">
        <f t="shared" si="17"/>
        <v>6031.0566666666664</v>
      </c>
      <c r="AQ119" s="332">
        <f t="shared" si="18"/>
        <v>6031.0566666666664</v>
      </c>
      <c r="AR119" s="332">
        <f t="shared" si="19"/>
        <v>4523.2924999999996</v>
      </c>
      <c r="AS119" s="332">
        <f t="shared" si="20"/>
        <v>10554.349166666667</v>
      </c>
      <c r="AT119" s="332">
        <f t="shared" si="21"/>
        <v>7538.8208333333314</v>
      </c>
      <c r="AU119" s="374" t="s">
        <v>59</v>
      </c>
    </row>
    <row r="120" spans="1:47" s="366" customFormat="1" ht="15.75">
      <c r="A120" s="367">
        <v>2112</v>
      </c>
      <c r="B120" s="368">
        <v>266846</v>
      </c>
      <c r="C120" s="367" t="s">
        <v>574</v>
      </c>
      <c r="D120" s="369" t="s">
        <v>1610</v>
      </c>
      <c r="E120" s="367">
        <v>720</v>
      </c>
      <c r="F120" s="369"/>
      <c r="G120" s="369"/>
      <c r="H120" s="369">
        <v>0</v>
      </c>
      <c r="I120" s="369" t="s">
        <v>886</v>
      </c>
      <c r="J120" s="369"/>
      <c r="K120" s="369" t="s">
        <v>1564</v>
      </c>
      <c r="L120" s="370">
        <v>44523</v>
      </c>
      <c r="M120" s="370">
        <v>44523</v>
      </c>
      <c r="N120" s="369" t="s">
        <v>1765</v>
      </c>
      <c r="O120" s="367">
        <v>500</v>
      </c>
      <c r="P120" s="367">
        <v>14050</v>
      </c>
      <c r="Q120" s="371">
        <v>7363.58</v>
      </c>
      <c r="R120" s="367">
        <v>14056</v>
      </c>
      <c r="S120" s="371">
        <v>2454.54</v>
      </c>
      <c r="T120" s="371">
        <f t="shared" si="22"/>
        <v>4909.04</v>
      </c>
      <c r="U120" s="372">
        <v>859.09</v>
      </c>
      <c r="V120" s="367">
        <v>54260</v>
      </c>
      <c r="W120" s="371">
        <v>122.73</v>
      </c>
      <c r="X120" s="369" t="s">
        <v>574</v>
      </c>
      <c r="Y120" s="369"/>
      <c r="Z120" s="369">
        <v>33011</v>
      </c>
      <c r="AA120" s="369"/>
      <c r="AB120" s="369" t="s">
        <v>571</v>
      </c>
      <c r="AC120" s="369" t="s">
        <v>570</v>
      </c>
      <c r="AD120" s="367" t="s">
        <v>569</v>
      </c>
      <c r="AE120" s="369"/>
      <c r="AF120" s="367" t="s">
        <v>568</v>
      </c>
      <c r="AG120" s="369">
        <v>0</v>
      </c>
      <c r="AH120" s="369">
        <v>0</v>
      </c>
      <c r="AI120" s="517"/>
      <c r="AJ120" s="518" t="s">
        <v>1894</v>
      </c>
      <c r="AK120" s="333">
        <f t="shared" si="12"/>
        <v>11</v>
      </c>
      <c r="AL120" s="333">
        <f t="shared" si="13"/>
        <v>2021</v>
      </c>
      <c r="AM120" s="333">
        <f t="shared" si="14"/>
        <v>2026</v>
      </c>
      <c r="AN120" s="334">
        <f t="shared" si="15"/>
        <v>2026.9166666666667</v>
      </c>
      <c r="AO120" s="335">
        <f t="shared" si="16"/>
        <v>122.72633333333333</v>
      </c>
      <c r="AP120" s="335">
        <f t="shared" si="17"/>
        <v>1472.7159999999999</v>
      </c>
      <c r="AQ120" s="332">
        <f t="shared" si="18"/>
        <v>1472.7159999999999</v>
      </c>
      <c r="AR120" s="332">
        <f t="shared" si="19"/>
        <v>1104.5370000000003</v>
      </c>
      <c r="AS120" s="332">
        <f t="shared" si="20"/>
        <v>2577.2530000000002</v>
      </c>
      <c r="AT120" s="332">
        <f t="shared" si="21"/>
        <v>4786.3269999999993</v>
      </c>
      <c r="AU120" s="374" t="s">
        <v>59</v>
      </c>
    </row>
    <row r="121" spans="1:47" s="366" customFormat="1" ht="15.75">
      <c r="A121" s="367">
        <v>2112</v>
      </c>
      <c r="B121" s="368">
        <v>265287</v>
      </c>
      <c r="C121" s="367" t="s">
        <v>574</v>
      </c>
      <c r="D121" s="369" t="s">
        <v>1764</v>
      </c>
      <c r="E121" s="367">
        <v>10</v>
      </c>
      <c r="F121" s="369"/>
      <c r="G121" s="369"/>
      <c r="H121" s="369">
        <v>0</v>
      </c>
      <c r="I121" s="369" t="s">
        <v>1335</v>
      </c>
      <c r="J121" s="369"/>
      <c r="K121" s="369" t="s">
        <v>1763</v>
      </c>
      <c r="L121" s="370">
        <v>44498</v>
      </c>
      <c r="M121" s="370">
        <v>44498</v>
      </c>
      <c r="N121" s="369" t="s">
        <v>1758</v>
      </c>
      <c r="O121" s="367">
        <v>1200</v>
      </c>
      <c r="P121" s="367">
        <v>14050</v>
      </c>
      <c r="Q121" s="371">
        <v>9514.31</v>
      </c>
      <c r="R121" s="367">
        <v>14056</v>
      </c>
      <c r="S121" s="371">
        <v>1387.49</v>
      </c>
      <c r="T121" s="371">
        <f t="shared" si="22"/>
        <v>8126.82</v>
      </c>
      <c r="U121" s="372">
        <v>462.5</v>
      </c>
      <c r="V121" s="367">
        <v>54260</v>
      </c>
      <c r="W121" s="371">
        <v>66.069999999999993</v>
      </c>
      <c r="X121" s="369" t="s">
        <v>574</v>
      </c>
      <c r="Y121" s="369"/>
      <c r="Z121" s="369">
        <v>50202593</v>
      </c>
      <c r="AA121" s="369"/>
      <c r="AB121" s="369" t="s">
        <v>571</v>
      </c>
      <c r="AC121" s="369" t="s">
        <v>570</v>
      </c>
      <c r="AD121" s="367" t="s">
        <v>569</v>
      </c>
      <c r="AE121" s="369"/>
      <c r="AF121" s="367" t="s">
        <v>568</v>
      </c>
      <c r="AG121" s="369">
        <v>0</v>
      </c>
      <c r="AH121" s="369">
        <v>0</v>
      </c>
      <c r="AI121" s="517"/>
      <c r="AJ121" s="518" t="s">
        <v>513</v>
      </c>
      <c r="AK121" s="333">
        <f t="shared" si="12"/>
        <v>10</v>
      </c>
      <c r="AL121" s="333">
        <f t="shared" si="13"/>
        <v>2021</v>
      </c>
      <c r="AM121" s="333">
        <f t="shared" si="14"/>
        <v>2033</v>
      </c>
      <c r="AN121" s="334">
        <f t="shared" si="15"/>
        <v>2033.8333333333333</v>
      </c>
      <c r="AO121" s="335">
        <f t="shared" si="16"/>
        <v>66.071597222222223</v>
      </c>
      <c r="AP121" s="335">
        <f t="shared" si="17"/>
        <v>792.85916666666662</v>
      </c>
      <c r="AQ121" s="332">
        <f t="shared" si="18"/>
        <v>792.85916666666662</v>
      </c>
      <c r="AR121" s="332">
        <f t="shared" si="19"/>
        <v>660.71597222234232</v>
      </c>
      <c r="AS121" s="332">
        <f t="shared" si="20"/>
        <v>1453.5751388890089</v>
      </c>
      <c r="AT121" s="332">
        <f t="shared" si="21"/>
        <v>8060.7348611109901</v>
      </c>
      <c r="AU121" s="374" t="s">
        <v>59</v>
      </c>
    </row>
    <row r="122" spans="1:47" s="366" customFormat="1" ht="15.75">
      <c r="A122" s="367">
        <v>2112</v>
      </c>
      <c r="B122" s="368">
        <v>265280</v>
      </c>
      <c r="C122" s="367" t="s">
        <v>574</v>
      </c>
      <c r="D122" s="369" t="s">
        <v>1762</v>
      </c>
      <c r="E122" s="367">
        <v>15</v>
      </c>
      <c r="F122" s="369"/>
      <c r="G122" s="369"/>
      <c r="H122" s="369">
        <v>0</v>
      </c>
      <c r="I122" s="369" t="s">
        <v>1335</v>
      </c>
      <c r="J122" s="369"/>
      <c r="K122" s="369" t="s">
        <v>1761</v>
      </c>
      <c r="L122" s="370">
        <v>44501</v>
      </c>
      <c r="M122" s="370">
        <v>44501</v>
      </c>
      <c r="N122" s="369" t="s">
        <v>1758</v>
      </c>
      <c r="O122" s="367">
        <v>1200</v>
      </c>
      <c r="P122" s="367">
        <v>14050</v>
      </c>
      <c r="Q122" s="371">
        <v>13745.79</v>
      </c>
      <c r="R122" s="367">
        <v>14056</v>
      </c>
      <c r="S122" s="371">
        <v>2004.59</v>
      </c>
      <c r="T122" s="371">
        <f t="shared" si="22"/>
        <v>11741.2</v>
      </c>
      <c r="U122" s="372">
        <v>668.2</v>
      </c>
      <c r="V122" s="367">
        <v>54260</v>
      </c>
      <c r="W122" s="371">
        <v>95.46</v>
      </c>
      <c r="X122" s="369" t="s">
        <v>574</v>
      </c>
      <c r="Y122" s="369"/>
      <c r="Z122" s="369">
        <v>50199415</v>
      </c>
      <c r="AA122" s="369"/>
      <c r="AB122" s="369" t="s">
        <v>571</v>
      </c>
      <c r="AC122" s="369" t="s">
        <v>570</v>
      </c>
      <c r="AD122" s="367" t="s">
        <v>569</v>
      </c>
      <c r="AE122" s="369"/>
      <c r="AF122" s="367" t="s">
        <v>568</v>
      </c>
      <c r="AG122" s="369">
        <v>0</v>
      </c>
      <c r="AH122" s="369">
        <v>0</v>
      </c>
      <c r="AI122" s="517"/>
      <c r="AJ122" s="518" t="s">
        <v>513</v>
      </c>
      <c r="AK122" s="333">
        <f t="shared" si="12"/>
        <v>11</v>
      </c>
      <c r="AL122" s="333">
        <f t="shared" si="13"/>
        <v>2021</v>
      </c>
      <c r="AM122" s="333">
        <f t="shared" si="14"/>
        <v>2033</v>
      </c>
      <c r="AN122" s="334">
        <f t="shared" si="15"/>
        <v>2033.9166666666667</v>
      </c>
      <c r="AO122" s="335">
        <f t="shared" si="16"/>
        <v>95.456875000000011</v>
      </c>
      <c r="AP122" s="335">
        <f t="shared" si="17"/>
        <v>1145.4825000000001</v>
      </c>
      <c r="AQ122" s="332">
        <f t="shared" si="18"/>
        <v>1145.4825000000001</v>
      </c>
      <c r="AR122" s="332">
        <f t="shared" si="19"/>
        <v>859.11187499999869</v>
      </c>
      <c r="AS122" s="332">
        <f t="shared" si="20"/>
        <v>2004.5943749999988</v>
      </c>
      <c r="AT122" s="332">
        <f t="shared" si="21"/>
        <v>11741.195625000002</v>
      </c>
      <c r="AU122" s="374" t="s">
        <v>59</v>
      </c>
    </row>
    <row r="123" spans="1:47" s="366" customFormat="1" ht="15.75">
      <c r="A123" s="367">
        <v>2112</v>
      </c>
      <c r="B123" s="368">
        <v>265279</v>
      </c>
      <c r="C123" s="367" t="s">
        <v>574</v>
      </c>
      <c r="D123" s="369" t="s">
        <v>1760</v>
      </c>
      <c r="E123" s="367">
        <v>15</v>
      </c>
      <c r="F123" s="369"/>
      <c r="G123" s="369"/>
      <c r="H123" s="369">
        <v>0</v>
      </c>
      <c r="I123" s="369" t="s">
        <v>1335</v>
      </c>
      <c r="J123" s="369"/>
      <c r="K123" s="369" t="s">
        <v>1759</v>
      </c>
      <c r="L123" s="370">
        <v>44501</v>
      </c>
      <c r="M123" s="370">
        <v>44501</v>
      </c>
      <c r="N123" s="369" t="s">
        <v>1758</v>
      </c>
      <c r="O123" s="367">
        <v>1200</v>
      </c>
      <c r="P123" s="367">
        <v>14050</v>
      </c>
      <c r="Q123" s="371">
        <v>10984.81</v>
      </c>
      <c r="R123" s="367">
        <v>14056</v>
      </c>
      <c r="S123" s="371">
        <v>1601.95</v>
      </c>
      <c r="T123" s="371">
        <f t="shared" si="22"/>
        <v>9382.8599999999988</v>
      </c>
      <c r="U123" s="372">
        <v>533.98</v>
      </c>
      <c r="V123" s="367">
        <v>54260</v>
      </c>
      <c r="W123" s="371">
        <v>76.28</v>
      </c>
      <c r="X123" s="369" t="s">
        <v>574</v>
      </c>
      <c r="Y123" s="369"/>
      <c r="Z123" s="369">
        <v>50202593</v>
      </c>
      <c r="AA123" s="369"/>
      <c r="AB123" s="369" t="s">
        <v>571</v>
      </c>
      <c r="AC123" s="369" t="s">
        <v>570</v>
      </c>
      <c r="AD123" s="367" t="s">
        <v>569</v>
      </c>
      <c r="AE123" s="369"/>
      <c r="AF123" s="367" t="s">
        <v>568</v>
      </c>
      <c r="AG123" s="369">
        <v>0</v>
      </c>
      <c r="AH123" s="369">
        <v>0</v>
      </c>
      <c r="AI123" s="517"/>
      <c r="AJ123" s="518" t="s">
        <v>513</v>
      </c>
      <c r="AK123" s="333">
        <f t="shared" si="12"/>
        <v>11</v>
      </c>
      <c r="AL123" s="333">
        <f t="shared" si="13"/>
        <v>2021</v>
      </c>
      <c r="AM123" s="333">
        <f t="shared" si="14"/>
        <v>2033</v>
      </c>
      <c r="AN123" s="334">
        <f t="shared" si="15"/>
        <v>2033.9166666666667</v>
      </c>
      <c r="AO123" s="335">
        <f t="shared" si="16"/>
        <v>76.283402777777766</v>
      </c>
      <c r="AP123" s="335">
        <f t="shared" si="17"/>
        <v>915.40083333333314</v>
      </c>
      <c r="AQ123" s="332">
        <f t="shared" si="18"/>
        <v>915.40083333333314</v>
      </c>
      <c r="AR123" s="332">
        <f t="shared" si="19"/>
        <v>686.55062500000167</v>
      </c>
      <c r="AS123" s="332">
        <f t="shared" si="20"/>
        <v>1601.9514583333348</v>
      </c>
      <c r="AT123" s="332">
        <f t="shared" si="21"/>
        <v>9382.8585416666647</v>
      </c>
      <c r="AU123" s="374" t="s">
        <v>59</v>
      </c>
    </row>
    <row r="124" spans="1:47" s="366" customFormat="1" ht="15.75">
      <c r="A124" s="367">
        <v>2112</v>
      </c>
      <c r="B124" s="368">
        <v>265267</v>
      </c>
      <c r="C124" s="367" t="s">
        <v>574</v>
      </c>
      <c r="D124" s="369" t="s">
        <v>1757</v>
      </c>
      <c r="E124" s="367"/>
      <c r="F124" s="369" t="s">
        <v>1907</v>
      </c>
      <c r="G124" s="369"/>
      <c r="H124" s="369">
        <v>2022</v>
      </c>
      <c r="I124" s="369" t="s">
        <v>1723</v>
      </c>
      <c r="J124" s="369" t="s">
        <v>1723</v>
      </c>
      <c r="K124" s="369" t="s">
        <v>1659</v>
      </c>
      <c r="L124" s="370">
        <v>44511</v>
      </c>
      <c r="M124" s="370">
        <v>44511</v>
      </c>
      <c r="N124" s="369" t="s">
        <v>1756</v>
      </c>
      <c r="O124" s="367">
        <v>700</v>
      </c>
      <c r="P124" s="367">
        <v>14040</v>
      </c>
      <c r="Q124" s="371">
        <v>68165.850000000006</v>
      </c>
      <c r="R124" s="367">
        <v>14046</v>
      </c>
      <c r="S124" s="371">
        <v>17041.47</v>
      </c>
      <c r="T124" s="371">
        <f t="shared" si="22"/>
        <v>51124.380000000005</v>
      </c>
      <c r="U124" s="372">
        <v>5680.49</v>
      </c>
      <c r="V124" s="367">
        <v>51260</v>
      </c>
      <c r="W124" s="371">
        <v>811.5</v>
      </c>
      <c r="X124" s="369" t="s">
        <v>574</v>
      </c>
      <c r="Y124" s="369"/>
      <c r="Z124" s="369">
        <v>34800</v>
      </c>
      <c r="AA124" s="369" t="s">
        <v>2121</v>
      </c>
      <c r="AB124" s="369" t="s">
        <v>571</v>
      </c>
      <c r="AC124" s="369" t="s">
        <v>570</v>
      </c>
      <c r="AD124" s="367" t="s">
        <v>569</v>
      </c>
      <c r="AE124" s="369"/>
      <c r="AF124" s="367" t="s">
        <v>568</v>
      </c>
      <c r="AG124" s="369">
        <v>0</v>
      </c>
      <c r="AH124" s="369">
        <v>0</v>
      </c>
      <c r="AI124" s="517" t="s">
        <v>2143</v>
      </c>
      <c r="AJ124" s="524" t="s">
        <v>1879</v>
      </c>
      <c r="AK124" s="333">
        <f t="shared" si="12"/>
        <v>11</v>
      </c>
      <c r="AL124" s="333">
        <f t="shared" si="13"/>
        <v>2021</v>
      </c>
      <c r="AM124" s="333">
        <f t="shared" si="14"/>
        <v>2028</v>
      </c>
      <c r="AN124" s="334">
        <f t="shared" si="15"/>
        <v>2028.9166666666667</v>
      </c>
      <c r="AO124" s="335">
        <f t="shared" si="16"/>
        <v>811.49821428571431</v>
      </c>
      <c r="AP124" s="335">
        <f t="shared" si="17"/>
        <v>9737.9785714285717</v>
      </c>
      <c r="AQ124" s="332">
        <f t="shared" si="18"/>
        <v>9737.9785714285717</v>
      </c>
      <c r="AR124" s="332">
        <f t="shared" si="19"/>
        <v>7303.4839285714334</v>
      </c>
      <c r="AS124" s="332">
        <f t="shared" si="20"/>
        <v>17041.462500000005</v>
      </c>
      <c r="AT124" s="332">
        <f t="shared" si="21"/>
        <v>51124.387499999997</v>
      </c>
      <c r="AU124" s="374" t="s">
        <v>59</v>
      </c>
    </row>
    <row r="125" spans="1:47" s="366" customFormat="1" ht="15.75">
      <c r="A125" s="367">
        <v>2112</v>
      </c>
      <c r="B125" s="368">
        <v>264431</v>
      </c>
      <c r="C125" s="367" t="s">
        <v>574</v>
      </c>
      <c r="D125" s="369" t="s">
        <v>1755</v>
      </c>
      <c r="E125" s="367"/>
      <c r="F125" s="369" t="s">
        <v>1754</v>
      </c>
      <c r="G125" s="369"/>
      <c r="H125" s="369">
        <v>2020</v>
      </c>
      <c r="I125" s="369"/>
      <c r="J125" s="369"/>
      <c r="K125" s="369" t="s">
        <v>1575</v>
      </c>
      <c r="L125" s="370">
        <v>44463</v>
      </c>
      <c r="M125" s="370">
        <v>44463</v>
      </c>
      <c r="N125" s="369" t="s">
        <v>1753</v>
      </c>
      <c r="O125" s="367">
        <v>800</v>
      </c>
      <c r="P125" s="367">
        <v>14040</v>
      </c>
      <c r="Q125" s="371">
        <v>165345</v>
      </c>
      <c r="R125" s="367">
        <v>14046</v>
      </c>
      <c r="S125" s="371">
        <v>37891.57</v>
      </c>
      <c r="T125" s="371">
        <f t="shared" si="22"/>
        <v>127453.43</v>
      </c>
      <c r="U125" s="372">
        <v>12056.41</v>
      </c>
      <c r="V125" s="367">
        <v>51260</v>
      </c>
      <c r="W125" s="371">
        <v>1722.34</v>
      </c>
      <c r="X125" s="369" t="s">
        <v>574</v>
      </c>
      <c r="Y125" s="369"/>
      <c r="Z125" s="369"/>
      <c r="AA125" s="369">
        <v>157</v>
      </c>
      <c r="AB125" s="369" t="s">
        <v>571</v>
      </c>
      <c r="AC125" s="369" t="s">
        <v>570</v>
      </c>
      <c r="AD125" s="367" t="s">
        <v>569</v>
      </c>
      <c r="AE125" s="369"/>
      <c r="AF125" s="367" t="s">
        <v>568</v>
      </c>
      <c r="AG125" s="369">
        <v>0</v>
      </c>
      <c r="AH125" s="369">
        <v>0</v>
      </c>
      <c r="AI125" s="517">
        <v>157</v>
      </c>
      <c r="AJ125" s="518" t="s">
        <v>1882</v>
      </c>
      <c r="AK125" s="333">
        <f t="shared" si="12"/>
        <v>9</v>
      </c>
      <c r="AL125" s="333">
        <f t="shared" si="13"/>
        <v>2021</v>
      </c>
      <c r="AM125" s="333">
        <f t="shared" si="14"/>
        <v>2029</v>
      </c>
      <c r="AN125" s="334">
        <f t="shared" si="15"/>
        <v>2029.75</v>
      </c>
      <c r="AO125" s="335">
        <f t="shared" si="16"/>
        <v>1722.34375</v>
      </c>
      <c r="AP125" s="335">
        <f t="shared" si="17"/>
        <v>20668.125</v>
      </c>
      <c r="AQ125" s="332">
        <f t="shared" si="18"/>
        <v>20668.125</v>
      </c>
      <c r="AR125" s="332">
        <f t="shared" si="19"/>
        <v>18945.781250001572</v>
      </c>
      <c r="AS125" s="332">
        <f t="shared" si="20"/>
        <v>39613.906250001572</v>
      </c>
      <c r="AT125" s="332">
        <f t="shared" si="21"/>
        <v>125731.09374999843</v>
      </c>
      <c r="AU125" s="374" t="s">
        <v>59</v>
      </c>
    </row>
    <row r="126" spans="1:47" s="366" customFormat="1" ht="15.75">
      <c r="A126" s="367">
        <v>2112</v>
      </c>
      <c r="B126" s="368">
        <v>264053</v>
      </c>
      <c r="C126" s="367">
        <v>263828</v>
      </c>
      <c r="D126" s="369" t="s">
        <v>1752</v>
      </c>
      <c r="E126" s="367">
        <v>1</v>
      </c>
      <c r="F126" s="369"/>
      <c r="G126" s="369"/>
      <c r="H126" s="369">
        <v>0</v>
      </c>
      <c r="I126" s="369" t="s">
        <v>1751</v>
      </c>
      <c r="J126" s="369"/>
      <c r="K126" s="369"/>
      <c r="L126" s="370">
        <v>44463</v>
      </c>
      <c r="M126" s="370">
        <v>44463</v>
      </c>
      <c r="N126" s="369" t="s">
        <v>1748</v>
      </c>
      <c r="O126" s="367">
        <v>300</v>
      </c>
      <c r="P126" s="367">
        <v>14110</v>
      </c>
      <c r="Q126" s="371">
        <v>262.49</v>
      </c>
      <c r="R126" s="367">
        <v>14116</v>
      </c>
      <c r="S126" s="371">
        <v>160.41999999999999</v>
      </c>
      <c r="T126" s="371">
        <f t="shared" si="22"/>
        <v>102.07000000000002</v>
      </c>
      <c r="U126" s="372">
        <v>51.04</v>
      </c>
      <c r="V126" s="367">
        <v>70260</v>
      </c>
      <c r="W126" s="371">
        <v>7.29</v>
      </c>
      <c r="X126" s="369" t="s">
        <v>574</v>
      </c>
      <c r="Y126" s="369"/>
      <c r="Z126" s="369">
        <v>7025869</v>
      </c>
      <c r="AA126" s="369"/>
      <c r="AB126" s="369" t="s">
        <v>571</v>
      </c>
      <c r="AC126" s="369" t="s">
        <v>570</v>
      </c>
      <c r="AD126" s="367" t="s">
        <v>569</v>
      </c>
      <c r="AE126" s="369"/>
      <c r="AF126" s="367" t="s">
        <v>568</v>
      </c>
      <c r="AG126" s="369">
        <v>0</v>
      </c>
      <c r="AH126" s="369">
        <v>0</v>
      </c>
      <c r="AI126" s="517"/>
      <c r="AJ126" s="518" t="s">
        <v>81</v>
      </c>
      <c r="AK126" s="333">
        <f t="shared" si="12"/>
        <v>9</v>
      </c>
      <c r="AL126" s="333">
        <f t="shared" si="13"/>
        <v>2021</v>
      </c>
      <c r="AM126" s="333">
        <f t="shared" si="14"/>
        <v>2024</v>
      </c>
      <c r="AN126" s="334">
        <f t="shared" si="15"/>
        <v>2024.75</v>
      </c>
      <c r="AO126" s="335">
        <f t="shared" si="16"/>
        <v>7.2913888888888891</v>
      </c>
      <c r="AP126" s="335">
        <f t="shared" si="17"/>
        <v>87.49666666666667</v>
      </c>
      <c r="AQ126" s="332">
        <f t="shared" si="18"/>
        <v>87.49666666666667</v>
      </c>
      <c r="AR126" s="332">
        <f t="shared" si="19"/>
        <v>80.205277777784403</v>
      </c>
      <c r="AS126" s="332">
        <f t="shared" si="20"/>
        <v>167.70194444445107</v>
      </c>
      <c r="AT126" s="332">
        <f t="shared" si="21"/>
        <v>94.788055555548937</v>
      </c>
      <c r="AU126" s="374" t="s">
        <v>59</v>
      </c>
    </row>
    <row r="127" spans="1:47" s="366" customFormat="1" ht="15.75">
      <c r="A127" s="367">
        <v>2112</v>
      </c>
      <c r="B127" s="368">
        <v>263828</v>
      </c>
      <c r="C127" s="367" t="s">
        <v>574</v>
      </c>
      <c r="D127" s="369" t="s">
        <v>1750</v>
      </c>
      <c r="E127" s="367">
        <v>1</v>
      </c>
      <c r="F127" s="369"/>
      <c r="G127" s="369"/>
      <c r="H127" s="369">
        <v>0</v>
      </c>
      <c r="I127" s="369" t="s">
        <v>1749</v>
      </c>
      <c r="J127" s="369"/>
      <c r="K127" s="369"/>
      <c r="L127" s="370">
        <v>44463</v>
      </c>
      <c r="M127" s="370">
        <v>44463</v>
      </c>
      <c r="N127" s="369" t="s">
        <v>1748</v>
      </c>
      <c r="O127" s="367">
        <v>300</v>
      </c>
      <c r="P127" s="367">
        <v>14110</v>
      </c>
      <c r="Q127" s="371">
        <v>1173.05</v>
      </c>
      <c r="R127" s="367">
        <v>14116</v>
      </c>
      <c r="S127" s="371">
        <v>716.88</v>
      </c>
      <c r="T127" s="371">
        <f t="shared" si="22"/>
        <v>456.16999999999996</v>
      </c>
      <c r="U127" s="372">
        <v>228.1</v>
      </c>
      <c r="V127" s="367">
        <v>70260</v>
      </c>
      <c r="W127" s="371">
        <v>32.590000000000003</v>
      </c>
      <c r="X127" s="369" t="s">
        <v>574</v>
      </c>
      <c r="Y127" s="369"/>
      <c r="Z127" s="369" t="s">
        <v>1747</v>
      </c>
      <c r="AA127" s="369"/>
      <c r="AB127" s="369" t="s">
        <v>571</v>
      </c>
      <c r="AC127" s="369" t="s">
        <v>570</v>
      </c>
      <c r="AD127" s="367" t="s">
        <v>569</v>
      </c>
      <c r="AE127" s="369"/>
      <c r="AF127" s="367" t="s">
        <v>568</v>
      </c>
      <c r="AG127" s="369">
        <v>0</v>
      </c>
      <c r="AH127" s="369">
        <v>0</v>
      </c>
      <c r="AI127" s="517"/>
      <c r="AJ127" s="518" t="s">
        <v>81</v>
      </c>
      <c r="AK127" s="333">
        <f t="shared" si="12"/>
        <v>9</v>
      </c>
      <c r="AL127" s="333">
        <f t="shared" si="13"/>
        <v>2021</v>
      </c>
      <c r="AM127" s="333">
        <f t="shared" si="14"/>
        <v>2024</v>
      </c>
      <c r="AN127" s="334">
        <f t="shared" si="15"/>
        <v>2024.75</v>
      </c>
      <c r="AO127" s="335">
        <f t="shared" si="16"/>
        <v>32.584722222222219</v>
      </c>
      <c r="AP127" s="335">
        <f t="shared" si="17"/>
        <v>391.01666666666665</v>
      </c>
      <c r="AQ127" s="332">
        <f t="shared" si="18"/>
        <v>391.01666666666665</v>
      </c>
      <c r="AR127" s="332">
        <f t="shared" si="19"/>
        <v>358.43194444447408</v>
      </c>
      <c r="AS127" s="332">
        <f t="shared" si="20"/>
        <v>749.44861111114074</v>
      </c>
      <c r="AT127" s="332">
        <f t="shared" si="21"/>
        <v>423.60138888885922</v>
      </c>
      <c r="AU127" s="374" t="s">
        <v>59</v>
      </c>
    </row>
    <row r="128" spans="1:47" s="366" customFormat="1" ht="15.75">
      <c r="A128" s="367">
        <v>2112</v>
      </c>
      <c r="B128" s="368">
        <v>260305</v>
      </c>
      <c r="C128" s="367" t="s">
        <v>574</v>
      </c>
      <c r="D128" s="369" t="s">
        <v>1746</v>
      </c>
      <c r="E128" s="367">
        <v>350</v>
      </c>
      <c r="F128" s="369"/>
      <c r="G128" s="369"/>
      <c r="H128" s="369">
        <v>0</v>
      </c>
      <c r="I128" s="369" t="s">
        <v>1335</v>
      </c>
      <c r="J128" s="369"/>
      <c r="K128" s="369" t="s">
        <v>1564</v>
      </c>
      <c r="L128" s="370">
        <v>44455</v>
      </c>
      <c r="M128" s="370">
        <v>44455</v>
      </c>
      <c r="N128" s="369" t="s">
        <v>1745</v>
      </c>
      <c r="O128" s="367">
        <v>700</v>
      </c>
      <c r="P128" s="367">
        <v>14050</v>
      </c>
      <c r="Q128" s="371">
        <v>19249.439999999999</v>
      </c>
      <c r="R128" s="367">
        <v>14056</v>
      </c>
      <c r="S128" s="371">
        <v>5041.5200000000004</v>
      </c>
      <c r="T128" s="371">
        <f t="shared" si="22"/>
        <v>14207.919999999998</v>
      </c>
      <c r="U128" s="372">
        <v>1604.12</v>
      </c>
      <c r="V128" s="367">
        <v>54260</v>
      </c>
      <c r="W128" s="371">
        <v>229.16</v>
      </c>
      <c r="X128" s="369" t="s">
        <v>574</v>
      </c>
      <c r="Y128" s="369"/>
      <c r="Z128" s="369">
        <v>50192894</v>
      </c>
      <c r="AA128" s="369"/>
      <c r="AB128" s="369" t="s">
        <v>571</v>
      </c>
      <c r="AC128" s="369" t="s">
        <v>570</v>
      </c>
      <c r="AD128" s="367" t="s">
        <v>569</v>
      </c>
      <c r="AE128" s="369"/>
      <c r="AF128" s="367" t="s">
        <v>568</v>
      </c>
      <c r="AG128" s="369">
        <v>0</v>
      </c>
      <c r="AH128" s="369">
        <v>0</v>
      </c>
      <c r="AI128" s="517"/>
      <c r="AJ128" s="518" t="s">
        <v>255</v>
      </c>
      <c r="AK128" s="333">
        <f t="shared" si="12"/>
        <v>9</v>
      </c>
      <c r="AL128" s="333">
        <f t="shared" si="13"/>
        <v>2021</v>
      </c>
      <c r="AM128" s="333">
        <f t="shared" si="14"/>
        <v>2028</v>
      </c>
      <c r="AN128" s="334">
        <f t="shared" si="15"/>
        <v>2028.75</v>
      </c>
      <c r="AO128" s="335">
        <f t="shared" si="16"/>
        <v>229.15999999999997</v>
      </c>
      <c r="AP128" s="335">
        <f t="shared" si="17"/>
        <v>2749.9199999999996</v>
      </c>
      <c r="AQ128" s="332">
        <f t="shared" si="18"/>
        <v>2749.9199999999996</v>
      </c>
      <c r="AR128" s="332">
        <f t="shared" si="19"/>
        <v>2520.7600000002094</v>
      </c>
      <c r="AS128" s="332">
        <f t="shared" si="20"/>
        <v>5270.6800000002095</v>
      </c>
      <c r="AT128" s="332">
        <f t="shared" si="21"/>
        <v>13978.759999999789</v>
      </c>
      <c r="AU128" s="374" t="s">
        <v>59</v>
      </c>
    </row>
    <row r="129" spans="1:47" s="366" customFormat="1" ht="15.75">
      <c r="A129" s="367">
        <v>2112</v>
      </c>
      <c r="B129" s="368">
        <v>260003</v>
      </c>
      <c r="C129" s="367" t="s">
        <v>574</v>
      </c>
      <c r="D129" s="369" t="s">
        <v>461</v>
      </c>
      <c r="E129" s="367">
        <v>2</v>
      </c>
      <c r="F129" s="369"/>
      <c r="G129" s="369"/>
      <c r="H129" s="369">
        <v>0</v>
      </c>
      <c r="I129" s="369" t="s">
        <v>1361</v>
      </c>
      <c r="J129" s="369"/>
      <c r="K129" s="369" t="s">
        <v>722</v>
      </c>
      <c r="L129" s="370">
        <v>44421</v>
      </c>
      <c r="M129" s="370">
        <v>44421</v>
      </c>
      <c r="N129" s="369" t="s">
        <v>1744</v>
      </c>
      <c r="O129" s="367">
        <v>1200</v>
      </c>
      <c r="P129" s="367">
        <v>14050</v>
      </c>
      <c r="Q129" s="371">
        <v>20303.5</v>
      </c>
      <c r="R129" s="367">
        <v>14056</v>
      </c>
      <c r="S129" s="371">
        <v>3383.92</v>
      </c>
      <c r="T129" s="371">
        <f t="shared" si="22"/>
        <v>16919.580000000002</v>
      </c>
      <c r="U129" s="372">
        <v>986.98</v>
      </c>
      <c r="V129" s="367">
        <v>54260</v>
      </c>
      <c r="W129" s="371">
        <v>141</v>
      </c>
      <c r="X129" s="369" t="s">
        <v>574</v>
      </c>
      <c r="Y129" s="369"/>
      <c r="Z129" s="369" t="s">
        <v>1743</v>
      </c>
      <c r="AA129" s="369"/>
      <c r="AB129" s="369" t="s">
        <v>571</v>
      </c>
      <c r="AC129" s="369" t="s">
        <v>570</v>
      </c>
      <c r="AD129" s="367" t="s">
        <v>569</v>
      </c>
      <c r="AE129" s="369"/>
      <c r="AF129" s="367" t="s">
        <v>568</v>
      </c>
      <c r="AG129" s="369">
        <v>0</v>
      </c>
      <c r="AH129" s="369">
        <v>0</v>
      </c>
      <c r="AI129" s="517"/>
      <c r="AJ129" s="518" t="s">
        <v>257</v>
      </c>
      <c r="AK129" s="333">
        <f t="shared" si="12"/>
        <v>8</v>
      </c>
      <c r="AL129" s="333">
        <f t="shared" si="13"/>
        <v>2021</v>
      </c>
      <c r="AM129" s="333">
        <f t="shared" si="14"/>
        <v>2033</v>
      </c>
      <c r="AN129" s="334">
        <f t="shared" si="15"/>
        <v>2033.6666666666667</v>
      </c>
      <c r="AO129" s="335">
        <f t="shared" si="16"/>
        <v>140.99652777777777</v>
      </c>
      <c r="AP129" s="335">
        <f t="shared" si="17"/>
        <v>1691.9583333333333</v>
      </c>
      <c r="AQ129" s="332">
        <f t="shared" si="18"/>
        <v>1691.9583333333333</v>
      </c>
      <c r="AR129" s="332">
        <f t="shared" si="19"/>
        <v>1691.9583333333358</v>
      </c>
      <c r="AS129" s="332">
        <f t="shared" si="20"/>
        <v>3383.9166666666688</v>
      </c>
      <c r="AT129" s="332">
        <f t="shared" si="21"/>
        <v>16919.583333333332</v>
      </c>
      <c r="AU129" s="374" t="s">
        <v>59</v>
      </c>
    </row>
    <row r="130" spans="1:47" s="366" customFormat="1" ht="15.75">
      <c r="A130" s="367">
        <v>2112</v>
      </c>
      <c r="B130" s="368">
        <v>260002</v>
      </c>
      <c r="C130" s="367" t="s">
        <v>574</v>
      </c>
      <c r="D130" s="369" t="s">
        <v>462</v>
      </c>
      <c r="E130" s="367">
        <v>2</v>
      </c>
      <c r="F130" s="369"/>
      <c r="G130" s="369"/>
      <c r="H130" s="369">
        <v>0</v>
      </c>
      <c r="I130" s="369" t="s">
        <v>1361</v>
      </c>
      <c r="J130" s="369"/>
      <c r="K130" s="369" t="s">
        <v>575</v>
      </c>
      <c r="L130" s="370">
        <v>44421</v>
      </c>
      <c r="M130" s="370">
        <v>44421</v>
      </c>
      <c r="N130" s="369" t="s">
        <v>1744</v>
      </c>
      <c r="O130" s="367">
        <v>1200</v>
      </c>
      <c r="P130" s="367">
        <v>14050</v>
      </c>
      <c r="Q130" s="371">
        <v>18575.5</v>
      </c>
      <c r="R130" s="367">
        <v>14056</v>
      </c>
      <c r="S130" s="371">
        <v>3095.92</v>
      </c>
      <c r="T130" s="371">
        <f t="shared" si="22"/>
        <v>15479.58</v>
      </c>
      <c r="U130" s="372">
        <v>902.98</v>
      </c>
      <c r="V130" s="367">
        <v>54260</v>
      </c>
      <c r="W130" s="371">
        <v>129</v>
      </c>
      <c r="X130" s="369" t="s">
        <v>574</v>
      </c>
      <c r="Y130" s="369"/>
      <c r="Z130" s="369" t="s">
        <v>1743</v>
      </c>
      <c r="AA130" s="369"/>
      <c r="AB130" s="369" t="s">
        <v>571</v>
      </c>
      <c r="AC130" s="369" t="s">
        <v>570</v>
      </c>
      <c r="AD130" s="367" t="s">
        <v>569</v>
      </c>
      <c r="AE130" s="369"/>
      <c r="AF130" s="367" t="s">
        <v>568</v>
      </c>
      <c r="AG130" s="369">
        <v>0</v>
      </c>
      <c r="AH130" s="369">
        <v>0</v>
      </c>
      <c r="AI130" s="517"/>
      <c r="AJ130" s="518" t="s">
        <v>257</v>
      </c>
      <c r="AK130" s="333">
        <f t="shared" si="12"/>
        <v>8</v>
      </c>
      <c r="AL130" s="333">
        <f t="shared" si="13"/>
        <v>2021</v>
      </c>
      <c r="AM130" s="333">
        <f t="shared" si="14"/>
        <v>2033</v>
      </c>
      <c r="AN130" s="334">
        <f t="shared" si="15"/>
        <v>2033.6666666666667</v>
      </c>
      <c r="AO130" s="335">
        <f t="shared" si="16"/>
        <v>128.99652777777777</v>
      </c>
      <c r="AP130" s="335">
        <f t="shared" si="17"/>
        <v>1547.9583333333333</v>
      </c>
      <c r="AQ130" s="332">
        <f t="shared" si="18"/>
        <v>1547.9583333333333</v>
      </c>
      <c r="AR130" s="332">
        <f t="shared" si="19"/>
        <v>1547.9583333333358</v>
      </c>
      <c r="AS130" s="332">
        <f t="shared" si="20"/>
        <v>3095.9166666666688</v>
      </c>
      <c r="AT130" s="332">
        <f t="shared" si="21"/>
        <v>15479.583333333332</v>
      </c>
      <c r="AU130" s="374" t="s">
        <v>59</v>
      </c>
    </row>
    <row r="131" spans="1:47" s="366" customFormat="1" ht="15.75">
      <c r="A131" s="367">
        <v>2112</v>
      </c>
      <c r="B131" s="368">
        <v>259022</v>
      </c>
      <c r="C131" s="367" t="s">
        <v>574</v>
      </c>
      <c r="D131" s="369" t="s">
        <v>1742</v>
      </c>
      <c r="E131" s="367">
        <v>480</v>
      </c>
      <c r="F131" s="369"/>
      <c r="G131" s="369"/>
      <c r="H131" s="369">
        <v>0</v>
      </c>
      <c r="I131" s="369" t="s">
        <v>886</v>
      </c>
      <c r="J131" s="369"/>
      <c r="K131" s="369" t="s">
        <v>1564</v>
      </c>
      <c r="L131" s="370">
        <v>44382</v>
      </c>
      <c r="M131" s="370">
        <v>44382</v>
      </c>
      <c r="N131" s="369" t="s">
        <v>1741</v>
      </c>
      <c r="O131" s="367">
        <v>500</v>
      </c>
      <c r="P131" s="367">
        <v>14050</v>
      </c>
      <c r="Q131" s="371">
        <v>4921.5600000000004</v>
      </c>
      <c r="R131" s="367">
        <v>14056</v>
      </c>
      <c r="S131" s="371">
        <v>2050.65</v>
      </c>
      <c r="T131" s="371">
        <f t="shared" si="22"/>
        <v>2870.9100000000003</v>
      </c>
      <c r="U131" s="372">
        <v>574.17999999999995</v>
      </c>
      <c r="V131" s="367">
        <v>54260</v>
      </c>
      <c r="W131" s="371">
        <v>82.02</v>
      </c>
      <c r="X131" s="369" t="s">
        <v>574</v>
      </c>
      <c r="Y131" s="369"/>
      <c r="Z131" s="369">
        <v>32525</v>
      </c>
      <c r="AA131" s="369"/>
      <c r="AB131" s="369" t="s">
        <v>571</v>
      </c>
      <c r="AC131" s="369" t="s">
        <v>570</v>
      </c>
      <c r="AD131" s="367" t="s">
        <v>569</v>
      </c>
      <c r="AE131" s="369"/>
      <c r="AF131" s="367" t="s">
        <v>568</v>
      </c>
      <c r="AG131" s="369">
        <v>0</v>
      </c>
      <c r="AH131" s="369">
        <v>0</v>
      </c>
      <c r="AI131" s="517"/>
      <c r="AJ131" s="518" t="s">
        <v>1894</v>
      </c>
      <c r="AK131" s="333">
        <f t="shared" si="12"/>
        <v>7</v>
      </c>
      <c r="AL131" s="333">
        <f t="shared" si="13"/>
        <v>2021</v>
      </c>
      <c r="AM131" s="333">
        <f t="shared" si="14"/>
        <v>2026</v>
      </c>
      <c r="AN131" s="334">
        <f t="shared" si="15"/>
        <v>2026.5833333333333</v>
      </c>
      <c r="AO131" s="335">
        <f t="shared" si="16"/>
        <v>82.02600000000001</v>
      </c>
      <c r="AP131" s="335">
        <f t="shared" si="17"/>
        <v>984.31200000000013</v>
      </c>
      <c r="AQ131" s="332">
        <f t="shared" si="18"/>
        <v>984.31200000000013</v>
      </c>
      <c r="AR131" s="332">
        <f t="shared" si="19"/>
        <v>1066.3380000001489</v>
      </c>
      <c r="AS131" s="332">
        <f t="shared" si="20"/>
        <v>2050.6500000001488</v>
      </c>
      <c r="AT131" s="332">
        <f t="shared" si="21"/>
        <v>2870.9099999998516</v>
      </c>
      <c r="AU131" s="374" t="s">
        <v>59</v>
      </c>
    </row>
    <row r="132" spans="1:47" s="366" customFormat="1" ht="15.75">
      <c r="A132" s="367">
        <v>2112</v>
      </c>
      <c r="B132" s="368">
        <v>254783</v>
      </c>
      <c r="C132" s="367" t="s">
        <v>574</v>
      </c>
      <c r="D132" s="369" t="s">
        <v>2125</v>
      </c>
      <c r="E132" s="367"/>
      <c r="F132" s="369" t="s">
        <v>1740</v>
      </c>
      <c r="G132" s="369" t="s">
        <v>2124</v>
      </c>
      <c r="H132" s="369">
        <v>2000</v>
      </c>
      <c r="I132" s="369" t="s">
        <v>2123</v>
      </c>
      <c r="J132" s="369" t="s">
        <v>1723</v>
      </c>
      <c r="K132" s="369" t="s">
        <v>1906</v>
      </c>
      <c r="L132" s="370">
        <v>44358</v>
      </c>
      <c r="M132" s="370">
        <v>44358</v>
      </c>
      <c r="N132" s="369" t="s">
        <v>1739</v>
      </c>
      <c r="O132" s="367">
        <v>300</v>
      </c>
      <c r="P132" s="367">
        <v>14040</v>
      </c>
      <c r="Q132" s="371">
        <v>19782</v>
      </c>
      <c r="R132" s="367">
        <v>14046</v>
      </c>
      <c r="S132" s="371">
        <v>14287</v>
      </c>
      <c r="T132" s="371">
        <f t="shared" si="22"/>
        <v>5495</v>
      </c>
      <c r="U132" s="372">
        <v>3846.5</v>
      </c>
      <c r="V132" s="367">
        <v>51260</v>
      </c>
      <c r="W132" s="371">
        <v>549.5</v>
      </c>
      <c r="X132" s="369" t="s">
        <v>574</v>
      </c>
      <c r="Y132" s="369"/>
      <c r="Z132" s="369" t="s">
        <v>1721</v>
      </c>
      <c r="AA132" s="369" t="s">
        <v>2122</v>
      </c>
      <c r="AB132" s="369" t="s">
        <v>571</v>
      </c>
      <c r="AC132" s="369" t="s">
        <v>570</v>
      </c>
      <c r="AD132" s="367" t="s">
        <v>569</v>
      </c>
      <c r="AE132" s="369"/>
      <c r="AF132" s="367" t="s">
        <v>568</v>
      </c>
      <c r="AG132" s="369">
        <v>0</v>
      </c>
      <c r="AH132" s="369">
        <v>0</v>
      </c>
      <c r="AI132" s="517" t="s">
        <v>2122</v>
      </c>
      <c r="AJ132" s="518" t="s">
        <v>1882</v>
      </c>
      <c r="AK132" s="333">
        <f t="shared" si="12"/>
        <v>6</v>
      </c>
      <c r="AL132" s="333">
        <f t="shared" si="13"/>
        <v>2021</v>
      </c>
      <c r="AM132" s="333">
        <f t="shared" si="14"/>
        <v>2024</v>
      </c>
      <c r="AN132" s="334">
        <f t="shared" si="15"/>
        <v>2024.5</v>
      </c>
      <c r="AO132" s="335">
        <f t="shared" si="16"/>
        <v>549.5</v>
      </c>
      <c r="AP132" s="335">
        <f t="shared" si="17"/>
        <v>6594</v>
      </c>
      <c r="AQ132" s="332">
        <f t="shared" si="18"/>
        <v>6594</v>
      </c>
      <c r="AR132" s="332">
        <f t="shared" si="19"/>
        <v>7693.0000000005002</v>
      </c>
      <c r="AS132" s="332">
        <f t="shared" si="20"/>
        <v>14287.0000000005</v>
      </c>
      <c r="AT132" s="332">
        <f t="shared" si="21"/>
        <v>5494.9999999994998</v>
      </c>
      <c r="AU132" s="374" t="s">
        <v>59</v>
      </c>
    </row>
    <row r="133" spans="1:47" s="366" customFormat="1" ht="15.75">
      <c r="A133" s="367">
        <v>2112</v>
      </c>
      <c r="B133" s="368">
        <v>254782</v>
      </c>
      <c r="C133" s="367" t="s">
        <v>574</v>
      </c>
      <c r="D133" s="369" t="s">
        <v>2125</v>
      </c>
      <c r="E133" s="367"/>
      <c r="F133" s="369" t="s">
        <v>1738</v>
      </c>
      <c r="G133" s="369" t="s">
        <v>2127</v>
      </c>
      <c r="H133" s="369">
        <v>2000</v>
      </c>
      <c r="I133" s="369" t="s">
        <v>2123</v>
      </c>
      <c r="J133" s="369" t="s">
        <v>1723</v>
      </c>
      <c r="K133" s="369" t="s">
        <v>1906</v>
      </c>
      <c r="L133" s="370">
        <v>44358</v>
      </c>
      <c r="M133" s="370">
        <v>44358</v>
      </c>
      <c r="N133" s="369" t="s">
        <v>1737</v>
      </c>
      <c r="O133" s="367">
        <v>300</v>
      </c>
      <c r="P133" s="367">
        <v>14040</v>
      </c>
      <c r="Q133" s="371">
        <v>19782</v>
      </c>
      <c r="R133" s="367">
        <v>14046</v>
      </c>
      <c r="S133" s="371">
        <v>14287</v>
      </c>
      <c r="T133" s="371">
        <f t="shared" si="22"/>
        <v>5495</v>
      </c>
      <c r="U133" s="372">
        <v>3846.5</v>
      </c>
      <c r="V133" s="367">
        <v>51260</v>
      </c>
      <c r="W133" s="371">
        <v>549.5</v>
      </c>
      <c r="X133" s="369" t="s">
        <v>574</v>
      </c>
      <c r="Y133" s="369"/>
      <c r="Z133" s="369" t="s">
        <v>1721</v>
      </c>
      <c r="AA133" s="369" t="s">
        <v>2126</v>
      </c>
      <c r="AB133" s="369" t="s">
        <v>571</v>
      </c>
      <c r="AC133" s="369" t="s">
        <v>570</v>
      </c>
      <c r="AD133" s="367" t="s">
        <v>569</v>
      </c>
      <c r="AE133" s="369"/>
      <c r="AF133" s="367" t="s">
        <v>568</v>
      </c>
      <c r="AG133" s="369">
        <v>0</v>
      </c>
      <c r="AH133" s="369">
        <v>0</v>
      </c>
      <c r="AI133" s="517" t="s">
        <v>2126</v>
      </c>
      <c r="AJ133" s="518" t="s">
        <v>1882</v>
      </c>
      <c r="AK133" s="333">
        <f t="shared" si="12"/>
        <v>6</v>
      </c>
      <c r="AL133" s="333">
        <f t="shared" si="13"/>
        <v>2021</v>
      </c>
      <c r="AM133" s="333">
        <f t="shared" si="14"/>
        <v>2024</v>
      </c>
      <c r="AN133" s="334">
        <f t="shared" si="15"/>
        <v>2024.5</v>
      </c>
      <c r="AO133" s="335">
        <f t="shared" si="16"/>
        <v>549.5</v>
      </c>
      <c r="AP133" s="335">
        <f t="shared" si="17"/>
        <v>6594</v>
      </c>
      <c r="AQ133" s="332">
        <f t="shared" si="18"/>
        <v>6594</v>
      </c>
      <c r="AR133" s="332">
        <f t="shared" si="19"/>
        <v>7693.0000000005002</v>
      </c>
      <c r="AS133" s="332">
        <f t="shared" si="20"/>
        <v>14287.0000000005</v>
      </c>
      <c r="AT133" s="332">
        <f t="shared" si="21"/>
        <v>5494.9999999994998</v>
      </c>
      <c r="AU133" s="374" t="s">
        <v>59</v>
      </c>
    </row>
    <row r="134" spans="1:47" s="366" customFormat="1" ht="15.75">
      <c r="A134" s="367">
        <v>2112</v>
      </c>
      <c r="B134" s="368">
        <v>254781</v>
      </c>
      <c r="C134" s="367" t="s">
        <v>574</v>
      </c>
      <c r="D134" s="369" t="s">
        <v>2125</v>
      </c>
      <c r="E134" s="367"/>
      <c r="F134" s="369" t="s">
        <v>1736</v>
      </c>
      <c r="G134" s="369" t="s">
        <v>2129</v>
      </c>
      <c r="H134" s="369">
        <v>2000</v>
      </c>
      <c r="I134" s="369" t="s">
        <v>2123</v>
      </c>
      <c r="J134" s="369" t="s">
        <v>1723</v>
      </c>
      <c r="K134" s="369" t="s">
        <v>1906</v>
      </c>
      <c r="L134" s="370">
        <v>44358</v>
      </c>
      <c r="M134" s="370">
        <v>44358</v>
      </c>
      <c r="N134" s="369" t="s">
        <v>1735</v>
      </c>
      <c r="O134" s="367">
        <v>300</v>
      </c>
      <c r="P134" s="367">
        <v>14040</v>
      </c>
      <c r="Q134" s="371">
        <v>19782</v>
      </c>
      <c r="R134" s="367">
        <v>14046</v>
      </c>
      <c r="S134" s="371">
        <v>14287</v>
      </c>
      <c r="T134" s="371">
        <f t="shared" si="22"/>
        <v>5495</v>
      </c>
      <c r="U134" s="372">
        <v>3846.5</v>
      </c>
      <c r="V134" s="367">
        <v>51260</v>
      </c>
      <c r="W134" s="371">
        <v>549.5</v>
      </c>
      <c r="X134" s="369" t="s">
        <v>574</v>
      </c>
      <c r="Y134" s="369"/>
      <c r="Z134" s="369" t="s">
        <v>1721</v>
      </c>
      <c r="AA134" s="369" t="s">
        <v>2128</v>
      </c>
      <c r="AB134" s="369" t="s">
        <v>571</v>
      </c>
      <c r="AC134" s="369" t="s">
        <v>570</v>
      </c>
      <c r="AD134" s="367" t="s">
        <v>569</v>
      </c>
      <c r="AE134" s="369"/>
      <c r="AF134" s="367" t="s">
        <v>568</v>
      </c>
      <c r="AG134" s="369">
        <v>0</v>
      </c>
      <c r="AH134" s="369">
        <v>0</v>
      </c>
      <c r="AI134" s="517" t="s">
        <v>2128</v>
      </c>
      <c r="AJ134" s="518" t="s">
        <v>1882</v>
      </c>
      <c r="AK134" s="333">
        <f t="shared" si="12"/>
        <v>6</v>
      </c>
      <c r="AL134" s="333">
        <f t="shared" si="13"/>
        <v>2021</v>
      </c>
      <c r="AM134" s="333">
        <f t="shared" si="14"/>
        <v>2024</v>
      </c>
      <c r="AN134" s="334">
        <f t="shared" si="15"/>
        <v>2024.5</v>
      </c>
      <c r="AO134" s="335">
        <f t="shared" si="16"/>
        <v>549.5</v>
      </c>
      <c r="AP134" s="335">
        <f t="shared" si="17"/>
        <v>6594</v>
      </c>
      <c r="AQ134" s="332">
        <f t="shared" si="18"/>
        <v>6594</v>
      </c>
      <c r="AR134" s="332">
        <f t="shared" si="19"/>
        <v>7693.0000000005002</v>
      </c>
      <c r="AS134" s="332">
        <f t="shared" si="20"/>
        <v>14287.0000000005</v>
      </c>
      <c r="AT134" s="332">
        <f t="shared" si="21"/>
        <v>5494.9999999994998</v>
      </c>
      <c r="AU134" s="374" t="s">
        <v>59</v>
      </c>
    </row>
    <row r="135" spans="1:47" s="366" customFormat="1" ht="15.75">
      <c r="A135" s="367">
        <v>2112</v>
      </c>
      <c r="B135" s="368">
        <v>254780</v>
      </c>
      <c r="C135" s="367" t="s">
        <v>574</v>
      </c>
      <c r="D135" s="369" t="s">
        <v>2125</v>
      </c>
      <c r="E135" s="367"/>
      <c r="F135" s="369" t="s">
        <v>1734</v>
      </c>
      <c r="G135" s="369" t="s">
        <v>2131</v>
      </c>
      <c r="H135" s="369">
        <v>2000</v>
      </c>
      <c r="I135" s="369" t="s">
        <v>2123</v>
      </c>
      <c r="J135" s="369" t="s">
        <v>1723</v>
      </c>
      <c r="K135" s="369" t="s">
        <v>1906</v>
      </c>
      <c r="L135" s="370">
        <v>44358</v>
      </c>
      <c r="M135" s="370">
        <v>44358</v>
      </c>
      <c r="N135" s="369" t="s">
        <v>1733</v>
      </c>
      <c r="O135" s="367">
        <v>300</v>
      </c>
      <c r="P135" s="367">
        <v>14040</v>
      </c>
      <c r="Q135" s="371">
        <v>19782</v>
      </c>
      <c r="R135" s="367">
        <v>14046</v>
      </c>
      <c r="S135" s="371">
        <v>14287</v>
      </c>
      <c r="T135" s="371">
        <f t="shared" si="22"/>
        <v>5495</v>
      </c>
      <c r="U135" s="372">
        <v>3846.5</v>
      </c>
      <c r="V135" s="367">
        <v>51260</v>
      </c>
      <c r="W135" s="371">
        <v>549.5</v>
      </c>
      <c r="X135" s="369" t="s">
        <v>574</v>
      </c>
      <c r="Y135" s="369"/>
      <c r="Z135" s="369" t="s">
        <v>1721</v>
      </c>
      <c r="AA135" s="369" t="s">
        <v>2130</v>
      </c>
      <c r="AB135" s="369" t="s">
        <v>571</v>
      </c>
      <c r="AC135" s="369" t="s">
        <v>570</v>
      </c>
      <c r="AD135" s="367" t="s">
        <v>569</v>
      </c>
      <c r="AE135" s="369"/>
      <c r="AF135" s="367" t="s">
        <v>568</v>
      </c>
      <c r="AG135" s="369">
        <v>0</v>
      </c>
      <c r="AH135" s="369">
        <v>0</v>
      </c>
      <c r="AI135" s="517" t="s">
        <v>2130</v>
      </c>
      <c r="AJ135" s="518" t="s">
        <v>1882</v>
      </c>
      <c r="AK135" s="333">
        <f t="shared" si="12"/>
        <v>6</v>
      </c>
      <c r="AL135" s="333">
        <f t="shared" si="13"/>
        <v>2021</v>
      </c>
      <c r="AM135" s="333">
        <f t="shared" si="14"/>
        <v>2024</v>
      </c>
      <c r="AN135" s="334">
        <f t="shared" si="15"/>
        <v>2024.5</v>
      </c>
      <c r="AO135" s="335">
        <f t="shared" si="16"/>
        <v>549.5</v>
      </c>
      <c r="AP135" s="335">
        <f t="shared" si="17"/>
        <v>6594</v>
      </c>
      <c r="AQ135" s="332">
        <f t="shared" si="18"/>
        <v>6594</v>
      </c>
      <c r="AR135" s="332">
        <f t="shared" si="19"/>
        <v>7693.0000000005002</v>
      </c>
      <c r="AS135" s="332">
        <f t="shared" si="20"/>
        <v>14287.0000000005</v>
      </c>
      <c r="AT135" s="332">
        <f t="shared" si="21"/>
        <v>5494.9999999994998</v>
      </c>
      <c r="AU135" s="374" t="s">
        <v>59</v>
      </c>
    </row>
    <row r="136" spans="1:47" s="366" customFormat="1" ht="15.75">
      <c r="A136" s="367">
        <v>2112</v>
      </c>
      <c r="B136" s="368">
        <v>254779</v>
      </c>
      <c r="C136" s="367" t="s">
        <v>574</v>
      </c>
      <c r="D136" s="369" t="s">
        <v>2135</v>
      </c>
      <c r="E136" s="367"/>
      <c r="F136" s="369" t="s">
        <v>1732</v>
      </c>
      <c r="G136" s="369" t="s">
        <v>2134</v>
      </c>
      <c r="H136" s="369">
        <v>2008</v>
      </c>
      <c r="I136" s="369" t="s">
        <v>2133</v>
      </c>
      <c r="J136" s="369" t="s">
        <v>1723</v>
      </c>
      <c r="K136" s="369" t="s">
        <v>1906</v>
      </c>
      <c r="L136" s="370">
        <v>44358</v>
      </c>
      <c r="M136" s="370">
        <v>44358</v>
      </c>
      <c r="N136" s="369" t="s">
        <v>1731</v>
      </c>
      <c r="O136" s="367">
        <v>300</v>
      </c>
      <c r="P136" s="367">
        <v>14040</v>
      </c>
      <c r="Q136" s="371">
        <v>19782</v>
      </c>
      <c r="R136" s="367">
        <v>14046</v>
      </c>
      <c r="S136" s="371">
        <v>14287</v>
      </c>
      <c r="T136" s="371">
        <f t="shared" si="22"/>
        <v>5495</v>
      </c>
      <c r="U136" s="372">
        <v>3846.5</v>
      </c>
      <c r="V136" s="367">
        <v>51260</v>
      </c>
      <c r="W136" s="371">
        <v>549.5</v>
      </c>
      <c r="X136" s="369" t="s">
        <v>574</v>
      </c>
      <c r="Y136" s="369"/>
      <c r="Z136" s="369" t="s">
        <v>1721</v>
      </c>
      <c r="AA136" s="369" t="s">
        <v>2132</v>
      </c>
      <c r="AB136" s="369" t="s">
        <v>571</v>
      </c>
      <c r="AC136" s="369" t="s">
        <v>570</v>
      </c>
      <c r="AD136" s="367" t="s">
        <v>569</v>
      </c>
      <c r="AE136" s="369"/>
      <c r="AF136" s="367" t="s">
        <v>568</v>
      </c>
      <c r="AG136" s="369">
        <v>0</v>
      </c>
      <c r="AH136" s="369">
        <v>0</v>
      </c>
      <c r="AI136" s="517" t="s">
        <v>2132</v>
      </c>
      <c r="AJ136" s="518" t="s">
        <v>1882</v>
      </c>
      <c r="AK136" s="333">
        <f t="shared" si="12"/>
        <v>6</v>
      </c>
      <c r="AL136" s="333">
        <f t="shared" si="13"/>
        <v>2021</v>
      </c>
      <c r="AM136" s="333">
        <f t="shared" si="14"/>
        <v>2024</v>
      </c>
      <c r="AN136" s="334">
        <f t="shared" si="15"/>
        <v>2024.5</v>
      </c>
      <c r="AO136" s="335">
        <f t="shared" si="16"/>
        <v>549.5</v>
      </c>
      <c r="AP136" s="335">
        <f t="shared" si="17"/>
        <v>6594</v>
      </c>
      <c r="AQ136" s="332">
        <f t="shared" si="18"/>
        <v>6594</v>
      </c>
      <c r="AR136" s="332">
        <f t="shared" si="19"/>
        <v>7693.0000000005002</v>
      </c>
      <c r="AS136" s="332">
        <f t="shared" si="20"/>
        <v>14287.0000000005</v>
      </c>
      <c r="AT136" s="332">
        <f t="shared" si="21"/>
        <v>5494.9999999994998</v>
      </c>
      <c r="AU136" s="374" t="s">
        <v>59</v>
      </c>
    </row>
    <row r="137" spans="1:47" s="366" customFormat="1" ht="15.75">
      <c r="A137" s="367">
        <v>2112</v>
      </c>
      <c r="B137" s="368">
        <v>254778</v>
      </c>
      <c r="C137" s="367" t="s">
        <v>574</v>
      </c>
      <c r="D137" s="369" t="s">
        <v>1728</v>
      </c>
      <c r="E137" s="367"/>
      <c r="F137" s="369" t="s">
        <v>1730</v>
      </c>
      <c r="G137" s="369"/>
      <c r="H137" s="369">
        <v>1996</v>
      </c>
      <c r="I137" s="369" t="s">
        <v>1723</v>
      </c>
      <c r="J137" s="369" t="s">
        <v>1723</v>
      </c>
      <c r="K137" s="369" t="s">
        <v>1906</v>
      </c>
      <c r="L137" s="370">
        <v>44358</v>
      </c>
      <c r="M137" s="370">
        <v>44358</v>
      </c>
      <c r="N137" s="369" t="s">
        <v>1729</v>
      </c>
      <c r="O137" s="367">
        <v>300</v>
      </c>
      <c r="P137" s="367">
        <v>14040</v>
      </c>
      <c r="Q137" s="371">
        <v>19782</v>
      </c>
      <c r="R137" s="367">
        <v>14046</v>
      </c>
      <c r="S137" s="371">
        <v>14287</v>
      </c>
      <c r="T137" s="371">
        <f t="shared" si="22"/>
        <v>5495</v>
      </c>
      <c r="U137" s="372">
        <v>3846.5</v>
      </c>
      <c r="V137" s="367">
        <v>51260</v>
      </c>
      <c r="W137" s="371">
        <v>549.5</v>
      </c>
      <c r="X137" s="369" t="s">
        <v>574</v>
      </c>
      <c r="Y137" s="369"/>
      <c r="Z137" s="369" t="s">
        <v>1721</v>
      </c>
      <c r="AA137" s="369" t="s">
        <v>2136</v>
      </c>
      <c r="AB137" s="369" t="s">
        <v>571</v>
      </c>
      <c r="AC137" s="369" t="s">
        <v>570</v>
      </c>
      <c r="AD137" s="367" t="s">
        <v>569</v>
      </c>
      <c r="AE137" s="369"/>
      <c r="AF137" s="367" t="s">
        <v>568</v>
      </c>
      <c r="AG137" s="369">
        <v>0</v>
      </c>
      <c r="AH137" s="369">
        <v>0</v>
      </c>
      <c r="AI137" s="517" t="s">
        <v>2136</v>
      </c>
      <c r="AJ137" s="518" t="s">
        <v>1882</v>
      </c>
      <c r="AK137" s="333">
        <f t="shared" si="12"/>
        <v>6</v>
      </c>
      <c r="AL137" s="333">
        <f t="shared" si="13"/>
        <v>2021</v>
      </c>
      <c r="AM137" s="333">
        <f t="shared" si="14"/>
        <v>2024</v>
      </c>
      <c r="AN137" s="334">
        <f t="shared" si="15"/>
        <v>2024.5</v>
      </c>
      <c r="AO137" s="335">
        <f t="shared" si="16"/>
        <v>549.5</v>
      </c>
      <c r="AP137" s="335">
        <f t="shared" si="17"/>
        <v>6594</v>
      </c>
      <c r="AQ137" s="332">
        <f t="shared" si="18"/>
        <v>6594</v>
      </c>
      <c r="AR137" s="332">
        <f t="shared" si="19"/>
        <v>7693.0000000005002</v>
      </c>
      <c r="AS137" s="332">
        <f t="shared" si="20"/>
        <v>14287.0000000005</v>
      </c>
      <c r="AT137" s="332">
        <f t="shared" si="21"/>
        <v>5494.9999999994998</v>
      </c>
      <c r="AU137" s="374" t="s">
        <v>59</v>
      </c>
    </row>
    <row r="138" spans="1:47" s="366" customFormat="1" ht="15.75">
      <c r="A138" s="367">
        <v>2112</v>
      </c>
      <c r="B138" s="368">
        <v>254777</v>
      </c>
      <c r="C138" s="367" t="s">
        <v>574</v>
      </c>
      <c r="D138" s="369" t="s">
        <v>1728</v>
      </c>
      <c r="E138" s="367"/>
      <c r="F138" s="369" t="s">
        <v>1727</v>
      </c>
      <c r="G138" s="369"/>
      <c r="H138" s="369">
        <v>1996</v>
      </c>
      <c r="I138" s="369" t="s">
        <v>1723</v>
      </c>
      <c r="J138" s="369" t="s">
        <v>1723</v>
      </c>
      <c r="K138" s="369" t="s">
        <v>1906</v>
      </c>
      <c r="L138" s="370">
        <v>44358</v>
      </c>
      <c r="M138" s="370">
        <v>44358</v>
      </c>
      <c r="N138" s="369" t="s">
        <v>1726</v>
      </c>
      <c r="O138" s="367">
        <v>300</v>
      </c>
      <c r="P138" s="367">
        <v>14040</v>
      </c>
      <c r="Q138" s="371">
        <v>19782</v>
      </c>
      <c r="R138" s="367">
        <v>14046</v>
      </c>
      <c r="S138" s="371">
        <v>14287</v>
      </c>
      <c r="T138" s="371">
        <f t="shared" si="22"/>
        <v>5495</v>
      </c>
      <c r="U138" s="372">
        <v>3846.5</v>
      </c>
      <c r="V138" s="367">
        <v>51260</v>
      </c>
      <c r="W138" s="371">
        <v>549.5</v>
      </c>
      <c r="X138" s="369" t="s">
        <v>574</v>
      </c>
      <c r="Y138" s="369"/>
      <c r="Z138" s="369" t="s">
        <v>1721</v>
      </c>
      <c r="AA138" s="369" t="s">
        <v>2137</v>
      </c>
      <c r="AB138" s="369" t="s">
        <v>571</v>
      </c>
      <c r="AC138" s="369" t="s">
        <v>570</v>
      </c>
      <c r="AD138" s="367" t="s">
        <v>569</v>
      </c>
      <c r="AE138" s="369"/>
      <c r="AF138" s="367" t="s">
        <v>568</v>
      </c>
      <c r="AG138" s="369">
        <v>0</v>
      </c>
      <c r="AH138" s="369">
        <v>0</v>
      </c>
      <c r="AI138" s="517" t="s">
        <v>2137</v>
      </c>
      <c r="AJ138" s="518" t="s">
        <v>1882</v>
      </c>
      <c r="AK138" s="333">
        <f t="shared" si="12"/>
        <v>6</v>
      </c>
      <c r="AL138" s="333">
        <f t="shared" si="13"/>
        <v>2021</v>
      </c>
      <c r="AM138" s="333">
        <f t="shared" si="14"/>
        <v>2024</v>
      </c>
      <c r="AN138" s="334">
        <f t="shared" si="15"/>
        <v>2024.5</v>
      </c>
      <c r="AO138" s="335">
        <f t="shared" si="16"/>
        <v>549.5</v>
      </c>
      <c r="AP138" s="335">
        <f t="shared" si="17"/>
        <v>6594</v>
      </c>
      <c r="AQ138" s="332">
        <f t="shared" si="18"/>
        <v>6594</v>
      </c>
      <c r="AR138" s="332">
        <f t="shared" si="19"/>
        <v>7693.0000000005002</v>
      </c>
      <c r="AS138" s="332">
        <f t="shared" si="20"/>
        <v>14287.0000000005</v>
      </c>
      <c r="AT138" s="332">
        <f t="shared" si="21"/>
        <v>5494.9999999994998</v>
      </c>
      <c r="AU138" s="374" t="s">
        <v>59</v>
      </c>
    </row>
    <row r="139" spans="1:47" s="366" customFormat="1" ht="15.75">
      <c r="A139" s="367">
        <v>2112</v>
      </c>
      <c r="B139" s="368">
        <v>254776</v>
      </c>
      <c r="C139" s="367" t="s">
        <v>574</v>
      </c>
      <c r="D139" s="369" t="s">
        <v>1725</v>
      </c>
      <c r="E139" s="367"/>
      <c r="F139" s="369" t="s">
        <v>1724</v>
      </c>
      <c r="G139" s="369"/>
      <c r="H139" s="369">
        <v>1995</v>
      </c>
      <c r="I139" s="369" t="s">
        <v>1723</v>
      </c>
      <c r="J139" s="369" t="s">
        <v>1723</v>
      </c>
      <c r="K139" s="369" t="s">
        <v>1906</v>
      </c>
      <c r="L139" s="370">
        <v>44358</v>
      </c>
      <c r="M139" s="370">
        <v>44358</v>
      </c>
      <c r="N139" s="369" t="s">
        <v>1722</v>
      </c>
      <c r="O139" s="367">
        <v>300</v>
      </c>
      <c r="P139" s="367">
        <v>14040</v>
      </c>
      <c r="Q139" s="371">
        <v>19782</v>
      </c>
      <c r="R139" s="367">
        <v>14046</v>
      </c>
      <c r="S139" s="371">
        <v>14287</v>
      </c>
      <c r="T139" s="371">
        <f t="shared" si="22"/>
        <v>5495</v>
      </c>
      <c r="U139" s="372">
        <v>3846.5</v>
      </c>
      <c r="V139" s="367">
        <v>51260</v>
      </c>
      <c r="W139" s="371">
        <v>549.5</v>
      </c>
      <c r="X139" s="369" t="s">
        <v>574</v>
      </c>
      <c r="Y139" s="369"/>
      <c r="Z139" s="369" t="s">
        <v>1721</v>
      </c>
      <c r="AA139" s="369" t="s">
        <v>2138</v>
      </c>
      <c r="AB139" s="369" t="s">
        <v>571</v>
      </c>
      <c r="AC139" s="369" t="s">
        <v>570</v>
      </c>
      <c r="AD139" s="367" t="s">
        <v>569</v>
      </c>
      <c r="AE139" s="369"/>
      <c r="AF139" s="367" t="s">
        <v>568</v>
      </c>
      <c r="AG139" s="369">
        <v>0</v>
      </c>
      <c r="AH139" s="369">
        <v>0</v>
      </c>
      <c r="AI139" s="517" t="s">
        <v>2138</v>
      </c>
      <c r="AJ139" s="518" t="s">
        <v>1882</v>
      </c>
      <c r="AK139" s="333">
        <f t="shared" si="12"/>
        <v>6</v>
      </c>
      <c r="AL139" s="333">
        <f t="shared" si="13"/>
        <v>2021</v>
      </c>
      <c r="AM139" s="333">
        <f t="shared" si="14"/>
        <v>2024</v>
      </c>
      <c r="AN139" s="334">
        <f t="shared" si="15"/>
        <v>2024.5</v>
      </c>
      <c r="AO139" s="335">
        <f t="shared" si="16"/>
        <v>549.5</v>
      </c>
      <c r="AP139" s="335">
        <f t="shared" si="17"/>
        <v>6594</v>
      </c>
      <c r="AQ139" s="332">
        <f t="shared" si="18"/>
        <v>6594</v>
      </c>
      <c r="AR139" s="332">
        <f t="shared" si="19"/>
        <v>7693.0000000005002</v>
      </c>
      <c r="AS139" s="332">
        <f t="shared" si="20"/>
        <v>14287.0000000005</v>
      </c>
      <c r="AT139" s="332">
        <f t="shared" si="21"/>
        <v>5494.9999999994998</v>
      </c>
      <c r="AU139" s="374" t="s">
        <v>59</v>
      </c>
    </row>
    <row r="140" spans="1:47" s="366" customFormat="1" ht="15.75">
      <c r="A140" s="367">
        <v>2112</v>
      </c>
      <c r="B140" s="368">
        <v>254484</v>
      </c>
      <c r="C140" s="367">
        <v>254483</v>
      </c>
      <c r="D140" s="369" t="s">
        <v>1720</v>
      </c>
      <c r="E140" s="367">
        <v>1</v>
      </c>
      <c r="F140" s="369"/>
      <c r="G140" s="369"/>
      <c r="H140" s="369">
        <v>0</v>
      </c>
      <c r="I140" s="369" t="s">
        <v>831</v>
      </c>
      <c r="J140" s="369"/>
      <c r="K140" s="369"/>
      <c r="L140" s="370">
        <v>44354</v>
      </c>
      <c r="M140" s="370">
        <v>44354</v>
      </c>
      <c r="N140" s="369" t="s">
        <v>1717</v>
      </c>
      <c r="O140" s="367">
        <v>300</v>
      </c>
      <c r="P140" s="367">
        <v>14110</v>
      </c>
      <c r="Q140" s="371">
        <v>103.71</v>
      </c>
      <c r="R140" s="367">
        <v>14116</v>
      </c>
      <c r="S140" s="371">
        <v>74.91</v>
      </c>
      <c r="T140" s="371">
        <f t="shared" si="22"/>
        <v>28.799999999999997</v>
      </c>
      <c r="U140" s="372">
        <v>20.170000000000002</v>
      </c>
      <c r="V140" s="367">
        <v>70260</v>
      </c>
      <c r="W140" s="371">
        <v>2.88</v>
      </c>
      <c r="X140" s="369" t="s">
        <v>574</v>
      </c>
      <c r="Y140" s="369"/>
      <c r="Z140" s="369" t="s">
        <v>1719</v>
      </c>
      <c r="AA140" s="369"/>
      <c r="AB140" s="369" t="s">
        <v>571</v>
      </c>
      <c r="AC140" s="369" t="s">
        <v>570</v>
      </c>
      <c r="AD140" s="367" t="s">
        <v>569</v>
      </c>
      <c r="AE140" s="369"/>
      <c r="AF140" s="367" t="s">
        <v>568</v>
      </c>
      <c r="AG140" s="369">
        <v>0</v>
      </c>
      <c r="AH140" s="369">
        <v>0</v>
      </c>
      <c r="AI140" s="517"/>
      <c r="AJ140" s="518" t="s">
        <v>81</v>
      </c>
      <c r="AK140" s="333">
        <f t="shared" si="12"/>
        <v>6</v>
      </c>
      <c r="AL140" s="333">
        <f t="shared" si="13"/>
        <v>2021</v>
      </c>
      <c r="AM140" s="333">
        <f t="shared" si="14"/>
        <v>2024</v>
      </c>
      <c r="AN140" s="334">
        <f t="shared" si="15"/>
        <v>2024.5</v>
      </c>
      <c r="AO140" s="335">
        <f t="shared" si="16"/>
        <v>2.8808333333333334</v>
      </c>
      <c r="AP140" s="335">
        <f t="shared" si="17"/>
        <v>34.57</v>
      </c>
      <c r="AQ140" s="332">
        <f t="shared" si="18"/>
        <v>34.57</v>
      </c>
      <c r="AR140" s="332">
        <f t="shared" si="19"/>
        <v>40.331666666669278</v>
      </c>
      <c r="AS140" s="332">
        <f t="shared" si="20"/>
        <v>74.901666666669286</v>
      </c>
      <c r="AT140" s="332">
        <f t="shared" si="21"/>
        <v>28.808333333330708</v>
      </c>
      <c r="AU140" s="374" t="s">
        <v>59</v>
      </c>
    </row>
    <row r="141" spans="1:47" s="366" customFormat="1" ht="15.75">
      <c r="A141" s="367">
        <v>2112</v>
      </c>
      <c r="B141" s="368">
        <v>254483</v>
      </c>
      <c r="C141" s="367" t="s">
        <v>574</v>
      </c>
      <c r="D141" s="369" t="s">
        <v>1718</v>
      </c>
      <c r="E141" s="367">
        <v>1</v>
      </c>
      <c r="F141" s="369"/>
      <c r="G141" s="369"/>
      <c r="H141" s="369">
        <v>0</v>
      </c>
      <c r="I141" s="369" t="s">
        <v>831</v>
      </c>
      <c r="J141" s="369"/>
      <c r="K141" s="369"/>
      <c r="L141" s="370">
        <v>44354</v>
      </c>
      <c r="M141" s="370">
        <v>44354</v>
      </c>
      <c r="N141" s="369" t="s">
        <v>1717</v>
      </c>
      <c r="O141" s="367">
        <v>300</v>
      </c>
      <c r="P141" s="367">
        <v>14110</v>
      </c>
      <c r="Q141" s="371">
        <v>1040.6600000000001</v>
      </c>
      <c r="R141" s="367">
        <v>14116</v>
      </c>
      <c r="S141" s="371">
        <v>751.59</v>
      </c>
      <c r="T141" s="371">
        <f t="shared" si="22"/>
        <v>289.07000000000005</v>
      </c>
      <c r="U141" s="372">
        <v>202.35</v>
      </c>
      <c r="V141" s="367">
        <v>70260</v>
      </c>
      <c r="W141" s="371">
        <v>28.9</v>
      </c>
      <c r="X141" s="369" t="s">
        <v>574</v>
      </c>
      <c r="Y141" s="369"/>
      <c r="Z141" s="369" t="s">
        <v>1716</v>
      </c>
      <c r="AA141" s="369"/>
      <c r="AB141" s="369" t="s">
        <v>571</v>
      </c>
      <c r="AC141" s="369" t="s">
        <v>570</v>
      </c>
      <c r="AD141" s="367" t="s">
        <v>569</v>
      </c>
      <c r="AE141" s="369"/>
      <c r="AF141" s="367" t="s">
        <v>568</v>
      </c>
      <c r="AG141" s="369">
        <v>0</v>
      </c>
      <c r="AH141" s="369">
        <v>0</v>
      </c>
      <c r="AI141" s="517"/>
      <c r="AJ141" s="518" t="s">
        <v>81</v>
      </c>
      <c r="AK141" s="333">
        <f t="shared" si="12"/>
        <v>6</v>
      </c>
      <c r="AL141" s="333">
        <f t="shared" si="13"/>
        <v>2021</v>
      </c>
      <c r="AM141" s="333">
        <f t="shared" si="14"/>
        <v>2024</v>
      </c>
      <c r="AN141" s="334">
        <f t="shared" si="15"/>
        <v>2024.5</v>
      </c>
      <c r="AO141" s="335">
        <f t="shared" si="16"/>
        <v>28.907222222222227</v>
      </c>
      <c r="AP141" s="335">
        <f t="shared" si="17"/>
        <v>346.88666666666671</v>
      </c>
      <c r="AQ141" s="332">
        <f t="shared" si="18"/>
        <v>346.88666666666671</v>
      </c>
      <c r="AR141" s="332">
        <f t="shared" si="19"/>
        <v>404.70111111113738</v>
      </c>
      <c r="AS141" s="332">
        <f t="shared" si="20"/>
        <v>751.58777777780415</v>
      </c>
      <c r="AT141" s="332">
        <f t="shared" si="21"/>
        <v>289.07222222219593</v>
      </c>
      <c r="AU141" s="374" t="s">
        <v>59</v>
      </c>
    </row>
    <row r="142" spans="1:47" s="366" customFormat="1" ht="15.75">
      <c r="A142" s="367">
        <v>2112</v>
      </c>
      <c r="B142" s="368">
        <v>254050</v>
      </c>
      <c r="C142" s="367" t="s">
        <v>574</v>
      </c>
      <c r="D142" s="369" t="s">
        <v>1715</v>
      </c>
      <c r="E142" s="367">
        <v>1</v>
      </c>
      <c r="F142" s="369"/>
      <c r="G142" s="369"/>
      <c r="H142" s="369">
        <v>0</v>
      </c>
      <c r="I142" s="369"/>
      <c r="J142" s="369"/>
      <c r="K142" s="369"/>
      <c r="L142" s="370">
        <v>39755</v>
      </c>
      <c r="M142" s="370">
        <v>39755</v>
      </c>
      <c r="N142" s="369"/>
      <c r="O142" s="367">
        <v>700</v>
      </c>
      <c r="P142" s="367">
        <v>14050</v>
      </c>
      <c r="Q142" s="371">
        <v>87.05</v>
      </c>
      <c r="R142" s="367">
        <v>14056</v>
      </c>
      <c r="S142" s="371">
        <v>87.05</v>
      </c>
      <c r="T142" s="371">
        <f t="shared" si="22"/>
        <v>0</v>
      </c>
      <c r="U142" s="372">
        <v>0</v>
      </c>
      <c r="V142" s="367">
        <v>54260</v>
      </c>
      <c r="W142" s="371">
        <v>0</v>
      </c>
      <c r="X142" s="369" t="s">
        <v>570</v>
      </c>
      <c r="Y142" s="369" t="s">
        <v>748</v>
      </c>
      <c r="Z142" s="369"/>
      <c r="AA142" s="369"/>
      <c r="AB142" s="369" t="s">
        <v>571</v>
      </c>
      <c r="AC142" s="369" t="s">
        <v>570</v>
      </c>
      <c r="AD142" s="367" t="s">
        <v>569</v>
      </c>
      <c r="AE142" s="373">
        <v>44347</v>
      </c>
      <c r="AF142" s="367" t="s">
        <v>568</v>
      </c>
      <c r="AG142" s="369">
        <v>0</v>
      </c>
      <c r="AH142" s="369">
        <v>87.05</v>
      </c>
      <c r="AI142" s="517"/>
      <c r="AJ142" s="518" t="s">
        <v>513</v>
      </c>
      <c r="AK142" s="333">
        <f t="shared" ref="AK142:AK205" si="23">MONTH($L142)</f>
        <v>11</v>
      </c>
      <c r="AL142" s="333">
        <f t="shared" ref="AL142:AL205" si="24">YEAR($L142)</f>
        <v>2008</v>
      </c>
      <c r="AM142" s="333">
        <f t="shared" ref="AM142:AM205" si="25">$AL142+($O142/100)</f>
        <v>2015</v>
      </c>
      <c r="AN142" s="334">
        <f t="shared" ref="AN142:AN205" si="26">$AM142+($AK142/12)</f>
        <v>2015.9166666666667</v>
      </c>
      <c r="AO142" s="335">
        <f t="shared" ref="AO142:AO205" si="27">IFERROR($Q142/($O142/100)/12,0)</f>
        <v>1.0363095238095237</v>
      </c>
      <c r="AP142" s="335">
        <f t="shared" ref="AP142:AP205" si="28">$AO142*12</f>
        <v>12.435714285714283</v>
      </c>
      <c r="AQ142" s="332">
        <f t="shared" ref="AQ142:AQ205" si="29">+IF(AN142&lt;=$AI$9,0,AP142)</f>
        <v>0</v>
      </c>
      <c r="AR142" s="332">
        <f t="shared" ref="AR142:AR205" si="30">+IF(AN142&lt;=$AI$10,Q142,IF((AL142+(AK142/12))&gt;=$AI$10,0,((Q142-((AN142-$AI$10)*12)*AO142))))</f>
        <v>87.05</v>
      </c>
      <c r="AS142" s="332">
        <f t="shared" ref="AS142:AS205" si="31">+IF(AN142&lt;$AI$9,Q142,AQ142+AR142)</f>
        <v>87.05</v>
      </c>
      <c r="AT142" s="332">
        <f t="shared" ref="AT142:AT205" si="32">$Q142-$AS142</f>
        <v>0</v>
      </c>
      <c r="AU142" s="374" t="s">
        <v>59</v>
      </c>
    </row>
    <row r="143" spans="1:47" s="366" customFormat="1" ht="15.75">
      <c r="A143" s="367">
        <v>2112</v>
      </c>
      <c r="B143" s="368">
        <v>254049</v>
      </c>
      <c r="C143" s="367" t="s">
        <v>574</v>
      </c>
      <c r="D143" s="369" t="s">
        <v>1714</v>
      </c>
      <c r="E143" s="367">
        <v>2</v>
      </c>
      <c r="F143" s="369"/>
      <c r="G143" s="369"/>
      <c r="H143" s="369">
        <v>0</v>
      </c>
      <c r="I143" s="369"/>
      <c r="J143" s="369"/>
      <c r="K143" s="369"/>
      <c r="L143" s="370">
        <v>39755</v>
      </c>
      <c r="M143" s="370">
        <v>39755</v>
      </c>
      <c r="N143" s="369"/>
      <c r="O143" s="367">
        <v>700</v>
      </c>
      <c r="P143" s="367">
        <v>14050</v>
      </c>
      <c r="Q143" s="371">
        <v>174.1</v>
      </c>
      <c r="R143" s="367">
        <v>14056</v>
      </c>
      <c r="S143" s="371">
        <v>174.1</v>
      </c>
      <c r="T143" s="371">
        <f t="shared" si="22"/>
        <v>0</v>
      </c>
      <c r="U143" s="372">
        <v>0</v>
      </c>
      <c r="V143" s="367">
        <v>54260</v>
      </c>
      <c r="W143" s="371">
        <v>0</v>
      </c>
      <c r="X143" s="369" t="s">
        <v>570</v>
      </c>
      <c r="Y143" s="369" t="s">
        <v>748</v>
      </c>
      <c r="Z143" s="369"/>
      <c r="AA143" s="369"/>
      <c r="AB143" s="369" t="s">
        <v>571</v>
      </c>
      <c r="AC143" s="369" t="s">
        <v>570</v>
      </c>
      <c r="AD143" s="367" t="s">
        <v>569</v>
      </c>
      <c r="AE143" s="373">
        <v>44347</v>
      </c>
      <c r="AF143" s="367" t="s">
        <v>568</v>
      </c>
      <c r="AG143" s="369">
        <v>0</v>
      </c>
      <c r="AH143" s="369">
        <v>174.1</v>
      </c>
      <c r="AI143" s="517"/>
      <c r="AJ143" s="518" t="s">
        <v>513</v>
      </c>
      <c r="AK143" s="333">
        <f t="shared" si="23"/>
        <v>11</v>
      </c>
      <c r="AL143" s="333">
        <f t="shared" si="24"/>
        <v>2008</v>
      </c>
      <c r="AM143" s="333">
        <f t="shared" si="25"/>
        <v>2015</v>
      </c>
      <c r="AN143" s="334">
        <f t="shared" si="26"/>
        <v>2015.9166666666667</v>
      </c>
      <c r="AO143" s="335">
        <f t="shared" si="27"/>
        <v>2.0726190476190474</v>
      </c>
      <c r="AP143" s="335">
        <f t="shared" si="28"/>
        <v>24.871428571428567</v>
      </c>
      <c r="AQ143" s="332">
        <f t="shared" si="29"/>
        <v>0</v>
      </c>
      <c r="AR143" s="332">
        <f t="shared" si="30"/>
        <v>174.1</v>
      </c>
      <c r="AS143" s="332">
        <f t="shared" si="31"/>
        <v>174.1</v>
      </c>
      <c r="AT143" s="332">
        <f t="shared" si="32"/>
        <v>0</v>
      </c>
      <c r="AU143" s="374" t="s">
        <v>59</v>
      </c>
    </row>
    <row r="144" spans="1:47" s="366" customFormat="1" ht="15.75">
      <c r="A144" s="367">
        <v>2112</v>
      </c>
      <c r="B144" s="368">
        <v>254048</v>
      </c>
      <c r="C144" s="367" t="s">
        <v>574</v>
      </c>
      <c r="D144" s="369" t="s">
        <v>1437</v>
      </c>
      <c r="E144" s="367">
        <v>2</v>
      </c>
      <c r="F144" s="369"/>
      <c r="G144" s="369"/>
      <c r="H144" s="369">
        <v>0</v>
      </c>
      <c r="I144" s="369"/>
      <c r="J144" s="369"/>
      <c r="K144" s="369"/>
      <c r="L144" s="370">
        <v>39755</v>
      </c>
      <c r="M144" s="370">
        <v>39755</v>
      </c>
      <c r="N144" s="369"/>
      <c r="O144" s="367">
        <v>700</v>
      </c>
      <c r="P144" s="367">
        <v>14050</v>
      </c>
      <c r="Q144" s="371">
        <v>174.1</v>
      </c>
      <c r="R144" s="367">
        <v>14056</v>
      </c>
      <c r="S144" s="371">
        <v>174.1</v>
      </c>
      <c r="T144" s="371">
        <f t="shared" si="22"/>
        <v>0</v>
      </c>
      <c r="U144" s="372">
        <v>0</v>
      </c>
      <c r="V144" s="367">
        <v>54260</v>
      </c>
      <c r="W144" s="371">
        <v>0</v>
      </c>
      <c r="X144" s="369" t="s">
        <v>570</v>
      </c>
      <c r="Y144" s="369" t="s">
        <v>748</v>
      </c>
      <c r="Z144" s="369"/>
      <c r="AA144" s="369"/>
      <c r="AB144" s="369" t="s">
        <v>571</v>
      </c>
      <c r="AC144" s="369" t="s">
        <v>570</v>
      </c>
      <c r="AD144" s="367" t="s">
        <v>569</v>
      </c>
      <c r="AE144" s="373">
        <v>44347</v>
      </c>
      <c r="AF144" s="367" t="s">
        <v>568</v>
      </c>
      <c r="AG144" s="369">
        <v>0</v>
      </c>
      <c r="AH144" s="369">
        <v>174.1</v>
      </c>
      <c r="AI144" s="517"/>
      <c r="AJ144" s="518" t="s">
        <v>257</v>
      </c>
      <c r="AK144" s="333">
        <f t="shared" si="23"/>
        <v>11</v>
      </c>
      <c r="AL144" s="333">
        <f t="shared" si="24"/>
        <v>2008</v>
      </c>
      <c r="AM144" s="333">
        <f t="shared" si="25"/>
        <v>2015</v>
      </c>
      <c r="AN144" s="334">
        <f t="shared" si="26"/>
        <v>2015.9166666666667</v>
      </c>
      <c r="AO144" s="335">
        <f t="shared" si="27"/>
        <v>2.0726190476190474</v>
      </c>
      <c r="AP144" s="335">
        <f t="shared" si="28"/>
        <v>24.871428571428567</v>
      </c>
      <c r="AQ144" s="332">
        <f t="shared" si="29"/>
        <v>0</v>
      </c>
      <c r="AR144" s="332">
        <f t="shared" si="30"/>
        <v>174.1</v>
      </c>
      <c r="AS144" s="332">
        <f t="shared" si="31"/>
        <v>174.1</v>
      </c>
      <c r="AT144" s="332">
        <f t="shared" si="32"/>
        <v>0</v>
      </c>
      <c r="AU144" s="374" t="s">
        <v>59</v>
      </c>
    </row>
    <row r="145" spans="1:47" s="366" customFormat="1" ht="15.75">
      <c r="A145" s="367">
        <v>2112</v>
      </c>
      <c r="B145" s="368">
        <v>254047</v>
      </c>
      <c r="C145" s="367" t="s">
        <v>574</v>
      </c>
      <c r="D145" s="369" t="s">
        <v>1037</v>
      </c>
      <c r="E145" s="367">
        <v>3</v>
      </c>
      <c r="F145" s="369"/>
      <c r="G145" s="369"/>
      <c r="H145" s="369">
        <v>0</v>
      </c>
      <c r="I145" s="369"/>
      <c r="J145" s="369"/>
      <c r="K145" s="369"/>
      <c r="L145" s="370">
        <v>39755</v>
      </c>
      <c r="M145" s="370">
        <v>39755</v>
      </c>
      <c r="N145" s="369"/>
      <c r="O145" s="367">
        <v>700</v>
      </c>
      <c r="P145" s="367">
        <v>14050</v>
      </c>
      <c r="Q145" s="371">
        <v>261.14999999999998</v>
      </c>
      <c r="R145" s="367">
        <v>14056</v>
      </c>
      <c r="S145" s="371">
        <v>261.14999999999998</v>
      </c>
      <c r="T145" s="371">
        <f t="shared" si="22"/>
        <v>0</v>
      </c>
      <c r="U145" s="372">
        <v>0</v>
      </c>
      <c r="V145" s="367">
        <v>54260</v>
      </c>
      <c r="W145" s="371">
        <v>0</v>
      </c>
      <c r="X145" s="369" t="s">
        <v>570</v>
      </c>
      <c r="Y145" s="369" t="s">
        <v>748</v>
      </c>
      <c r="Z145" s="369"/>
      <c r="AA145" s="369"/>
      <c r="AB145" s="369" t="s">
        <v>571</v>
      </c>
      <c r="AC145" s="369" t="s">
        <v>570</v>
      </c>
      <c r="AD145" s="367" t="s">
        <v>569</v>
      </c>
      <c r="AE145" s="373">
        <v>44347</v>
      </c>
      <c r="AF145" s="367" t="s">
        <v>568</v>
      </c>
      <c r="AG145" s="369">
        <v>0</v>
      </c>
      <c r="AH145" s="369">
        <v>261.14999999999998</v>
      </c>
      <c r="AI145" s="517"/>
      <c r="AJ145" s="518" t="s">
        <v>257</v>
      </c>
      <c r="AK145" s="333">
        <f t="shared" si="23"/>
        <v>11</v>
      </c>
      <c r="AL145" s="333">
        <f t="shared" si="24"/>
        <v>2008</v>
      </c>
      <c r="AM145" s="333">
        <f t="shared" si="25"/>
        <v>2015</v>
      </c>
      <c r="AN145" s="334">
        <f t="shared" si="26"/>
        <v>2015.9166666666667</v>
      </c>
      <c r="AO145" s="335">
        <f t="shared" si="27"/>
        <v>3.1089285714285713</v>
      </c>
      <c r="AP145" s="335">
        <f t="shared" si="28"/>
        <v>37.307142857142857</v>
      </c>
      <c r="AQ145" s="332">
        <f t="shared" si="29"/>
        <v>0</v>
      </c>
      <c r="AR145" s="332">
        <f t="shared" si="30"/>
        <v>261.14999999999998</v>
      </c>
      <c r="AS145" s="332">
        <f t="shared" si="31"/>
        <v>261.14999999999998</v>
      </c>
      <c r="AT145" s="332">
        <f t="shared" si="32"/>
        <v>0</v>
      </c>
      <c r="AU145" s="374" t="s">
        <v>59</v>
      </c>
    </row>
    <row r="146" spans="1:47" s="366" customFormat="1" ht="15.75">
      <c r="A146" s="367">
        <v>2112</v>
      </c>
      <c r="B146" s="368">
        <v>254046</v>
      </c>
      <c r="C146" s="367" t="s">
        <v>574</v>
      </c>
      <c r="D146" s="369" t="s">
        <v>1713</v>
      </c>
      <c r="E146" s="367">
        <v>9</v>
      </c>
      <c r="F146" s="369"/>
      <c r="G146" s="369"/>
      <c r="H146" s="369">
        <v>0</v>
      </c>
      <c r="I146" s="369"/>
      <c r="J146" s="369"/>
      <c r="K146" s="369"/>
      <c r="L146" s="370">
        <v>39755</v>
      </c>
      <c r="M146" s="370">
        <v>39755</v>
      </c>
      <c r="N146" s="369"/>
      <c r="O146" s="367">
        <v>700</v>
      </c>
      <c r="P146" s="367">
        <v>14050</v>
      </c>
      <c r="Q146" s="371">
        <v>783.46</v>
      </c>
      <c r="R146" s="367">
        <v>14056</v>
      </c>
      <c r="S146" s="371">
        <v>783.46</v>
      </c>
      <c r="T146" s="371">
        <f t="shared" si="22"/>
        <v>0</v>
      </c>
      <c r="U146" s="372">
        <v>0</v>
      </c>
      <c r="V146" s="367">
        <v>54260</v>
      </c>
      <c r="W146" s="371">
        <v>0</v>
      </c>
      <c r="X146" s="369" t="s">
        <v>570</v>
      </c>
      <c r="Y146" s="369" t="s">
        <v>748</v>
      </c>
      <c r="Z146" s="369"/>
      <c r="AA146" s="369"/>
      <c r="AB146" s="369" t="s">
        <v>571</v>
      </c>
      <c r="AC146" s="369" t="s">
        <v>570</v>
      </c>
      <c r="AD146" s="367" t="s">
        <v>569</v>
      </c>
      <c r="AE146" s="373">
        <v>44347</v>
      </c>
      <c r="AF146" s="367" t="s">
        <v>568</v>
      </c>
      <c r="AG146" s="369">
        <v>0</v>
      </c>
      <c r="AH146" s="369">
        <v>783.46</v>
      </c>
      <c r="AI146" s="517"/>
      <c r="AJ146" s="518" t="s">
        <v>513</v>
      </c>
      <c r="AK146" s="333">
        <f t="shared" si="23"/>
        <v>11</v>
      </c>
      <c r="AL146" s="333">
        <f t="shared" si="24"/>
        <v>2008</v>
      </c>
      <c r="AM146" s="333">
        <f t="shared" si="25"/>
        <v>2015</v>
      </c>
      <c r="AN146" s="334">
        <f t="shared" si="26"/>
        <v>2015.9166666666667</v>
      </c>
      <c r="AO146" s="335">
        <f t="shared" si="27"/>
        <v>9.3269047619047623</v>
      </c>
      <c r="AP146" s="335">
        <f t="shared" si="28"/>
        <v>111.92285714285714</v>
      </c>
      <c r="AQ146" s="332">
        <f t="shared" si="29"/>
        <v>0</v>
      </c>
      <c r="AR146" s="332">
        <f t="shared" si="30"/>
        <v>783.46</v>
      </c>
      <c r="AS146" s="332">
        <f t="shared" si="31"/>
        <v>783.46</v>
      </c>
      <c r="AT146" s="332">
        <f t="shared" si="32"/>
        <v>0</v>
      </c>
      <c r="AU146" s="374" t="s">
        <v>59</v>
      </c>
    </row>
    <row r="147" spans="1:47" s="366" customFormat="1" ht="15.75">
      <c r="A147" s="367">
        <v>2112</v>
      </c>
      <c r="B147" s="368">
        <v>254045</v>
      </c>
      <c r="C147" s="367" t="s">
        <v>574</v>
      </c>
      <c r="D147" s="369" t="s">
        <v>722</v>
      </c>
      <c r="E147" s="367">
        <v>6</v>
      </c>
      <c r="F147" s="369"/>
      <c r="G147" s="369"/>
      <c r="H147" s="369">
        <v>0</v>
      </c>
      <c r="I147" s="369"/>
      <c r="J147" s="369"/>
      <c r="K147" s="369"/>
      <c r="L147" s="370">
        <v>39755</v>
      </c>
      <c r="M147" s="370">
        <v>39755</v>
      </c>
      <c r="N147" s="369"/>
      <c r="O147" s="367">
        <v>700</v>
      </c>
      <c r="P147" s="367">
        <v>14050</v>
      </c>
      <c r="Q147" s="371">
        <v>522.30999999999995</v>
      </c>
      <c r="R147" s="367">
        <v>14056</v>
      </c>
      <c r="S147" s="371">
        <v>522.30999999999995</v>
      </c>
      <c r="T147" s="371">
        <f t="shared" si="22"/>
        <v>0</v>
      </c>
      <c r="U147" s="372">
        <v>0</v>
      </c>
      <c r="V147" s="367">
        <v>54260</v>
      </c>
      <c r="W147" s="371">
        <v>0</v>
      </c>
      <c r="X147" s="369" t="s">
        <v>570</v>
      </c>
      <c r="Y147" s="369" t="s">
        <v>748</v>
      </c>
      <c r="Z147" s="369"/>
      <c r="AA147" s="369"/>
      <c r="AB147" s="369" t="s">
        <v>571</v>
      </c>
      <c r="AC147" s="369" t="s">
        <v>570</v>
      </c>
      <c r="AD147" s="367" t="s">
        <v>569</v>
      </c>
      <c r="AE147" s="373">
        <v>44347</v>
      </c>
      <c r="AF147" s="367" t="s">
        <v>568</v>
      </c>
      <c r="AG147" s="369">
        <v>0</v>
      </c>
      <c r="AH147" s="369">
        <v>522.30999999999995</v>
      </c>
      <c r="AI147" s="517"/>
      <c r="AJ147" s="518" t="s">
        <v>257</v>
      </c>
      <c r="AK147" s="333">
        <f t="shared" si="23"/>
        <v>11</v>
      </c>
      <c r="AL147" s="333">
        <f t="shared" si="24"/>
        <v>2008</v>
      </c>
      <c r="AM147" s="333">
        <f t="shared" si="25"/>
        <v>2015</v>
      </c>
      <c r="AN147" s="334">
        <f t="shared" si="26"/>
        <v>2015.9166666666667</v>
      </c>
      <c r="AO147" s="335">
        <f t="shared" si="27"/>
        <v>6.2179761904761897</v>
      </c>
      <c r="AP147" s="335">
        <f t="shared" si="28"/>
        <v>74.615714285714276</v>
      </c>
      <c r="AQ147" s="332">
        <f t="shared" si="29"/>
        <v>0</v>
      </c>
      <c r="AR147" s="332">
        <f t="shared" si="30"/>
        <v>522.30999999999995</v>
      </c>
      <c r="AS147" s="332">
        <f t="shared" si="31"/>
        <v>522.30999999999995</v>
      </c>
      <c r="AT147" s="332">
        <f t="shared" si="32"/>
        <v>0</v>
      </c>
      <c r="AU147" s="374" t="s">
        <v>59</v>
      </c>
    </row>
    <row r="148" spans="1:47" s="366" customFormat="1" ht="15.75">
      <c r="A148" s="367">
        <v>2112</v>
      </c>
      <c r="B148" s="368">
        <v>254044</v>
      </c>
      <c r="C148" s="367" t="s">
        <v>574</v>
      </c>
      <c r="D148" s="369" t="s">
        <v>678</v>
      </c>
      <c r="E148" s="367">
        <v>2</v>
      </c>
      <c r="F148" s="369"/>
      <c r="G148" s="369"/>
      <c r="H148" s="369">
        <v>0</v>
      </c>
      <c r="I148" s="369"/>
      <c r="J148" s="369"/>
      <c r="K148" s="369"/>
      <c r="L148" s="370">
        <v>39755</v>
      </c>
      <c r="M148" s="370">
        <v>39755</v>
      </c>
      <c r="N148" s="369"/>
      <c r="O148" s="367">
        <v>700</v>
      </c>
      <c r="P148" s="367">
        <v>14050</v>
      </c>
      <c r="Q148" s="371">
        <v>174.1</v>
      </c>
      <c r="R148" s="367">
        <v>14056</v>
      </c>
      <c r="S148" s="371">
        <v>174.1</v>
      </c>
      <c r="T148" s="371">
        <f t="shared" si="22"/>
        <v>0</v>
      </c>
      <c r="U148" s="372">
        <v>0</v>
      </c>
      <c r="V148" s="367">
        <v>54260</v>
      </c>
      <c r="W148" s="371">
        <v>0</v>
      </c>
      <c r="X148" s="369" t="s">
        <v>570</v>
      </c>
      <c r="Y148" s="369" t="s">
        <v>748</v>
      </c>
      <c r="Z148" s="369"/>
      <c r="AA148" s="369"/>
      <c r="AB148" s="369" t="s">
        <v>571</v>
      </c>
      <c r="AC148" s="369" t="s">
        <v>570</v>
      </c>
      <c r="AD148" s="367" t="s">
        <v>569</v>
      </c>
      <c r="AE148" s="373">
        <v>44347</v>
      </c>
      <c r="AF148" s="367" t="s">
        <v>568</v>
      </c>
      <c r="AG148" s="369">
        <v>0</v>
      </c>
      <c r="AH148" s="369">
        <v>174.1</v>
      </c>
      <c r="AI148" s="517"/>
      <c r="AJ148" s="518" t="s">
        <v>257</v>
      </c>
      <c r="AK148" s="333">
        <f t="shared" si="23"/>
        <v>11</v>
      </c>
      <c r="AL148" s="333">
        <f t="shared" si="24"/>
        <v>2008</v>
      </c>
      <c r="AM148" s="333">
        <f t="shared" si="25"/>
        <v>2015</v>
      </c>
      <c r="AN148" s="334">
        <f t="shared" si="26"/>
        <v>2015.9166666666667</v>
      </c>
      <c r="AO148" s="335">
        <f t="shared" si="27"/>
        <v>2.0726190476190474</v>
      </c>
      <c r="AP148" s="335">
        <f t="shared" si="28"/>
        <v>24.871428571428567</v>
      </c>
      <c r="AQ148" s="332">
        <f t="shared" si="29"/>
        <v>0</v>
      </c>
      <c r="AR148" s="332">
        <f t="shared" si="30"/>
        <v>174.1</v>
      </c>
      <c r="AS148" s="332">
        <f t="shared" si="31"/>
        <v>174.1</v>
      </c>
      <c r="AT148" s="332">
        <f t="shared" si="32"/>
        <v>0</v>
      </c>
      <c r="AU148" s="374" t="s">
        <v>59</v>
      </c>
    </row>
    <row r="149" spans="1:47" s="366" customFormat="1" ht="15.75">
      <c r="A149" s="367">
        <v>2112</v>
      </c>
      <c r="B149" s="368">
        <v>254043</v>
      </c>
      <c r="C149" s="367" t="s">
        <v>574</v>
      </c>
      <c r="D149" s="369" t="s">
        <v>575</v>
      </c>
      <c r="E149" s="367">
        <v>20</v>
      </c>
      <c r="F149" s="369"/>
      <c r="G149" s="369"/>
      <c r="H149" s="369">
        <v>0</v>
      </c>
      <c r="I149" s="369"/>
      <c r="J149" s="369"/>
      <c r="K149" s="369"/>
      <c r="L149" s="370">
        <v>39755</v>
      </c>
      <c r="M149" s="370">
        <v>39755</v>
      </c>
      <c r="N149" s="369"/>
      <c r="O149" s="367">
        <v>700</v>
      </c>
      <c r="P149" s="367">
        <v>14050</v>
      </c>
      <c r="Q149" s="371">
        <v>1741.03</v>
      </c>
      <c r="R149" s="367">
        <v>14056</v>
      </c>
      <c r="S149" s="371">
        <v>1741.03</v>
      </c>
      <c r="T149" s="371">
        <f t="shared" ref="T149:T212" si="33">Q149-S149</f>
        <v>0</v>
      </c>
      <c r="U149" s="372">
        <v>0</v>
      </c>
      <c r="V149" s="367">
        <v>54260</v>
      </c>
      <c r="W149" s="371">
        <v>0</v>
      </c>
      <c r="X149" s="369" t="s">
        <v>570</v>
      </c>
      <c r="Y149" s="369" t="s">
        <v>748</v>
      </c>
      <c r="Z149" s="369"/>
      <c r="AA149" s="369"/>
      <c r="AB149" s="369" t="s">
        <v>571</v>
      </c>
      <c r="AC149" s="369" t="s">
        <v>570</v>
      </c>
      <c r="AD149" s="367" t="s">
        <v>569</v>
      </c>
      <c r="AE149" s="373">
        <v>44681</v>
      </c>
      <c r="AF149" s="367" t="s">
        <v>568</v>
      </c>
      <c r="AG149" s="369">
        <v>1</v>
      </c>
      <c r="AH149" s="369">
        <v>1741.03</v>
      </c>
      <c r="AI149" s="517"/>
      <c r="AJ149" s="518" t="s">
        <v>257</v>
      </c>
      <c r="AK149" s="333">
        <f t="shared" si="23"/>
        <v>11</v>
      </c>
      <c r="AL149" s="333">
        <f t="shared" si="24"/>
        <v>2008</v>
      </c>
      <c r="AM149" s="333">
        <f t="shared" si="25"/>
        <v>2015</v>
      </c>
      <c r="AN149" s="334">
        <f t="shared" si="26"/>
        <v>2015.9166666666667</v>
      </c>
      <c r="AO149" s="335">
        <f t="shared" si="27"/>
        <v>20.726547619047619</v>
      </c>
      <c r="AP149" s="335">
        <f t="shared" si="28"/>
        <v>248.71857142857141</v>
      </c>
      <c r="AQ149" s="332">
        <f t="shared" si="29"/>
        <v>0</v>
      </c>
      <c r="AR149" s="332">
        <f t="shared" si="30"/>
        <v>1741.03</v>
      </c>
      <c r="AS149" s="332">
        <f t="shared" si="31"/>
        <v>1741.03</v>
      </c>
      <c r="AT149" s="332">
        <f t="shared" si="32"/>
        <v>0</v>
      </c>
      <c r="AU149" s="374" t="s">
        <v>59</v>
      </c>
    </row>
    <row r="150" spans="1:47" s="366" customFormat="1" ht="15.75">
      <c r="A150" s="367">
        <v>2112</v>
      </c>
      <c r="B150" s="368">
        <v>254042</v>
      </c>
      <c r="C150" s="367" t="s">
        <v>574</v>
      </c>
      <c r="D150" s="369" t="s">
        <v>1712</v>
      </c>
      <c r="E150" s="367">
        <v>45</v>
      </c>
      <c r="F150" s="369"/>
      <c r="G150" s="369"/>
      <c r="H150" s="369">
        <v>0</v>
      </c>
      <c r="I150" s="369"/>
      <c r="J150" s="369"/>
      <c r="K150" s="369"/>
      <c r="L150" s="370">
        <v>39755</v>
      </c>
      <c r="M150" s="370">
        <v>39755</v>
      </c>
      <c r="N150" s="369"/>
      <c r="O150" s="367">
        <v>700</v>
      </c>
      <c r="P150" s="367">
        <v>14050</v>
      </c>
      <c r="Q150" s="371">
        <v>3917.31</v>
      </c>
      <c r="R150" s="367">
        <v>14056</v>
      </c>
      <c r="S150" s="371">
        <v>3917.31</v>
      </c>
      <c r="T150" s="371">
        <f t="shared" si="33"/>
        <v>0</v>
      </c>
      <c r="U150" s="372">
        <v>0</v>
      </c>
      <c r="V150" s="367">
        <v>54260</v>
      </c>
      <c r="W150" s="371">
        <v>0</v>
      </c>
      <c r="X150" s="369" t="s">
        <v>570</v>
      </c>
      <c r="Y150" s="369" t="s">
        <v>748</v>
      </c>
      <c r="Z150" s="369"/>
      <c r="AA150" s="369"/>
      <c r="AB150" s="369" t="s">
        <v>571</v>
      </c>
      <c r="AC150" s="369" t="s">
        <v>570</v>
      </c>
      <c r="AD150" s="367" t="s">
        <v>569</v>
      </c>
      <c r="AE150" s="373">
        <v>44347</v>
      </c>
      <c r="AF150" s="367" t="s">
        <v>568</v>
      </c>
      <c r="AG150" s="369">
        <v>0</v>
      </c>
      <c r="AH150" s="369">
        <v>3917.31</v>
      </c>
      <c r="AI150" s="517"/>
      <c r="AJ150" s="518" t="s">
        <v>513</v>
      </c>
      <c r="AK150" s="333">
        <f t="shared" si="23"/>
        <v>11</v>
      </c>
      <c r="AL150" s="333">
        <f t="shared" si="24"/>
        <v>2008</v>
      </c>
      <c r="AM150" s="333">
        <f t="shared" si="25"/>
        <v>2015</v>
      </c>
      <c r="AN150" s="334">
        <f t="shared" si="26"/>
        <v>2015.9166666666667</v>
      </c>
      <c r="AO150" s="335">
        <f t="shared" si="27"/>
        <v>46.634642857142858</v>
      </c>
      <c r="AP150" s="335">
        <f t="shared" si="28"/>
        <v>559.61571428571426</v>
      </c>
      <c r="AQ150" s="332">
        <f t="shared" si="29"/>
        <v>0</v>
      </c>
      <c r="AR150" s="332">
        <f t="shared" si="30"/>
        <v>3917.31</v>
      </c>
      <c r="AS150" s="332">
        <f t="shared" si="31"/>
        <v>3917.31</v>
      </c>
      <c r="AT150" s="332">
        <f t="shared" si="32"/>
        <v>0</v>
      </c>
      <c r="AU150" s="374" t="s">
        <v>59</v>
      </c>
    </row>
    <row r="151" spans="1:47" s="366" customFormat="1" ht="15.75">
      <c r="A151" s="367">
        <v>2112</v>
      </c>
      <c r="B151" s="368">
        <v>253906</v>
      </c>
      <c r="C151" s="367" t="s">
        <v>574</v>
      </c>
      <c r="D151" s="369" t="s">
        <v>1711</v>
      </c>
      <c r="E151" s="367">
        <v>1</v>
      </c>
      <c r="F151" s="369"/>
      <c r="G151" s="369"/>
      <c r="H151" s="369">
        <v>0</v>
      </c>
      <c r="I151" s="369" t="s">
        <v>1710</v>
      </c>
      <c r="J151" s="369"/>
      <c r="K151" s="369"/>
      <c r="L151" s="370">
        <v>44266</v>
      </c>
      <c r="M151" s="370">
        <v>44266</v>
      </c>
      <c r="N151" s="369" t="s">
        <v>1709</v>
      </c>
      <c r="O151" s="367">
        <v>200</v>
      </c>
      <c r="P151" s="367">
        <v>14110</v>
      </c>
      <c r="Q151" s="371">
        <v>1842.79</v>
      </c>
      <c r="R151" s="367">
        <v>14116</v>
      </c>
      <c r="S151" s="371">
        <v>1842.79</v>
      </c>
      <c r="T151" s="371">
        <f t="shared" si="33"/>
        <v>0</v>
      </c>
      <c r="U151" s="372">
        <v>153.56</v>
      </c>
      <c r="V151" s="367">
        <v>70260</v>
      </c>
      <c r="W151" s="371">
        <v>0</v>
      </c>
      <c r="X151" s="369" t="s">
        <v>574</v>
      </c>
      <c r="Y151" s="369"/>
      <c r="Z151" s="369" t="s">
        <v>1708</v>
      </c>
      <c r="AA151" s="369"/>
      <c r="AB151" s="369" t="s">
        <v>571</v>
      </c>
      <c r="AC151" s="369" t="s">
        <v>570</v>
      </c>
      <c r="AD151" s="367" t="s">
        <v>569</v>
      </c>
      <c r="AE151" s="369"/>
      <c r="AF151" s="367" t="s">
        <v>568</v>
      </c>
      <c r="AG151" s="369">
        <v>0</v>
      </c>
      <c r="AH151" s="369">
        <v>0</v>
      </c>
      <c r="AI151" s="517"/>
      <c r="AJ151" s="518" t="s">
        <v>81</v>
      </c>
      <c r="AK151" s="333">
        <f t="shared" si="23"/>
        <v>3</v>
      </c>
      <c r="AL151" s="333">
        <f t="shared" si="24"/>
        <v>2021</v>
      </c>
      <c r="AM151" s="333">
        <f t="shared" si="25"/>
        <v>2023</v>
      </c>
      <c r="AN151" s="334">
        <f t="shared" si="26"/>
        <v>2023.25</v>
      </c>
      <c r="AO151" s="335">
        <f t="shared" si="27"/>
        <v>76.782916666666665</v>
      </c>
      <c r="AP151" s="335">
        <f t="shared" si="28"/>
        <v>921.39499999999998</v>
      </c>
      <c r="AQ151" s="332">
        <f t="shared" si="29"/>
        <v>0</v>
      </c>
      <c r="AR151" s="332">
        <f t="shared" si="30"/>
        <v>1305.3095833334032</v>
      </c>
      <c r="AS151" s="332">
        <f t="shared" si="31"/>
        <v>1842.79</v>
      </c>
      <c r="AT151" s="332">
        <f t="shared" si="32"/>
        <v>0</v>
      </c>
      <c r="AU151" s="374" t="s">
        <v>59</v>
      </c>
    </row>
    <row r="152" spans="1:47" s="366" customFormat="1" ht="15.75">
      <c r="A152" s="367">
        <v>2112</v>
      </c>
      <c r="B152" s="368">
        <v>251580</v>
      </c>
      <c r="C152" s="367">
        <v>246027</v>
      </c>
      <c r="D152" s="369" t="s">
        <v>1707</v>
      </c>
      <c r="E152" s="367"/>
      <c r="F152" s="369"/>
      <c r="G152" s="369"/>
      <c r="H152" s="369">
        <v>0</v>
      </c>
      <c r="I152" s="369" t="s">
        <v>1706</v>
      </c>
      <c r="J152" s="369"/>
      <c r="K152" s="369"/>
      <c r="L152" s="370">
        <v>44217</v>
      </c>
      <c r="M152" s="370">
        <v>44217</v>
      </c>
      <c r="N152" s="369" t="s">
        <v>1649</v>
      </c>
      <c r="O152" s="367">
        <v>2000</v>
      </c>
      <c r="P152" s="367">
        <v>14080</v>
      </c>
      <c r="Q152" s="371">
        <v>7870</v>
      </c>
      <c r="R152" s="367">
        <v>14086</v>
      </c>
      <c r="S152" s="371">
        <v>983.75</v>
      </c>
      <c r="T152" s="371">
        <f t="shared" si="33"/>
        <v>6886.25</v>
      </c>
      <c r="U152" s="372">
        <v>229.54</v>
      </c>
      <c r="V152" s="367">
        <v>57260</v>
      </c>
      <c r="W152" s="371">
        <v>32.79</v>
      </c>
      <c r="X152" s="369" t="s">
        <v>574</v>
      </c>
      <c r="Y152" s="369"/>
      <c r="Z152" s="369">
        <v>4246613</v>
      </c>
      <c r="AA152" s="369"/>
      <c r="AB152" s="369" t="s">
        <v>571</v>
      </c>
      <c r="AC152" s="369" t="s">
        <v>570</v>
      </c>
      <c r="AD152" s="367" t="s">
        <v>569</v>
      </c>
      <c r="AE152" s="369"/>
      <c r="AF152" s="367" t="s">
        <v>568</v>
      </c>
      <c r="AG152" s="369">
        <v>0</v>
      </c>
      <c r="AH152" s="369">
        <v>0</v>
      </c>
      <c r="AI152" s="517"/>
      <c r="AJ152" s="518" t="s">
        <v>1647</v>
      </c>
      <c r="AK152" s="333">
        <f t="shared" si="23"/>
        <v>1</v>
      </c>
      <c r="AL152" s="333">
        <f t="shared" si="24"/>
        <v>2021</v>
      </c>
      <c r="AM152" s="333">
        <f t="shared" si="25"/>
        <v>2041</v>
      </c>
      <c r="AN152" s="334">
        <f t="shared" si="26"/>
        <v>2041.0833333333333</v>
      </c>
      <c r="AO152" s="335">
        <f t="shared" si="27"/>
        <v>32.791666666666664</v>
      </c>
      <c r="AP152" s="335">
        <f t="shared" si="28"/>
        <v>393.5</v>
      </c>
      <c r="AQ152" s="332">
        <f t="shared" si="29"/>
        <v>393.5</v>
      </c>
      <c r="AR152" s="332">
        <f t="shared" si="30"/>
        <v>623.041666666727</v>
      </c>
      <c r="AS152" s="332">
        <f t="shared" si="31"/>
        <v>1016.541666666727</v>
      </c>
      <c r="AT152" s="332">
        <f t="shared" si="32"/>
        <v>6853.458333333273</v>
      </c>
      <c r="AU152" s="374" t="s">
        <v>59</v>
      </c>
    </row>
    <row r="153" spans="1:47" s="366" customFormat="1" ht="15.75">
      <c r="A153" s="367">
        <v>2112</v>
      </c>
      <c r="B153" s="368">
        <v>250266</v>
      </c>
      <c r="C153" s="367" t="s">
        <v>574</v>
      </c>
      <c r="D153" s="369" t="s">
        <v>1705</v>
      </c>
      <c r="E153" s="367">
        <v>7</v>
      </c>
      <c r="F153" s="369"/>
      <c r="G153" s="369"/>
      <c r="H153" s="369">
        <v>0</v>
      </c>
      <c r="I153" s="369" t="s">
        <v>1361</v>
      </c>
      <c r="J153" s="369"/>
      <c r="K153" s="369" t="s">
        <v>671</v>
      </c>
      <c r="L153" s="370">
        <v>44287</v>
      </c>
      <c r="M153" s="370">
        <v>44287</v>
      </c>
      <c r="N153" s="369" t="s">
        <v>1703</v>
      </c>
      <c r="O153" s="367">
        <v>1200</v>
      </c>
      <c r="P153" s="367">
        <v>14050</v>
      </c>
      <c r="Q153" s="371">
        <v>5270.93</v>
      </c>
      <c r="R153" s="367">
        <v>14056</v>
      </c>
      <c r="S153" s="371">
        <v>1024.8900000000001</v>
      </c>
      <c r="T153" s="371">
        <f t="shared" si="33"/>
        <v>4246.04</v>
      </c>
      <c r="U153" s="372">
        <v>256.23</v>
      </c>
      <c r="V153" s="367">
        <v>54260</v>
      </c>
      <c r="W153" s="371">
        <v>36.6</v>
      </c>
      <c r="X153" s="369" t="s">
        <v>574</v>
      </c>
      <c r="Y153" s="369"/>
      <c r="Z153" s="369" t="s">
        <v>1695</v>
      </c>
      <c r="AA153" s="369"/>
      <c r="AB153" s="369" t="s">
        <v>571</v>
      </c>
      <c r="AC153" s="369" t="s">
        <v>570</v>
      </c>
      <c r="AD153" s="367" t="s">
        <v>569</v>
      </c>
      <c r="AE153" s="369"/>
      <c r="AF153" s="367" t="s">
        <v>568</v>
      </c>
      <c r="AG153" s="369">
        <v>0</v>
      </c>
      <c r="AH153" s="369">
        <v>0</v>
      </c>
      <c r="AI153" s="517"/>
      <c r="AJ153" s="518" t="s">
        <v>513</v>
      </c>
      <c r="AK153" s="333">
        <f t="shared" si="23"/>
        <v>4</v>
      </c>
      <c r="AL153" s="333">
        <f t="shared" si="24"/>
        <v>2021</v>
      </c>
      <c r="AM153" s="333">
        <f t="shared" si="25"/>
        <v>2033</v>
      </c>
      <c r="AN153" s="334">
        <f t="shared" si="26"/>
        <v>2033.3333333333333</v>
      </c>
      <c r="AO153" s="335">
        <f t="shared" si="27"/>
        <v>36.603680555555556</v>
      </c>
      <c r="AP153" s="335">
        <f t="shared" si="28"/>
        <v>439.24416666666667</v>
      </c>
      <c r="AQ153" s="332">
        <f t="shared" si="29"/>
        <v>439.24416666666667</v>
      </c>
      <c r="AR153" s="332">
        <f t="shared" si="30"/>
        <v>585.65888888895552</v>
      </c>
      <c r="AS153" s="332">
        <f t="shared" si="31"/>
        <v>1024.9030555556221</v>
      </c>
      <c r="AT153" s="332">
        <f t="shared" si="32"/>
        <v>4246.0269444443784</v>
      </c>
      <c r="AU153" s="374" t="s">
        <v>59</v>
      </c>
    </row>
    <row r="154" spans="1:47" s="366" customFormat="1" ht="15.75">
      <c r="A154" s="367">
        <v>2112</v>
      </c>
      <c r="B154" s="368">
        <v>250265</v>
      </c>
      <c r="C154" s="367" t="s">
        <v>574</v>
      </c>
      <c r="D154" s="369" t="s">
        <v>1704</v>
      </c>
      <c r="E154" s="367">
        <v>7</v>
      </c>
      <c r="F154" s="369"/>
      <c r="G154" s="369"/>
      <c r="H154" s="369">
        <v>0</v>
      </c>
      <c r="I154" s="369" t="s">
        <v>1361</v>
      </c>
      <c r="J154" s="369"/>
      <c r="K154" s="369" t="s">
        <v>578</v>
      </c>
      <c r="L154" s="370">
        <v>44287</v>
      </c>
      <c r="M154" s="370">
        <v>44287</v>
      </c>
      <c r="N154" s="369" t="s">
        <v>1703</v>
      </c>
      <c r="O154" s="367">
        <v>1200</v>
      </c>
      <c r="P154" s="367">
        <v>14050</v>
      </c>
      <c r="Q154" s="371">
        <v>4351.9399999999996</v>
      </c>
      <c r="R154" s="367">
        <v>14056</v>
      </c>
      <c r="S154" s="371">
        <v>846.21</v>
      </c>
      <c r="T154" s="371">
        <f t="shared" si="33"/>
        <v>3505.7299999999996</v>
      </c>
      <c r="U154" s="372">
        <v>211.55</v>
      </c>
      <c r="V154" s="367">
        <v>54260</v>
      </c>
      <c r="W154" s="371">
        <v>30.22</v>
      </c>
      <c r="X154" s="369" t="s">
        <v>574</v>
      </c>
      <c r="Y154" s="369"/>
      <c r="Z154" s="369" t="s">
        <v>1695</v>
      </c>
      <c r="AA154" s="369"/>
      <c r="AB154" s="369" t="s">
        <v>571</v>
      </c>
      <c r="AC154" s="369" t="s">
        <v>570</v>
      </c>
      <c r="AD154" s="367" t="s">
        <v>569</v>
      </c>
      <c r="AE154" s="369"/>
      <c r="AF154" s="367" t="s">
        <v>568</v>
      </c>
      <c r="AG154" s="369">
        <v>0</v>
      </c>
      <c r="AH154" s="369">
        <v>0</v>
      </c>
      <c r="AI154" s="517"/>
      <c r="AJ154" s="518" t="s">
        <v>513</v>
      </c>
      <c r="AK154" s="333">
        <f t="shared" si="23"/>
        <v>4</v>
      </c>
      <c r="AL154" s="333">
        <f t="shared" si="24"/>
        <v>2021</v>
      </c>
      <c r="AM154" s="333">
        <f t="shared" si="25"/>
        <v>2033</v>
      </c>
      <c r="AN154" s="334">
        <f t="shared" si="26"/>
        <v>2033.3333333333333</v>
      </c>
      <c r="AO154" s="335">
        <f t="shared" si="27"/>
        <v>30.221805555555552</v>
      </c>
      <c r="AP154" s="335">
        <f t="shared" si="28"/>
        <v>362.66166666666663</v>
      </c>
      <c r="AQ154" s="332">
        <f t="shared" si="29"/>
        <v>362.66166666666663</v>
      </c>
      <c r="AR154" s="332">
        <f t="shared" si="30"/>
        <v>483.54888888894402</v>
      </c>
      <c r="AS154" s="332">
        <f t="shared" si="31"/>
        <v>846.21055555561065</v>
      </c>
      <c r="AT154" s="332">
        <f t="shared" si="32"/>
        <v>3505.7294444443887</v>
      </c>
      <c r="AU154" s="374" t="s">
        <v>59</v>
      </c>
    </row>
    <row r="155" spans="1:47" s="366" customFormat="1" ht="15.75">
      <c r="A155" s="367">
        <v>2112</v>
      </c>
      <c r="B155" s="368">
        <v>250264</v>
      </c>
      <c r="C155" s="367" t="s">
        <v>574</v>
      </c>
      <c r="D155" s="369" t="s">
        <v>1702</v>
      </c>
      <c r="E155" s="367">
        <v>1</v>
      </c>
      <c r="F155" s="369"/>
      <c r="G155" s="369"/>
      <c r="H155" s="369">
        <v>0</v>
      </c>
      <c r="I155" s="369" t="s">
        <v>1361</v>
      </c>
      <c r="J155" s="369"/>
      <c r="K155" s="369" t="s">
        <v>1607</v>
      </c>
      <c r="L155" s="370">
        <v>44287</v>
      </c>
      <c r="M155" s="370">
        <v>44287</v>
      </c>
      <c r="N155" s="369" t="s">
        <v>1696</v>
      </c>
      <c r="O155" s="367">
        <v>1200</v>
      </c>
      <c r="P155" s="367">
        <v>14050</v>
      </c>
      <c r="Q155" s="371">
        <v>1196.75</v>
      </c>
      <c r="R155" s="367">
        <v>14056</v>
      </c>
      <c r="S155" s="371">
        <v>232.7</v>
      </c>
      <c r="T155" s="371">
        <f t="shared" si="33"/>
        <v>964.05</v>
      </c>
      <c r="U155" s="372">
        <v>58.18</v>
      </c>
      <c r="V155" s="367">
        <v>54260</v>
      </c>
      <c r="W155" s="371">
        <v>8.31</v>
      </c>
      <c r="X155" s="369" t="s">
        <v>574</v>
      </c>
      <c r="Y155" s="369"/>
      <c r="Z155" s="369" t="s">
        <v>1695</v>
      </c>
      <c r="AA155" s="369"/>
      <c r="AB155" s="369" t="s">
        <v>571</v>
      </c>
      <c r="AC155" s="369" t="s">
        <v>570</v>
      </c>
      <c r="AD155" s="367" t="s">
        <v>569</v>
      </c>
      <c r="AE155" s="369"/>
      <c r="AF155" s="367" t="s">
        <v>568</v>
      </c>
      <c r="AG155" s="369">
        <v>0</v>
      </c>
      <c r="AH155" s="369">
        <v>0</v>
      </c>
      <c r="AI155" s="517"/>
      <c r="AJ155" s="518" t="s">
        <v>513</v>
      </c>
      <c r="AK155" s="333">
        <f t="shared" si="23"/>
        <v>4</v>
      </c>
      <c r="AL155" s="333">
        <f t="shared" si="24"/>
        <v>2021</v>
      </c>
      <c r="AM155" s="333">
        <f t="shared" si="25"/>
        <v>2033</v>
      </c>
      <c r="AN155" s="334">
        <f t="shared" si="26"/>
        <v>2033.3333333333333</v>
      </c>
      <c r="AO155" s="335">
        <f t="shared" si="27"/>
        <v>8.3107638888888893</v>
      </c>
      <c r="AP155" s="335">
        <f t="shared" si="28"/>
        <v>99.729166666666671</v>
      </c>
      <c r="AQ155" s="332">
        <f t="shared" si="29"/>
        <v>99.729166666666671</v>
      </c>
      <c r="AR155" s="332">
        <f t="shared" si="30"/>
        <v>132.97222222223718</v>
      </c>
      <c r="AS155" s="332">
        <f t="shared" si="31"/>
        <v>232.70138888890386</v>
      </c>
      <c r="AT155" s="332">
        <f t="shared" si="32"/>
        <v>964.04861111109608</v>
      </c>
      <c r="AU155" s="374" t="s">
        <v>59</v>
      </c>
    </row>
    <row r="156" spans="1:47" s="366" customFormat="1" ht="15.75">
      <c r="A156" s="367">
        <v>2112</v>
      </c>
      <c r="B156" s="368">
        <v>250263</v>
      </c>
      <c r="C156" s="367" t="s">
        <v>574</v>
      </c>
      <c r="D156" s="369" t="s">
        <v>1701</v>
      </c>
      <c r="E156" s="367">
        <v>3</v>
      </c>
      <c r="F156" s="369"/>
      <c r="G156" s="369"/>
      <c r="H156" s="369">
        <v>0</v>
      </c>
      <c r="I156" s="369" t="s">
        <v>1361</v>
      </c>
      <c r="J156" s="369"/>
      <c r="K156" s="369" t="s">
        <v>673</v>
      </c>
      <c r="L156" s="370">
        <v>44287</v>
      </c>
      <c r="M156" s="370">
        <v>44287</v>
      </c>
      <c r="N156" s="369" t="s">
        <v>1696</v>
      </c>
      <c r="O156" s="367">
        <v>1200</v>
      </c>
      <c r="P156" s="367">
        <v>14050</v>
      </c>
      <c r="Q156" s="371">
        <v>3082.48</v>
      </c>
      <c r="R156" s="367">
        <v>14056</v>
      </c>
      <c r="S156" s="371">
        <v>599.37</v>
      </c>
      <c r="T156" s="371">
        <f t="shared" si="33"/>
        <v>2483.11</v>
      </c>
      <c r="U156" s="372">
        <v>149.84</v>
      </c>
      <c r="V156" s="367">
        <v>54260</v>
      </c>
      <c r="W156" s="371">
        <v>21.4</v>
      </c>
      <c r="X156" s="369" t="s">
        <v>574</v>
      </c>
      <c r="Y156" s="369"/>
      <c r="Z156" s="369" t="s">
        <v>1695</v>
      </c>
      <c r="AA156" s="369"/>
      <c r="AB156" s="369" t="s">
        <v>571</v>
      </c>
      <c r="AC156" s="369" t="s">
        <v>570</v>
      </c>
      <c r="AD156" s="367" t="s">
        <v>569</v>
      </c>
      <c r="AE156" s="369"/>
      <c r="AF156" s="367" t="s">
        <v>568</v>
      </c>
      <c r="AG156" s="369">
        <v>0</v>
      </c>
      <c r="AH156" s="369">
        <v>0</v>
      </c>
      <c r="AI156" s="517"/>
      <c r="AJ156" s="518" t="s">
        <v>513</v>
      </c>
      <c r="AK156" s="333">
        <f t="shared" si="23"/>
        <v>4</v>
      </c>
      <c r="AL156" s="333">
        <f t="shared" si="24"/>
        <v>2021</v>
      </c>
      <c r="AM156" s="333">
        <f t="shared" si="25"/>
        <v>2033</v>
      </c>
      <c r="AN156" s="334">
        <f t="shared" si="26"/>
        <v>2033.3333333333333</v>
      </c>
      <c r="AO156" s="335">
        <f t="shared" si="27"/>
        <v>21.406111111111112</v>
      </c>
      <c r="AP156" s="335">
        <f t="shared" si="28"/>
        <v>256.87333333333333</v>
      </c>
      <c r="AQ156" s="332">
        <f t="shared" si="29"/>
        <v>256.87333333333333</v>
      </c>
      <c r="AR156" s="332">
        <f t="shared" si="30"/>
        <v>342.49777777781674</v>
      </c>
      <c r="AS156" s="332">
        <f t="shared" si="31"/>
        <v>599.37111111115007</v>
      </c>
      <c r="AT156" s="332">
        <f t="shared" si="32"/>
        <v>2483.1088888888498</v>
      </c>
      <c r="AU156" s="374" t="s">
        <v>59</v>
      </c>
    </row>
    <row r="157" spans="1:47" s="366" customFormat="1" ht="15.75">
      <c r="A157" s="367">
        <v>2112</v>
      </c>
      <c r="B157" s="368">
        <v>250262</v>
      </c>
      <c r="C157" s="367" t="s">
        <v>574</v>
      </c>
      <c r="D157" s="369" t="s">
        <v>1700</v>
      </c>
      <c r="E157" s="367">
        <v>10</v>
      </c>
      <c r="F157" s="369"/>
      <c r="G157" s="369"/>
      <c r="H157" s="369">
        <v>0</v>
      </c>
      <c r="I157" s="369" t="s">
        <v>1361</v>
      </c>
      <c r="J157" s="369"/>
      <c r="K157" s="369" t="s">
        <v>782</v>
      </c>
      <c r="L157" s="370">
        <v>44287</v>
      </c>
      <c r="M157" s="370">
        <v>44287</v>
      </c>
      <c r="N157" s="369" t="s">
        <v>1696</v>
      </c>
      <c r="O157" s="367">
        <v>1200</v>
      </c>
      <c r="P157" s="367">
        <v>14050</v>
      </c>
      <c r="Q157" s="371">
        <v>7356.3</v>
      </c>
      <c r="R157" s="367">
        <v>14056</v>
      </c>
      <c r="S157" s="371">
        <v>1430.4</v>
      </c>
      <c r="T157" s="371">
        <f t="shared" si="33"/>
        <v>5925.9</v>
      </c>
      <c r="U157" s="372">
        <v>357.6</v>
      </c>
      <c r="V157" s="367">
        <v>54260</v>
      </c>
      <c r="W157" s="371">
        <v>51.08</v>
      </c>
      <c r="X157" s="369" t="s">
        <v>574</v>
      </c>
      <c r="Y157" s="369"/>
      <c r="Z157" s="369" t="s">
        <v>1695</v>
      </c>
      <c r="AA157" s="369"/>
      <c r="AB157" s="369" t="s">
        <v>571</v>
      </c>
      <c r="AC157" s="369" t="s">
        <v>570</v>
      </c>
      <c r="AD157" s="367" t="s">
        <v>569</v>
      </c>
      <c r="AE157" s="369"/>
      <c r="AF157" s="367" t="s">
        <v>568</v>
      </c>
      <c r="AG157" s="369">
        <v>0</v>
      </c>
      <c r="AH157" s="369">
        <v>0</v>
      </c>
      <c r="AI157" s="517"/>
      <c r="AJ157" s="518" t="s">
        <v>513</v>
      </c>
      <c r="AK157" s="333">
        <f t="shared" si="23"/>
        <v>4</v>
      </c>
      <c r="AL157" s="333">
        <f t="shared" si="24"/>
        <v>2021</v>
      </c>
      <c r="AM157" s="333">
        <f t="shared" si="25"/>
        <v>2033</v>
      </c>
      <c r="AN157" s="334">
        <f t="shared" si="26"/>
        <v>2033.3333333333333</v>
      </c>
      <c r="AO157" s="335">
        <f t="shared" si="27"/>
        <v>51.085416666666667</v>
      </c>
      <c r="AP157" s="335">
        <f t="shared" si="28"/>
        <v>613.02499999999998</v>
      </c>
      <c r="AQ157" s="332">
        <f t="shared" si="29"/>
        <v>613.02499999999998</v>
      </c>
      <c r="AR157" s="332">
        <f t="shared" si="30"/>
        <v>817.36666666675956</v>
      </c>
      <c r="AS157" s="332">
        <f t="shared" si="31"/>
        <v>1430.3916666667596</v>
      </c>
      <c r="AT157" s="332">
        <f t="shared" si="32"/>
        <v>5925.9083333332401</v>
      </c>
      <c r="AU157" s="374" t="s">
        <v>59</v>
      </c>
    </row>
    <row r="158" spans="1:47" s="366" customFormat="1" ht="15.75">
      <c r="A158" s="367">
        <v>2112</v>
      </c>
      <c r="B158" s="368">
        <v>250261</v>
      </c>
      <c r="C158" s="367" t="s">
        <v>574</v>
      </c>
      <c r="D158" s="369" t="s">
        <v>1699</v>
      </c>
      <c r="E158" s="367">
        <v>2</v>
      </c>
      <c r="F158" s="369"/>
      <c r="G158" s="369"/>
      <c r="H158" s="369">
        <v>0</v>
      </c>
      <c r="I158" s="369" t="s">
        <v>1361</v>
      </c>
      <c r="J158" s="369"/>
      <c r="K158" s="369" t="s">
        <v>636</v>
      </c>
      <c r="L158" s="370">
        <v>44287</v>
      </c>
      <c r="M158" s="370">
        <v>44287</v>
      </c>
      <c r="N158" s="369" t="s">
        <v>1696</v>
      </c>
      <c r="O158" s="367">
        <v>1200</v>
      </c>
      <c r="P158" s="367">
        <v>14050</v>
      </c>
      <c r="Q158" s="371">
        <v>1297.6600000000001</v>
      </c>
      <c r="R158" s="367">
        <v>14056</v>
      </c>
      <c r="S158" s="371">
        <v>252.32</v>
      </c>
      <c r="T158" s="371">
        <f t="shared" si="33"/>
        <v>1045.3400000000001</v>
      </c>
      <c r="U158" s="372">
        <v>63.08</v>
      </c>
      <c r="V158" s="367">
        <v>54260</v>
      </c>
      <c r="W158" s="371">
        <v>9.01</v>
      </c>
      <c r="X158" s="369" t="s">
        <v>574</v>
      </c>
      <c r="Y158" s="369"/>
      <c r="Z158" s="369" t="s">
        <v>1695</v>
      </c>
      <c r="AA158" s="369"/>
      <c r="AB158" s="369" t="s">
        <v>571</v>
      </c>
      <c r="AC158" s="369" t="s">
        <v>570</v>
      </c>
      <c r="AD158" s="367" t="s">
        <v>569</v>
      </c>
      <c r="AE158" s="369"/>
      <c r="AF158" s="367" t="s">
        <v>568</v>
      </c>
      <c r="AG158" s="369">
        <v>0</v>
      </c>
      <c r="AH158" s="369">
        <v>0</v>
      </c>
      <c r="AI158" s="517"/>
      <c r="AJ158" s="518" t="s">
        <v>513</v>
      </c>
      <c r="AK158" s="333">
        <f t="shared" si="23"/>
        <v>4</v>
      </c>
      <c r="AL158" s="333">
        <f t="shared" si="24"/>
        <v>2021</v>
      </c>
      <c r="AM158" s="333">
        <f t="shared" si="25"/>
        <v>2033</v>
      </c>
      <c r="AN158" s="334">
        <f t="shared" si="26"/>
        <v>2033.3333333333333</v>
      </c>
      <c r="AO158" s="335">
        <f t="shared" si="27"/>
        <v>9.0115277777777774</v>
      </c>
      <c r="AP158" s="335">
        <f t="shared" si="28"/>
        <v>108.13833333333332</v>
      </c>
      <c r="AQ158" s="332">
        <f t="shared" si="29"/>
        <v>108.13833333333332</v>
      </c>
      <c r="AR158" s="332">
        <f t="shared" si="30"/>
        <v>144.18444444446095</v>
      </c>
      <c r="AS158" s="332">
        <f t="shared" si="31"/>
        <v>252.32277777779427</v>
      </c>
      <c r="AT158" s="332">
        <f t="shared" si="32"/>
        <v>1045.3372222222058</v>
      </c>
      <c r="AU158" s="374" t="s">
        <v>59</v>
      </c>
    </row>
    <row r="159" spans="1:47" s="366" customFormat="1" ht="15.75">
      <c r="A159" s="367">
        <v>2112</v>
      </c>
      <c r="B159" s="368">
        <v>250260</v>
      </c>
      <c r="C159" s="367" t="s">
        <v>574</v>
      </c>
      <c r="D159" s="369" t="s">
        <v>1698</v>
      </c>
      <c r="E159" s="367">
        <v>15</v>
      </c>
      <c r="F159" s="369"/>
      <c r="G159" s="369"/>
      <c r="H159" s="369">
        <v>0</v>
      </c>
      <c r="I159" s="369" t="s">
        <v>1361</v>
      </c>
      <c r="J159" s="369"/>
      <c r="K159" s="369" t="s">
        <v>671</v>
      </c>
      <c r="L159" s="370">
        <v>44287</v>
      </c>
      <c r="M159" s="370">
        <v>44287</v>
      </c>
      <c r="N159" s="369" t="s">
        <v>1696</v>
      </c>
      <c r="O159" s="367">
        <v>1200</v>
      </c>
      <c r="P159" s="367">
        <v>14050</v>
      </c>
      <c r="Q159" s="371">
        <v>9211.65</v>
      </c>
      <c r="R159" s="367">
        <v>14056</v>
      </c>
      <c r="S159" s="371">
        <v>1791.16</v>
      </c>
      <c r="T159" s="371">
        <f t="shared" si="33"/>
        <v>7420.49</v>
      </c>
      <c r="U159" s="372">
        <v>447.79</v>
      </c>
      <c r="V159" s="367">
        <v>54260</v>
      </c>
      <c r="W159" s="371">
        <v>63.97</v>
      </c>
      <c r="X159" s="369" t="s">
        <v>574</v>
      </c>
      <c r="Y159" s="369"/>
      <c r="Z159" s="369" t="s">
        <v>1695</v>
      </c>
      <c r="AA159" s="369"/>
      <c r="AB159" s="369" t="s">
        <v>571</v>
      </c>
      <c r="AC159" s="369" t="s">
        <v>570</v>
      </c>
      <c r="AD159" s="367" t="s">
        <v>569</v>
      </c>
      <c r="AE159" s="369"/>
      <c r="AF159" s="367" t="s">
        <v>568</v>
      </c>
      <c r="AG159" s="369">
        <v>0</v>
      </c>
      <c r="AH159" s="369">
        <v>0</v>
      </c>
      <c r="AI159" s="517"/>
      <c r="AJ159" s="518" t="s">
        <v>513</v>
      </c>
      <c r="AK159" s="333">
        <f t="shared" si="23"/>
        <v>4</v>
      </c>
      <c r="AL159" s="333">
        <f t="shared" si="24"/>
        <v>2021</v>
      </c>
      <c r="AM159" s="333">
        <f t="shared" si="25"/>
        <v>2033</v>
      </c>
      <c r="AN159" s="334">
        <f t="shared" si="26"/>
        <v>2033.3333333333333</v>
      </c>
      <c r="AO159" s="335">
        <f t="shared" si="27"/>
        <v>63.969791666666659</v>
      </c>
      <c r="AP159" s="335">
        <f t="shared" si="28"/>
        <v>767.63749999999993</v>
      </c>
      <c r="AQ159" s="332">
        <f t="shared" si="29"/>
        <v>767.63749999999993</v>
      </c>
      <c r="AR159" s="332">
        <f t="shared" si="30"/>
        <v>1023.5166666667837</v>
      </c>
      <c r="AS159" s="332">
        <f t="shared" si="31"/>
        <v>1791.1541666667836</v>
      </c>
      <c r="AT159" s="332">
        <f t="shared" si="32"/>
        <v>7420.4958333332161</v>
      </c>
      <c r="AU159" s="374" t="s">
        <v>59</v>
      </c>
    </row>
    <row r="160" spans="1:47" s="366" customFormat="1" ht="15.75">
      <c r="A160" s="367">
        <v>2112</v>
      </c>
      <c r="B160" s="368">
        <v>250259</v>
      </c>
      <c r="C160" s="367" t="s">
        <v>574</v>
      </c>
      <c r="D160" s="369" t="s">
        <v>1697</v>
      </c>
      <c r="E160" s="367">
        <v>6</v>
      </c>
      <c r="F160" s="369"/>
      <c r="G160" s="369"/>
      <c r="H160" s="369">
        <v>0</v>
      </c>
      <c r="I160" s="369" t="s">
        <v>1361</v>
      </c>
      <c r="J160" s="369"/>
      <c r="K160" s="369" t="s">
        <v>578</v>
      </c>
      <c r="L160" s="370">
        <v>44287</v>
      </c>
      <c r="M160" s="370">
        <v>44287</v>
      </c>
      <c r="N160" s="369" t="s">
        <v>1696</v>
      </c>
      <c r="O160" s="367">
        <v>1200</v>
      </c>
      <c r="P160" s="367">
        <v>14050</v>
      </c>
      <c r="Q160" s="371">
        <v>3105.27</v>
      </c>
      <c r="R160" s="367">
        <v>14056</v>
      </c>
      <c r="S160" s="371">
        <v>603.79999999999995</v>
      </c>
      <c r="T160" s="371">
        <f t="shared" si="33"/>
        <v>2501.4700000000003</v>
      </c>
      <c r="U160" s="372">
        <v>150.94999999999999</v>
      </c>
      <c r="V160" s="367">
        <v>54260</v>
      </c>
      <c r="W160" s="371">
        <v>21.56</v>
      </c>
      <c r="X160" s="369" t="s">
        <v>574</v>
      </c>
      <c r="Y160" s="369"/>
      <c r="Z160" s="369" t="s">
        <v>1695</v>
      </c>
      <c r="AA160" s="369"/>
      <c r="AB160" s="369" t="s">
        <v>571</v>
      </c>
      <c r="AC160" s="369" t="s">
        <v>570</v>
      </c>
      <c r="AD160" s="367" t="s">
        <v>569</v>
      </c>
      <c r="AE160" s="369"/>
      <c r="AF160" s="367" t="s">
        <v>568</v>
      </c>
      <c r="AG160" s="369">
        <v>0</v>
      </c>
      <c r="AH160" s="369">
        <v>0</v>
      </c>
      <c r="AI160" s="517"/>
      <c r="AJ160" s="518" t="s">
        <v>513</v>
      </c>
      <c r="AK160" s="333">
        <f t="shared" si="23"/>
        <v>4</v>
      </c>
      <c r="AL160" s="333">
        <f t="shared" si="24"/>
        <v>2021</v>
      </c>
      <c r="AM160" s="333">
        <f t="shared" si="25"/>
        <v>2033</v>
      </c>
      <c r="AN160" s="334">
        <f t="shared" si="26"/>
        <v>2033.3333333333333</v>
      </c>
      <c r="AO160" s="335">
        <f t="shared" si="27"/>
        <v>21.564374999999998</v>
      </c>
      <c r="AP160" s="335">
        <f t="shared" si="28"/>
        <v>258.77249999999998</v>
      </c>
      <c r="AQ160" s="332">
        <f t="shared" si="29"/>
        <v>258.77249999999998</v>
      </c>
      <c r="AR160" s="332">
        <f t="shared" si="30"/>
        <v>345.03000000003931</v>
      </c>
      <c r="AS160" s="332">
        <f t="shared" si="31"/>
        <v>603.80250000003934</v>
      </c>
      <c r="AT160" s="332">
        <f t="shared" si="32"/>
        <v>2501.4674999999606</v>
      </c>
      <c r="AU160" s="374" t="s">
        <v>59</v>
      </c>
    </row>
    <row r="161" spans="1:47" s="366" customFormat="1" ht="15.75">
      <c r="A161" s="367">
        <v>2112</v>
      </c>
      <c r="B161" s="368">
        <v>248118</v>
      </c>
      <c r="C161" s="367" t="s">
        <v>574</v>
      </c>
      <c r="D161" s="369" t="s">
        <v>1694</v>
      </c>
      <c r="E161" s="367">
        <v>351</v>
      </c>
      <c r="F161" s="369"/>
      <c r="G161" s="369" t="s">
        <v>1394</v>
      </c>
      <c r="H161" s="369">
        <v>0</v>
      </c>
      <c r="I161" s="369" t="s">
        <v>1335</v>
      </c>
      <c r="J161" s="369"/>
      <c r="K161" s="369" t="s">
        <v>1692</v>
      </c>
      <c r="L161" s="370">
        <v>44277</v>
      </c>
      <c r="M161" s="370">
        <v>44277</v>
      </c>
      <c r="N161" s="369" t="s">
        <v>1691</v>
      </c>
      <c r="O161" s="367">
        <v>700</v>
      </c>
      <c r="P161" s="367">
        <v>14050</v>
      </c>
      <c r="Q161" s="371">
        <v>16974.919999999998</v>
      </c>
      <c r="R161" s="367">
        <v>14056</v>
      </c>
      <c r="S161" s="371">
        <v>5658.31</v>
      </c>
      <c r="T161" s="371">
        <f t="shared" si="33"/>
        <v>11316.609999999997</v>
      </c>
      <c r="U161" s="372">
        <v>1414.58</v>
      </c>
      <c r="V161" s="367">
        <v>54260</v>
      </c>
      <c r="W161" s="371">
        <v>202.08</v>
      </c>
      <c r="X161" s="369" t="s">
        <v>574</v>
      </c>
      <c r="Y161" s="369"/>
      <c r="Z161" s="369">
        <v>50158176</v>
      </c>
      <c r="AA161" s="369"/>
      <c r="AB161" s="369" t="s">
        <v>571</v>
      </c>
      <c r="AC161" s="369" t="s">
        <v>570</v>
      </c>
      <c r="AD161" s="367" t="s">
        <v>569</v>
      </c>
      <c r="AE161" s="369"/>
      <c r="AF161" s="367" t="s">
        <v>568</v>
      </c>
      <c r="AG161" s="369">
        <v>0</v>
      </c>
      <c r="AH161" s="369">
        <v>0</v>
      </c>
      <c r="AI161" s="517"/>
      <c r="AJ161" s="518" t="s">
        <v>255</v>
      </c>
      <c r="AK161" s="333">
        <f t="shared" si="23"/>
        <v>3</v>
      </c>
      <c r="AL161" s="333">
        <f t="shared" si="24"/>
        <v>2021</v>
      </c>
      <c r="AM161" s="333">
        <f t="shared" si="25"/>
        <v>2028</v>
      </c>
      <c r="AN161" s="334">
        <f t="shared" si="26"/>
        <v>2028.25</v>
      </c>
      <c r="AO161" s="335">
        <f t="shared" si="27"/>
        <v>202.08238095238093</v>
      </c>
      <c r="AP161" s="335">
        <f t="shared" si="28"/>
        <v>2424.988571428571</v>
      </c>
      <c r="AQ161" s="332">
        <f t="shared" si="29"/>
        <v>2424.988571428571</v>
      </c>
      <c r="AR161" s="332">
        <f t="shared" si="30"/>
        <v>3435.4004761906599</v>
      </c>
      <c r="AS161" s="332">
        <f t="shared" si="31"/>
        <v>5860.389047619231</v>
      </c>
      <c r="AT161" s="332">
        <f t="shared" si="32"/>
        <v>11114.530952380766</v>
      </c>
      <c r="AU161" s="374" t="s">
        <v>59</v>
      </c>
    </row>
    <row r="162" spans="1:47" s="366" customFormat="1" ht="15.75">
      <c r="A162" s="367">
        <v>2112</v>
      </c>
      <c r="B162" s="368">
        <v>248117</v>
      </c>
      <c r="C162" s="367" t="s">
        <v>574</v>
      </c>
      <c r="D162" s="369" t="s">
        <v>1693</v>
      </c>
      <c r="E162" s="367">
        <v>351</v>
      </c>
      <c r="F162" s="369"/>
      <c r="G162" s="369" t="s">
        <v>1394</v>
      </c>
      <c r="H162" s="369">
        <v>0</v>
      </c>
      <c r="I162" s="369" t="s">
        <v>1335</v>
      </c>
      <c r="J162" s="369"/>
      <c r="K162" s="369" t="s">
        <v>1692</v>
      </c>
      <c r="L162" s="370">
        <v>44277</v>
      </c>
      <c r="M162" s="370">
        <v>44277</v>
      </c>
      <c r="N162" s="369" t="s">
        <v>1691</v>
      </c>
      <c r="O162" s="367">
        <v>700</v>
      </c>
      <c r="P162" s="367">
        <v>14050</v>
      </c>
      <c r="Q162" s="371">
        <v>16974.919999999998</v>
      </c>
      <c r="R162" s="367">
        <v>14056</v>
      </c>
      <c r="S162" s="371">
        <v>5658.31</v>
      </c>
      <c r="T162" s="371">
        <f t="shared" si="33"/>
        <v>11316.609999999997</v>
      </c>
      <c r="U162" s="372">
        <v>1414.58</v>
      </c>
      <c r="V162" s="367">
        <v>54260</v>
      </c>
      <c r="W162" s="371">
        <v>202.08</v>
      </c>
      <c r="X162" s="369" t="s">
        <v>574</v>
      </c>
      <c r="Y162" s="369"/>
      <c r="Z162" s="369">
        <v>50158176</v>
      </c>
      <c r="AA162" s="369"/>
      <c r="AB162" s="369" t="s">
        <v>571</v>
      </c>
      <c r="AC162" s="369" t="s">
        <v>570</v>
      </c>
      <c r="AD162" s="367" t="s">
        <v>569</v>
      </c>
      <c r="AE162" s="369"/>
      <c r="AF162" s="367" t="s">
        <v>568</v>
      </c>
      <c r="AG162" s="369">
        <v>0</v>
      </c>
      <c r="AH162" s="369">
        <v>0</v>
      </c>
      <c r="AI162" s="517"/>
      <c r="AJ162" s="518" t="s">
        <v>1895</v>
      </c>
      <c r="AK162" s="333">
        <f t="shared" si="23"/>
        <v>3</v>
      </c>
      <c r="AL162" s="333">
        <f t="shared" si="24"/>
        <v>2021</v>
      </c>
      <c r="AM162" s="333">
        <f t="shared" si="25"/>
        <v>2028</v>
      </c>
      <c r="AN162" s="334">
        <f t="shared" si="26"/>
        <v>2028.25</v>
      </c>
      <c r="AO162" s="335">
        <f t="shared" si="27"/>
        <v>202.08238095238093</v>
      </c>
      <c r="AP162" s="335">
        <f t="shared" si="28"/>
        <v>2424.988571428571</v>
      </c>
      <c r="AQ162" s="332">
        <f t="shared" si="29"/>
        <v>2424.988571428571</v>
      </c>
      <c r="AR162" s="332">
        <f t="shared" si="30"/>
        <v>3435.4004761906599</v>
      </c>
      <c r="AS162" s="332">
        <f t="shared" si="31"/>
        <v>5860.389047619231</v>
      </c>
      <c r="AT162" s="332">
        <f t="shared" si="32"/>
        <v>11114.530952380766</v>
      </c>
      <c r="AU162" s="374" t="s">
        <v>59</v>
      </c>
    </row>
    <row r="163" spans="1:47" s="366" customFormat="1" ht="15.75">
      <c r="A163" s="367">
        <v>2112</v>
      </c>
      <c r="B163" s="368">
        <v>247674</v>
      </c>
      <c r="C163" s="367">
        <v>246027</v>
      </c>
      <c r="D163" s="369" t="s">
        <v>1650</v>
      </c>
      <c r="E163" s="367"/>
      <c r="F163" s="369"/>
      <c r="G163" s="369"/>
      <c r="H163" s="369">
        <v>0</v>
      </c>
      <c r="I163" s="369" t="s">
        <v>1690</v>
      </c>
      <c r="J163" s="369"/>
      <c r="K163" s="369"/>
      <c r="L163" s="370">
        <v>44217</v>
      </c>
      <c r="M163" s="370">
        <v>44217</v>
      </c>
      <c r="N163" s="369" t="s">
        <v>1649</v>
      </c>
      <c r="O163" s="367">
        <v>2000</v>
      </c>
      <c r="P163" s="367">
        <v>14080</v>
      </c>
      <c r="Q163" s="371">
        <v>36284.36</v>
      </c>
      <c r="R163" s="367">
        <v>14086</v>
      </c>
      <c r="S163" s="371">
        <v>4535.55</v>
      </c>
      <c r="T163" s="371">
        <f t="shared" si="33"/>
        <v>31748.81</v>
      </c>
      <c r="U163" s="372">
        <v>1058.3</v>
      </c>
      <c r="V163" s="367">
        <v>57260</v>
      </c>
      <c r="W163" s="371">
        <v>151.19</v>
      </c>
      <c r="X163" s="369" t="s">
        <v>574</v>
      </c>
      <c r="Y163" s="369"/>
      <c r="Z163" s="369" t="s">
        <v>1687</v>
      </c>
      <c r="AA163" s="369"/>
      <c r="AB163" s="369" t="s">
        <v>571</v>
      </c>
      <c r="AC163" s="369" t="s">
        <v>570</v>
      </c>
      <c r="AD163" s="367" t="s">
        <v>569</v>
      </c>
      <c r="AE163" s="369"/>
      <c r="AF163" s="367" t="s">
        <v>568</v>
      </c>
      <c r="AG163" s="369">
        <v>0</v>
      </c>
      <c r="AH163" s="369">
        <v>0</v>
      </c>
      <c r="AI163" s="517"/>
      <c r="AJ163" s="518" t="s">
        <v>1647</v>
      </c>
      <c r="AK163" s="333">
        <f t="shared" si="23"/>
        <v>1</v>
      </c>
      <c r="AL163" s="333">
        <f t="shared" si="24"/>
        <v>2021</v>
      </c>
      <c r="AM163" s="333">
        <f t="shared" si="25"/>
        <v>2041</v>
      </c>
      <c r="AN163" s="334">
        <f t="shared" si="26"/>
        <v>2041.0833333333333</v>
      </c>
      <c r="AO163" s="335">
        <f t="shared" si="27"/>
        <v>151.18483333333333</v>
      </c>
      <c r="AP163" s="335">
        <f t="shared" si="28"/>
        <v>1814.2179999999998</v>
      </c>
      <c r="AQ163" s="332">
        <f t="shared" si="29"/>
        <v>1814.2179999999998</v>
      </c>
      <c r="AR163" s="332">
        <f t="shared" si="30"/>
        <v>2872.5118333336068</v>
      </c>
      <c r="AS163" s="332">
        <f t="shared" si="31"/>
        <v>4686.7298333336066</v>
      </c>
      <c r="AT163" s="332">
        <f t="shared" si="32"/>
        <v>31597.630166666393</v>
      </c>
      <c r="AU163" s="374" t="s">
        <v>59</v>
      </c>
    </row>
    <row r="164" spans="1:47" s="366" customFormat="1" ht="15.75">
      <c r="A164" s="367">
        <v>2112</v>
      </c>
      <c r="B164" s="368">
        <v>246794</v>
      </c>
      <c r="C164" s="367" t="s">
        <v>574</v>
      </c>
      <c r="D164" s="369" t="s">
        <v>1689</v>
      </c>
      <c r="E164" s="367">
        <v>480</v>
      </c>
      <c r="F164" s="369"/>
      <c r="G164" s="369"/>
      <c r="H164" s="369">
        <v>0</v>
      </c>
      <c r="I164" s="369" t="s">
        <v>886</v>
      </c>
      <c r="J164" s="369"/>
      <c r="K164" s="369" t="s">
        <v>1564</v>
      </c>
      <c r="L164" s="370">
        <v>44215</v>
      </c>
      <c r="M164" s="370">
        <v>44215</v>
      </c>
      <c r="N164" s="369" t="s">
        <v>1688</v>
      </c>
      <c r="O164" s="367">
        <v>500</v>
      </c>
      <c r="P164" s="367">
        <v>14050</v>
      </c>
      <c r="Q164" s="371">
        <v>4674.05</v>
      </c>
      <c r="R164" s="367">
        <v>14056</v>
      </c>
      <c r="S164" s="371">
        <v>2336.9699999999998</v>
      </c>
      <c r="T164" s="371">
        <f t="shared" si="33"/>
        <v>2337.0800000000004</v>
      </c>
      <c r="U164" s="372">
        <v>545.29</v>
      </c>
      <c r="V164" s="367">
        <v>54260</v>
      </c>
      <c r="W164" s="371">
        <v>77.89</v>
      </c>
      <c r="X164" s="369" t="s">
        <v>574</v>
      </c>
      <c r="Y164" s="369"/>
      <c r="Z164" s="369">
        <v>31875</v>
      </c>
      <c r="AA164" s="369"/>
      <c r="AB164" s="369" t="s">
        <v>571</v>
      </c>
      <c r="AC164" s="369" t="s">
        <v>570</v>
      </c>
      <c r="AD164" s="367" t="s">
        <v>569</v>
      </c>
      <c r="AE164" s="369"/>
      <c r="AF164" s="367" t="s">
        <v>568</v>
      </c>
      <c r="AG164" s="369">
        <v>0</v>
      </c>
      <c r="AH164" s="369">
        <v>0</v>
      </c>
      <c r="AI164" s="517"/>
      <c r="AJ164" s="518" t="s">
        <v>1894</v>
      </c>
      <c r="AK164" s="333">
        <f t="shared" si="23"/>
        <v>1</v>
      </c>
      <c r="AL164" s="333">
        <f t="shared" si="24"/>
        <v>2021</v>
      </c>
      <c r="AM164" s="333">
        <f t="shared" si="25"/>
        <v>2026</v>
      </c>
      <c r="AN164" s="334">
        <f t="shared" si="26"/>
        <v>2026.0833333333333</v>
      </c>
      <c r="AO164" s="335">
        <f t="shared" si="27"/>
        <v>77.900833333333338</v>
      </c>
      <c r="AP164" s="335">
        <f t="shared" si="28"/>
        <v>934.81000000000006</v>
      </c>
      <c r="AQ164" s="332">
        <f t="shared" si="29"/>
        <v>934.81000000000006</v>
      </c>
      <c r="AR164" s="332">
        <f t="shared" si="30"/>
        <v>1480.1158333334752</v>
      </c>
      <c r="AS164" s="332">
        <f t="shared" si="31"/>
        <v>2414.9258333334751</v>
      </c>
      <c r="AT164" s="332">
        <f t="shared" si="32"/>
        <v>2259.1241666665251</v>
      </c>
      <c r="AU164" s="374" t="s">
        <v>59</v>
      </c>
    </row>
    <row r="165" spans="1:47" s="366" customFormat="1" ht="15.75">
      <c r="A165" s="367">
        <v>2112</v>
      </c>
      <c r="B165" s="368">
        <v>246599</v>
      </c>
      <c r="C165" s="367">
        <v>246027</v>
      </c>
      <c r="D165" s="369" t="s">
        <v>1650</v>
      </c>
      <c r="E165" s="367"/>
      <c r="F165" s="369"/>
      <c r="G165" s="369"/>
      <c r="H165" s="369">
        <v>0</v>
      </c>
      <c r="I165" s="369" t="s">
        <v>1645</v>
      </c>
      <c r="J165" s="369"/>
      <c r="K165" s="369"/>
      <c r="L165" s="370">
        <v>44217</v>
      </c>
      <c r="M165" s="370">
        <v>44217</v>
      </c>
      <c r="N165" s="369" t="s">
        <v>1649</v>
      </c>
      <c r="O165" s="367">
        <v>2000</v>
      </c>
      <c r="P165" s="367">
        <v>14080</v>
      </c>
      <c r="Q165" s="371">
        <v>-22013.78</v>
      </c>
      <c r="R165" s="367">
        <v>14086</v>
      </c>
      <c r="S165" s="371">
        <v>-2751.73</v>
      </c>
      <c r="T165" s="371">
        <f t="shared" si="33"/>
        <v>-19262.05</v>
      </c>
      <c r="U165" s="372">
        <v>-642.07000000000005</v>
      </c>
      <c r="V165" s="367">
        <v>57260</v>
      </c>
      <c r="W165" s="371">
        <v>-91.72</v>
      </c>
      <c r="X165" s="369" t="s">
        <v>574</v>
      </c>
      <c r="Y165" s="369"/>
      <c r="Z165" s="369" t="s">
        <v>1687</v>
      </c>
      <c r="AA165" s="369"/>
      <c r="AB165" s="369" t="s">
        <v>571</v>
      </c>
      <c r="AC165" s="369" t="s">
        <v>570</v>
      </c>
      <c r="AD165" s="367" t="s">
        <v>569</v>
      </c>
      <c r="AE165" s="369"/>
      <c r="AF165" s="367" t="s">
        <v>568</v>
      </c>
      <c r="AG165" s="369">
        <v>0</v>
      </c>
      <c r="AH165" s="369">
        <v>0</v>
      </c>
      <c r="AI165" s="517"/>
      <c r="AJ165" s="518" t="s">
        <v>1647</v>
      </c>
      <c r="AK165" s="333">
        <f t="shared" si="23"/>
        <v>1</v>
      </c>
      <c r="AL165" s="333">
        <f t="shared" si="24"/>
        <v>2021</v>
      </c>
      <c r="AM165" s="333">
        <f t="shared" si="25"/>
        <v>2041</v>
      </c>
      <c r="AN165" s="334">
        <f t="shared" si="26"/>
        <v>2041.0833333333333</v>
      </c>
      <c r="AO165" s="335">
        <f t="shared" si="27"/>
        <v>-91.724083333333326</v>
      </c>
      <c r="AP165" s="335">
        <f t="shared" si="28"/>
        <v>-1100.6889999999999</v>
      </c>
      <c r="AQ165" s="332">
        <f t="shared" si="29"/>
        <v>-1100.6889999999999</v>
      </c>
      <c r="AR165" s="332">
        <f t="shared" si="30"/>
        <v>-1742.7575833334995</v>
      </c>
      <c r="AS165" s="332">
        <f t="shared" si="31"/>
        <v>-2843.4465833334993</v>
      </c>
      <c r="AT165" s="332">
        <f t="shared" si="32"/>
        <v>-19170.333416666501</v>
      </c>
      <c r="AU165" s="374" t="s">
        <v>59</v>
      </c>
    </row>
    <row r="166" spans="1:47" s="366" customFormat="1" ht="15.75">
      <c r="A166" s="367">
        <v>2112</v>
      </c>
      <c r="B166" s="368">
        <v>246144</v>
      </c>
      <c r="C166" s="367" t="s">
        <v>574</v>
      </c>
      <c r="D166" s="369" t="s">
        <v>1686</v>
      </c>
      <c r="E166" s="367">
        <v>4</v>
      </c>
      <c r="F166" s="369"/>
      <c r="G166" s="369"/>
      <c r="H166" s="369">
        <v>0</v>
      </c>
      <c r="I166" s="369" t="s">
        <v>1685</v>
      </c>
      <c r="J166" s="369"/>
      <c r="K166" s="369"/>
      <c r="L166" s="370">
        <v>44227</v>
      </c>
      <c r="M166" s="370">
        <v>44227</v>
      </c>
      <c r="N166" s="369" t="s">
        <v>1684</v>
      </c>
      <c r="O166" s="367">
        <v>500</v>
      </c>
      <c r="P166" s="367">
        <v>14070</v>
      </c>
      <c r="Q166" s="371">
        <v>42005.78</v>
      </c>
      <c r="R166" s="367">
        <v>14076</v>
      </c>
      <c r="S166" s="371">
        <v>21002.9</v>
      </c>
      <c r="T166" s="371">
        <f t="shared" si="33"/>
        <v>21002.879999999997</v>
      </c>
      <c r="U166" s="372">
        <v>4900.68</v>
      </c>
      <c r="V166" s="367">
        <v>51260</v>
      </c>
      <c r="W166" s="371">
        <v>700.1</v>
      </c>
      <c r="X166" s="369" t="s">
        <v>574</v>
      </c>
      <c r="Y166" s="369"/>
      <c r="Z166" s="369">
        <v>115568</v>
      </c>
      <c r="AA166" s="369"/>
      <c r="AB166" s="369" t="s">
        <v>571</v>
      </c>
      <c r="AC166" s="369" t="s">
        <v>570</v>
      </c>
      <c r="AD166" s="367" t="s">
        <v>569</v>
      </c>
      <c r="AE166" s="369"/>
      <c r="AF166" s="367" t="s">
        <v>568</v>
      </c>
      <c r="AG166" s="369">
        <v>0</v>
      </c>
      <c r="AH166" s="369">
        <v>0</v>
      </c>
      <c r="AI166" s="517"/>
      <c r="AJ166" s="518" t="s">
        <v>80</v>
      </c>
      <c r="AK166" s="333">
        <f t="shared" si="23"/>
        <v>1</v>
      </c>
      <c r="AL166" s="333">
        <f t="shared" si="24"/>
        <v>2021</v>
      </c>
      <c r="AM166" s="333">
        <f t="shared" si="25"/>
        <v>2026</v>
      </c>
      <c r="AN166" s="334">
        <f t="shared" si="26"/>
        <v>2026.0833333333333</v>
      </c>
      <c r="AO166" s="335">
        <f t="shared" si="27"/>
        <v>700.09633333333329</v>
      </c>
      <c r="AP166" s="335">
        <f t="shared" si="28"/>
        <v>8401.155999999999</v>
      </c>
      <c r="AQ166" s="332">
        <f t="shared" si="29"/>
        <v>8401.155999999999</v>
      </c>
      <c r="AR166" s="332">
        <f t="shared" si="30"/>
        <v>13301.830333334608</v>
      </c>
      <c r="AS166" s="332">
        <f t="shared" si="31"/>
        <v>21702.986333334607</v>
      </c>
      <c r="AT166" s="332">
        <f t="shared" si="32"/>
        <v>20302.793666665391</v>
      </c>
      <c r="AU166" s="374" t="s">
        <v>59</v>
      </c>
    </row>
    <row r="167" spans="1:47" s="366" customFormat="1" ht="15.75">
      <c r="A167" s="367">
        <v>2112</v>
      </c>
      <c r="B167" s="368">
        <v>246088</v>
      </c>
      <c r="C167" s="367" t="s">
        <v>574</v>
      </c>
      <c r="D167" s="369" t="s">
        <v>1683</v>
      </c>
      <c r="E167" s="367"/>
      <c r="F167" s="369" t="s">
        <v>1682</v>
      </c>
      <c r="G167" s="369" t="s">
        <v>1681</v>
      </c>
      <c r="H167" s="369">
        <v>2017</v>
      </c>
      <c r="I167" s="369" t="s">
        <v>998</v>
      </c>
      <c r="J167" s="369" t="s">
        <v>820</v>
      </c>
      <c r="K167" s="369" t="s">
        <v>1575</v>
      </c>
      <c r="L167" s="370">
        <v>42676</v>
      </c>
      <c r="M167" s="370">
        <v>42676</v>
      </c>
      <c r="N167" s="369" t="s">
        <v>1680</v>
      </c>
      <c r="O167" s="367">
        <v>1000</v>
      </c>
      <c r="P167" s="367">
        <v>14040</v>
      </c>
      <c r="Q167" s="371">
        <v>154776.29999999999</v>
      </c>
      <c r="R167" s="367">
        <v>14046</v>
      </c>
      <c r="S167" s="371">
        <v>104474.01</v>
      </c>
      <c r="T167" s="371">
        <f t="shared" si="33"/>
        <v>50302.289999999994</v>
      </c>
      <c r="U167" s="372">
        <v>9028.6200000000008</v>
      </c>
      <c r="V167" s="367">
        <v>51260</v>
      </c>
      <c r="W167" s="371">
        <v>1289.8</v>
      </c>
      <c r="X167" s="369" t="s">
        <v>574</v>
      </c>
      <c r="Y167" s="369"/>
      <c r="Z167" s="369" t="s">
        <v>1679</v>
      </c>
      <c r="AA167" s="369">
        <v>159</v>
      </c>
      <c r="AB167" s="369" t="s">
        <v>571</v>
      </c>
      <c r="AC167" s="369" t="s">
        <v>570</v>
      </c>
      <c r="AD167" s="367" t="s">
        <v>569</v>
      </c>
      <c r="AE167" s="373">
        <v>44196</v>
      </c>
      <c r="AF167" s="367" t="s">
        <v>568</v>
      </c>
      <c r="AG167" s="369">
        <v>0</v>
      </c>
      <c r="AH167" s="369">
        <v>64490.13</v>
      </c>
      <c r="AI167" s="517">
        <v>159</v>
      </c>
      <c r="AJ167" s="518" t="s">
        <v>1882</v>
      </c>
      <c r="AK167" s="333">
        <f t="shared" si="23"/>
        <v>11</v>
      </c>
      <c r="AL167" s="333">
        <f t="shared" si="24"/>
        <v>2016</v>
      </c>
      <c r="AM167" s="333">
        <f t="shared" si="25"/>
        <v>2026</v>
      </c>
      <c r="AN167" s="334">
        <f t="shared" si="26"/>
        <v>2026.9166666666667</v>
      </c>
      <c r="AO167" s="335">
        <f t="shared" si="27"/>
        <v>1289.8025</v>
      </c>
      <c r="AP167" s="335">
        <f t="shared" si="28"/>
        <v>15477.630000000001</v>
      </c>
      <c r="AQ167" s="332">
        <f t="shared" si="29"/>
        <v>15477.630000000001</v>
      </c>
      <c r="AR167" s="332">
        <f t="shared" si="30"/>
        <v>88996.372499999983</v>
      </c>
      <c r="AS167" s="332">
        <f t="shared" si="31"/>
        <v>104474.00249999999</v>
      </c>
      <c r="AT167" s="332">
        <f t="shared" si="32"/>
        <v>50302.297500000001</v>
      </c>
      <c r="AU167" s="374" t="s">
        <v>59</v>
      </c>
    </row>
    <row r="168" spans="1:47" s="366" customFormat="1" ht="15.75">
      <c r="A168" s="367">
        <v>2112</v>
      </c>
      <c r="B168" s="368">
        <v>246087</v>
      </c>
      <c r="C168" s="367">
        <v>246084</v>
      </c>
      <c r="D168" s="369" t="s">
        <v>1678</v>
      </c>
      <c r="E168" s="367"/>
      <c r="F168" s="369"/>
      <c r="G168" s="369"/>
      <c r="H168" s="369">
        <v>0</v>
      </c>
      <c r="I168" s="369" t="s">
        <v>1578</v>
      </c>
      <c r="J168" s="369"/>
      <c r="K168" s="369" t="s">
        <v>572</v>
      </c>
      <c r="L168" s="370">
        <v>42005</v>
      </c>
      <c r="M168" s="370">
        <v>42005</v>
      </c>
      <c r="N168" s="369" t="s">
        <v>1677</v>
      </c>
      <c r="O168" s="367">
        <v>300</v>
      </c>
      <c r="P168" s="367">
        <v>14040</v>
      </c>
      <c r="Q168" s="371">
        <v>20915</v>
      </c>
      <c r="R168" s="367">
        <v>14046</v>
      </c>
      <c r="S168" s="371">
        <v>20915</v>
      </c>
      <c r="T168" s="371">
        <f t="shared" si="33"/>
        <v>0</v>
      </c>
      <c r="U168" s="372">
        <v>0</v>
      </c>
      <c r="V168" s="367">
        <v>51260</v>
      </c>
      <c r="W168" s="371">
        <v>0</v>
      </c>
      <c r="X168" s="369" t="s">
        <v>574</v>
      </c>
      <c r="Y168" s="369"/>
      <c r="Z168" s="369" t="s">
        <v>1676</v>
      </c>
      <c r="AA168" s="369"/>
      <c r="AB168" s="369" t="s">
        <v>571</v>
      </c>
      <c r="AC168" s="369" t="s">
        <v>570</v>
      </c>
      <c r="AD168" s="367" t="s">
        <v>569</v>
      </c>
      <c r="AE168" s="373">
        <v>44196</v>
      </c>
      <c r="AF168" s="367" t="s">
        <v>568</v>
      </c>
      <c r="AG168" s="369">
        <v>0</v>
      </c>
      <c r="AH168" s="369">
        <v>20915</v>
      </c>
      <c r="AI168" s="517">
        <v>153</v>
      </c>
      <c r="AJ168" s="518" t="s">
        <v>1882</v>
      </c>
      <c r="AK168" s="333">
        <f t="shared" si="23"/>
        <v>1</v>
      </c>
      <c r="AL168" s="333">
        <f t="shared" si="24"/>
        <v>2015</v>
      </c>
      <c r="AM168" s="333">
        <f t="shared" si="25"/>
        <v>2018</v>
      </c>
      <c r="AN168" s="334">
        <f t="shared" si="26"/>
        <v>2018.0833333333333</v>
      </c>
      <c r="AO168" s="335">
        <f t="shared" si="27"/>
        <v>580.97222222222229</v>
      </c>
      <c r="AP168" s="335">
        <f t="shared" si="28"/>
        <v>6971.6666666666679</v>
      </c>
      <c r="AQ168" s="332">
        <f t="shared" si="29"/>
        <v>0</v>
      </c>
      <c r="AR168" s="332">
        <f t="shared" si="30"/>
        <v>20915</v>
      </c>
      <c r="AS168" s="332">
        <f t="shared" si="31"/>
        <v>20915</v>
      </c>
      <c r="AT168" s="332">
        <f t="shared" si="32"/>
        <v>0</v>
      </c>
      <c r="AU168" s="374" t="s">
        <v>59</v>
      </c>
    </row>
    <row r="169" spans="1:47" s="366" customFormat="1" ht="15.75">
      <c r="A169" s="367">
        <v>2112</v>
      </c>
      <c r="B169" s="368">
        <v>246086</v>
      </c>
      <c r="C169" s="367" t="s">
        <v>574</v>
      </c>
      <c r="D169" s="369" t="s">
        <v>1675</v>
      </c>
      <c r="E169" s="367">
        <v>0</v>
      </c>
      <c r="F169" s="369" t="s">
        <v>1674</v>
      </c>
      <c r="G169" s="369" t="s">
        <v>1673</v>
      </c>
      <c r="H169" s="369">
        <v>2014</v>
      </c>
      <c r="I169" s="369" t="s">
        <v>1672</v>
      </c>
      <c r="J169" s="369" t="s">
        <v>820</v>
      </c>
      <c r="K169" s="369" t="s">
        <v>919</v>
      </c>
      <c r="L169" s="370">
        <v>41496</v>
      </c>
      <c r="M169" s="370">
        <v>41496</v>
      </c>
      <c r="N169" s="369" t="s">
        <v>1671</v>
      </c>
      <c r="O169" s="367">
        <v>700</v>
      </c>
      <c r="P169" s="367">
        <v>14040</v>
      </c>
      <c r="Q169" s="371">
        <v>92074.96</v>
      </c>
      <c r="R169" s="367">
        <v>14046</v>
      </c>
      <c r="S169" s="371">
        <v>92074.96</v>
      </c>
      <c r="T169" s="371">
        <f t="shared" si="33"/>
        <v>0</v>
      </c>
      <c r="U169" s="372">
        <v>0</v>
      </c>
      <c r="V169" s="367">
        <v>51260</v>
      </c>
      <c r="W169" s="371">
        <v>0</v>
      </c>
      <c r="X169" s="369" t="s">
        <v>574</v>
      </c>
      <c r="Y169" s="369"/>
      <c r="Z169" s="369"/>
      <c r="AA169" s="369" t="s">
        <v>1670</v>
      </c>
      <c r="AB169" s="369" t="s">
        <v>571</v>
      </c>
      <c r="AC169" s="369" t="s">
        <v>570</v>
      </c>
      <c r="AD169" s="367" t="s">
        <v>569</v>
      </c>
      <c r="AE169" s="373">
        <v>44196</v>
      </c>
      <c r="AF169" s="367" t="s">
        <v>568</v>
      </c>
      <c r="AG169" s="369">
        <v>0</v>
      </c>
      <c r="AH169" s="369">
        <v>92074.96</v>
      </c>
      <c r="AI169" s="517" t="s">
        <v>1670</v>
      </c>
      <c r="AJ169" s="524" t="s">
        <v>1883</v>
      </c>
      <c r="AK169" s="333">
        <f t="shared" si="23"/>
        <v>8</v>
      </c>
      <c r="AL169" s="333">
        <f t="shared" si="24"/>
        <v>2013</v>
      </c>
      <c r="AM169" s="333">
        <f t="shared" si="25"/>
        <v>2020</v>
      </c>
      <c r="AN169" s="334">
        <f t="shared" si="26"/>
        <v>2020.6666666666667</v>
      </c>
      <c r="AO169" s="335">
        <f t="shared" si="27"/>
        <v>1096.1304761904762</v>
      </c>
      <c r="AP169" s="335">
        <f t="shared" si="28"/>
        <v>13153.565714285714</v>
      </c>
      <c r="AQ169" s="332">
        <f t="shared" si="29"/>
        <v>0</v>
      </c>
      <c r="AR169" s="332">
        <f t="shared" si="30"/>
        <v>92074.96</v>
      </c>
      <c r="AS169" s="332">
        <f t="shared" si="31"/>
        <v>92074.96</v>
      </c>
      <c r="AT169" s="332">
        <f t="shared" si="32"/>
        <v>0</v>
      </c>
      <c r="AU169" s="374" t="s">
        <v>59</v>
      </c>
    </row>
    <row r="170" spans="1:47" ht="15.75">
      <c r="A170" s="367">
        <v>2112</v>
      </c>
      <c r="B170" s="368">
        <v>246085</v>
      </c>
      <c r="C170" s="367">
        <v>246084</v>
      </c>
      <c r="D170" s="369" t="s">
        <v>1669</v>
      </c>
      <c r="E170" s="367">
        <v>0</v>
      </c>
      <c r="F170" s="369">
        <v>831975</v>
      </c>
      <c r="G170" s="369"/>
      <c r="H170" s="369">
        <v>2006</v>
      </c>
      <c r="I170" s="369"/>
      <c r="J170" s="369"/>
      <c r="K170" s="369" t="s">
        <v>1575</v>
      </c>
      <c r="L170" s="370">
        <v>38946</v>
      </c>
      <c r="M170" s="370">
        <v>38946</v>
      </c>
      <c r="N170" s="369" t="s">
        <v>1665</v>
      </c>
      <c r="O170" s="367">
        <v>700</v>
      </c>
      <c r="P170" s="367">
        <v>14040</v>
      </c>
      <c r="Q170" s="371">
        <v>4036.7</v>
      </c>
      <c r="R170" s="367">
        <v>14046</v>
      </c>
      <c r="S170" s="371">
        <v>4036.7</v>
      </c>
      <c r="T170" s="371">
        <f t="shared" si="33"/>
        <v>0</v>
      </c>
      <c r="U170" s="372">
        <v>0</v>
      </c>
      <c r="V170" s="367">
        <v>51260</v>
      </c>
      <c r="W170" s="371">
        <v>0</v>
      </c>
      <c r="X170" s="369" t="s">
        <v>574</v>
      </c>
      <c r="Y170" s="369"/>
      <c r="Z170" s="369" t="s">
        <v>1668</v>
      </c>
      <c r="AA170" s="369"/>
      <c r="AB170" s="369" t="s">
        <v>571</v>
      </c>
      <c r="AC170" s="369" t="s">
        <v>570</v>
      </c>
      <c r="AD170" s="367" t="s">
        <v>569</v>
      </c>
      <c r="AE170" s="373">
        <v>44196</v>
      </c>
      <c r="AF170" s="367" t="s">
        <v>568</v>
      </c>
      <c r="AG170" s="369">
        <v>0</v>
      </c>
      <c r="AH170" s="369">
        <v>4036.7</v>
      </c>
      <c r="AI170" s="517">
        <v>153</v>
      </c>
      <c r="AJ170" s="518" t="s">
        <v>1882</v>
      </c>
      <c r="AK170" s="333">
        <f t="shared" si="23"/>
        <v>8</v>
      </c>
      <c r="AL170" s="333">
        <f t="shared" si="24"/>
        <v>2006</v>
      </c>
      <c r="AM170" s="333">
        <f t="shared" si="25"/>
        <v>2013</v>
      </c>
      <c r="AN170" s="334">
        <f t="shared" si="26"/>
        <v>2013.6666666666667</v>
      </c>
      <c r="AO170" s="335">
        <f t="shared" si="27"/>
        <v>48.055952380952384</v>
      </c>
      <c r="AP170" s="335">
        <f t="shared" si="28"/>
        <v>576.67142857142858</v>
      </c>
      <c r="AQ170" s="332">
        <f t="shared" si="29"/>
        <v>0</v>
      </c>
      <c r="AR170" s="332">
        <f t="shared" si="30"/>
        <v>4036.7</v>
      </c>
      <c r="AS170" s="332">
        <f t="shared" si="31"/>
        <v>4036.7</v>
      </c>
      <c r="AT170" s="332">
        <f t="shared" si="32"/>
        <v>0</v>
      </c>
      <c r="AU170" s="374" t="s">
        <v>59</v>
      </c>
    </row>
    <row r="171" spans="1:47" ht="15.75">
      <c r="A171" s="367">
        <v>2112</v>
      </c>
      <c r="B171" s="368">
        <v>246084</v>
      </c>
      <c r="C171" s="367" t="s">
        <v>574</v>
      </c>
      <c r="D171" s="369" t="s">
        <v>1580</v>
      </c>
      <c r="E171" s="367">
        <v>0</v>
      </c>
      <c r="F171" s="369" t="s">
        <v>1667</v>
      </c>
      <c r="G171" s="369" t="s">
        <v>1666</v>
      </c>
      <c r="H171" s="369">
        <v>2004</v>
      </c>
      <c r="I171" s="369" t="s">
        <v>701</v>
      </c>
      <c r="J171" s="369" t="s">
        <v>820</v>
      </c>
      <c r="K171" s="369" t="s">
        <v>1575</v>
      </c>
      <c r="L171" s="370">
        <v>38894</v>
      </c>
      <c r="M171" s="370">
        <v>38894</v>
      </c>
      <c r="N171" s="369" t="s">
        <v>1665</v>
      </c>
      <c r="O171" s="367">
        <v>700</v>
      </c>
      <c r="P171" s="367">
        <v>14040</v>
      </c>
      <c r="Q171" s="371">
        <v>99553.75</v>
      </c>
      <c r="R171" s="367">
        <v>14046</v>
      </c>
      <c r="S171" s="371">
        <v>99553.75</v>
      </c>
      <c r="T171" s="371">
        <f t="shared" si="33"/>
        <v>0</v>
      </c>
      <c r="U171" s="372">
        <v>0</v>
      </c>
      <c r="V171" s="367">
        <v>51260</v>
      </c>
      <c r="W171" s="371">
        <v>0</v>
      </c>
      <c r="X171" s="369" t="s">
        <v>574</v>
      </c>
      <c r="Y171" s="369"/>
      <c r="Z171" s="369" t="s">
        <v>1664</v>
      </c>
      <c r="AA171" s="369">
        <v>153</v>
      </c>
      <c r="AB171" s="369" t="s">
        <v>571</v>
      </c>
      <c r="AC171" s="369" t="s">
        <v>570</v>
      </c>
      <c r="AD171" s="367" t="s">
        <v>569</v>
      </c>
      <c r="AE171" s="373">
        <v>44196</v>
      </c>
      <c r="AF171" s="367" t="s">
        <v>568</v>
      </c>
      <c r="AG171" s="369">
        <v>0</v>
      </c>
      <c r="AH171" s="369">
        <v>99553.75</v>
      </c>
      <c r="AI171" s="517">
        <v>153</v>
      </c>
      <c r="AJ171" s="518" t="s">
        <v>1882</v>
      </c>
      <c r="AK171" s="333">
        <f t="shared" si="23"/>
        <v>6</v>
      </c>
      <c r="AL171" s="333">
        <f t="shared" si="24"/>
        <v>2006</v>
      </c>
      <c r="AM171" s="333">
        <f t="shared" si="25"/>
        <v>2013</v>
      </c>
      <c r="AN171" s="334">
        <f t="shared" si="26"/>
        <v>2013.5</v>
      </c>
      <c r="AO171" s="335">
        <f t="shared" si="27"/>
        <v>1185.1636904761906</v>
      </c>
      <c r="AP171" s="335">
        <f t="shared" si="28"/>
        <v>14221.964285714286</v>
      </c>
      <c r="AQ171" s="332">
        <f t="shared" si="29"/>
        <v>0</v>
      </c>
      <c r="AR171" s="332">
        <f t="shared" si="30"/>
        <v>99553.75</v>
      </c>
      <c r="AS171" s="332">
        <f t="shared" si="31"/>
        <v>99553.75</v>
      </c>
      <c r="AT171" s="332">
        <f t="shared" si="32"/>
        <v>0</v>
      </c>
      <c r="AU171" s="374" t="s">
        <v>59</v>
      </c>
    </row>
    <row r="172" spans="1:47" s="366" customFormat="1" ht="15.75">
      <c r="A172" s="367">
        <v>2112</v>
      </c>
      <c r="B172" s="368">
        <v>246083</v>
      </c>
      <c r="C172" s="367" t="s">
        <v>574</v>
      </c>
      <c r="D172" s="369" t="s">
        <v>1663</v>
      </c>
      <c r="E172" s="367">
        <v>0</v>
      </c>
      <c r="F172" s="369" t="s">
        <v>1662</v>
      </c>
      <c r="G172" s="369" t="s">
        <v>1661</v>
      </c>
      <c r="H172" s="369">
        <v>2006</v>
      </c>
      <c r="I172" s="369" t="s">
        <v>1660</v>
      </c>
      <c r="J172" s="369" t="s">
        <v>700</v>
      </c>
      <c r="K172" s="369" t="s">
        <v>1659</v>
      </c>
      <c r="L172" s="370">
        <v>39013</v>
      </c>
      <c r="M172" s="370">
        <v>39013</v>
      </c>
      <c r="N172" s="369" t="s">
        <v>1658</v>
      </c>
      <c r="O172" s="367">
        <v>700</v>
      </c>
      <c r="P172" s="367">
        <v>14040</v>
      </c>
      <c r="Q172" s="371">
        <v>49441.57</v>
      </c>
      <c r="R172" s="367">
        <v>14046</v>
      </c>
      <c r="S172" s="371">
        <v>49441.57</v>
      </c>
      <c r="T172" s="371">
        <f t="shared" si="33"/>
        <v>0</v>
      </c>
      <c r="U172" s="372">
        <v>0</v>
      </c>
      <c r="V172" s="367">
        <v>51260</v>
      </c>
      <c r="W172" s="371">
        <v>0</v>
      </c>
      <c r="X172" s="369" t="s">
        <v>574</v>
      </c>
      <c r="Y172" s="369"/>
      <c r="Z172" s="369">
        <v>2502680</v>
      </c>
      <c r="AA172" s="369">
        <v>5035</v>
      </c>
      <c r="AB172" s="369" t="s">
        <v>571</v>
      </c>
      <c r="AC172" s="369" t="s">
        <v>570</v>
      </c>
      <c r="AD172" s="367" t="s">
        <v>569</v>
      </c>
      <c r="AE172" s="373">
        <v>44196</v>
      </c>
      <c r="AF172" s="367" t="s">
        <v>568</v>
      </c>
      <c r="AG172" s="369">
        <v>0</v>
      </c>
      <c r="AH172" s="369">
        <v>49441.57</v>
      </c>
      <c r="AI172" s="517">
        <v>5035</v>
      </c>
      <c r="AJ172" s="524" t="s">
        <v>1879</v>
      </c>
      <c r="AK172" s="333">
        <f t="shared" si="23"/>
        <v>10</v>
      </c>
      <c r="AL172" s="333">
        <f t="shared" si="24"/>
        <v>2006</v>
      </c>
      <c r="AM172" s="333">
        <f t="shared" si="25"/>
        <v>2013</v>
      </c>
      <c r="AN172" s="334">
        <f t="shared" si="26"/>
        <v>2013.8333333333333</v>
      </c>
      <c r="AO172" s="335">
        <f t="shared" si="27"/>
        <v>588.59011904761905</v>
      </c>
      <c r="AP172" s="335">
        <f t="shared" si="28"/>
        <v>7063.0814285714287</v>
      </c>
      <c r="AQ172" s="332">
        <f t="shared" si="29"/>
        <v>0</v>
      </c>
      <c r="AR172" s="332">
        <f t="shared" si="30"/>
        <v>49441.57</v>
      </c>
      <c r="AS172" s="332">
        <f t="shared" si="31"/>
        <v>49441.57</v>
      </c>
      <c r="AT172" s="332">
        <f t="shared" si="32"/>
        <v>0</v>
      </c>
      <c r="AU172" s="374" t="s">
        <v>59</v>
      </c>
    </row>
    <row r="173" spans="1:47" s="366" customFormat="1" ht="15.75">
      <c r="A173" s="367">
        <v>2112</v>
      </c>
      <c r="B173" s="368">
        <v>246082</v>
      </c>
      <c r="C173" s="367" t="s">
        <v>574</v>
      </c>
      <c r="D173" s="369" t="s">
        <v>1657</v>
      </c>
      <c r="E173" s="367">
        <v>0</v>
      </c>
      <c r="F173" s="369" t="s">
        <v>1656</v>
      </c>
      <c r="G173" s="369" t="s">
        <v>1655</v>
      </c>
      <c r="H173" s="369">
        <v>1993</v>
      </c>
      <c r="I173" s="369" t="s">
        <v>1654</v>
      </c>
      <c r="J173" s="369" t="s">
        <v>1653</v>
      </c>
      <c r="K173" s="369" t="s">
        <v>919</v>
      </c>
      <c r="L173" s="370">
        <v>40513</v>
      </c>
      <c r="M173" s="370">
        <v>40513</v>
      </c>
      <c r="N173" s="369" t="s">
        <v>1652</v>
      </c>
      <c r="O173" s="367">
        <v>300</v>
      </c>
      <c r="P173" s="367">
        <v>14040</v>
      </c>
      <c r="Q173" s="371">
        <v>5902.2</v>
      </c>
      <c r="R173" s="367">
        <v>14046</v>
      </c>
      <c r="S173" s="371">
        <v>5902.2</v>
      </c>
      <c r="T173" s="371">
        <f t="shared" si="33"/>
        <v>0</v>
      </c>
      <c r="U173" s="372">
        <v>0</v>
      </c>
      <c r="V173" s="367">
        <v>51260</v>
      </c>
      <c r="W173" s="371">
        <v>0</v>
      </c>
      <c r="X173" s="369" t="s">
        <v>574</v>
      </c>
      <c r="Y173" s="369"/>
      <c r="Z173" s="369" t="s">
        <v>1651</v>
      </c>
      <c r="AA173" s="369">
        <v>9324</v>
      </c>
      <c r="AB173" s="369" t="s">
        <v>571</v>
      </c>
      <c r="AC173" s="369" t="s">
        <v>570</v>
      </c>
      <c r="AD173" s="367" t="s">
        <v>569</v>
      </c>
      <c r="AE173" s="373">
        <v>44196</v>
      </c>
      <c r="AF173" s="367" t="s">
        <v>568</v>
      </c>
      <c r="AG173" s="369">
        <v>0</v>
      </c>
      <c r="AH173" s="369">
        <v>5902.2</v>
      </c>
      <c r="AI173" s="517">
        <v>9324</v>
      </c>
      <c r="AJ173" s="524" t="s">
        <v>1883</v>
      </c>
      <c r="AK173" s="333">
        <f t="shared" si="23"/>
        <v>12</v>
      </c>
      <c r="AL173" s="333">
        <f t="shared" si="24"/>
        <v>2010</v>
      </c>
      <c r="AM173" s="333">
        <f t="shared" si="25"/>
        <v>2013</v>
      </c>
      <c r="AN173" s="334">
        <f t="shared" si="26"/>
        <v>2014</v>
      </c>
      <c r="AO173" s="335">
        <f t="shared" si="27"/>
        <v>163.95</v>
      </c>
      <c r="AP173" s="335">
        <f t="shared" si="28"/>
        <v>1967.3999999999999</v>
      </c>
      <c r="AQ173" s="332">
        <f t="shared" si="29"/>
        <v>0</v>
      </c>
      <c r="AR173" s="332">
        <f t="shared" si="30"/>
        <v>5902.2</v>
      </c>
      <c r="AS173" s="332">
        <f t="shared" si="31"/>
        <v>5902.2</v>
      </c>
      <c r="AT173" s="332">
        <f t="shared" si="32"/>
        <v>0</v>
      </c>
      <c r="AU173" s="374" t="s">
        <v>59</v>
      </c>
    </row>
    <row r="174" spans="1:47" s="366" customFormat="1" ht="15.75">
      <c r="A174" s="367">
        <v>2112</v>
      </c>
      <c r="B174" s="368">
        <v>246027</v>
      </c>
      <c r="C174" s="367" t="s">
        <v>574</v>
      </c>
      <c r="D174" s="369" t="s">
        <v>1650</v>
      </c>
      <c r="E174" s="367"/>
      <c r="F174" s="369"/>
      <c r="G174" s="369"/>
      <c r="H174" s="369">
        <v>0</v>
      </c>
      <c r="I174" s="369" t="s">
        <v>1645</v>
      </c>
      <c r="J174" s="369"/>
      <c r="K174" s="369"/>
      <c r="L174" s="370">
        <v>44217</v>
      </c>
      <c r="M174" s="370">
        <v>44217</v>
      </c>
      <c r="N174" s="369" t="s">
        <v>1649</v>
      </c>
      <c r="O174" s="367">
        <v>2000</v>
      </c>
      <c r="P174" s="367">
        <v>14080</v>
      </c>
      <c r="Q174" s="371">
        <v>709770</v>
      </c>
      <c r="R174" s="367">
        <v>14086</v>
      </c>
      <c r="S174" s="371">
        <v>88721.26</v>
      </c>
      <c r="T174" s="371">
        <f t="shared" si="33"/>
        <v>621048.74</v>
      </c>
      <c r="U174" s="372">
        <v>20701.63</v>
      </c>
      <c r="V174" s="367">
        <v>57260</v>
      </c>
      <c r="W174" s="371">
        <v>2957.38</v>
      </c>
      <c r="X174" s="369" t="s">
        <v>574</v>
      </c>
      <c r="Y174" s="369"/>
      <c r="Z174" s="369" t="s">
        <v>1648</v>
      </c>
      <c r="AA174" s="369"/>
      <c r="AB174" s="369" t="s">
        <v>571</v>
      </c>
      <c r="AC174" s="369" t="s">
        <v>570</v>
      </c>
      <c r="AD174" s="367" t="s">
        <v>569</v>
      </c>
      <c r="AE174" s="369"/>
      <c r="AF174" s="367" t="s">
        <v>568</v>
      </c>
      <c r="AG174" s="369">
        <v>0</v>
      </c>
      <c r="AH174" s="369">
        <v>0</v>
      </c>
      <c r="AI174" s="517"/>
      <c r="AJ174" s="518" t="s">
        <v>1647</v>
      </c>
      <c r="AK174" s="333">
        <f t="shared" si="23"/>
        <v>1</v>
      </c>
      <c r="AL174" s="333">
        <f t="shared" si="24"/>
        <v>2021</v>
      </c>
      <c r="AM174" s="333">
        <f t="shared" si="25"/>
        <v>2041</v>
      </c>
      <c r="AN174" s="334">
        <f t="shared" si="26"/>
        <v>2041.0833333333333</v>
      </c>
      <c r="AO174" s="335">
        <f t="shared" si="27"/>
        <v>2957.375</v>
      </c>
      <c r="AP174" s="335">
        <f t="shared" si="28"/>
        <v>35488.5</v>
      </c>
      <c r="AQ174" s="332">
        <f t="shared" si="29"/>
        <v>35488.5</v>
      </c>
      <c r="AR174" s="332">
        <f t="shared" si="30"/>
        <v>56190.125000005355</v>
      </c>
      <c r="AS174" s="332">
        <f t="shared" si="31"/>
        <v>91678.625000005355</v>
      </c>
      <c r="AT174" s="332">
        <f t="shared" si="32"/>
        <v>618091.37499999464</v>
      </c>
      <c r="AU174" s="374" t="s">
        <v>59</v>
      </c>
    </row>
    <row r="175" spans="1:47" s="366" customFormat="1" ht="15.75">
      <c r="A175" s="367">
        <v>2112</v>
      </c>
      <c r="B175" s="368">
        <v>245955</v>
      </c>
      <c r="C175" s="367" t="s">
        <v>574</v>
      </c>
      <c r="D175" s="369" t="s">
        <v>1646</v>
      </c>
      <c r="E175" s="367"/>
      <c r="F175" s="369"/>
      <c r="G175" s="369"/>
      <c r="H175" s="369">
        <v>0</v>
      </c>
      <c r="I175" s="369" t="s">
        <v>1645</v>
      </c>
      <c r="J175" s="369"/>
      <c r="K175" s="369"/>
      <c r="L175" s="370">
        <v>44216</v>
      </c>
      <c r="M175" s="370">
        <v>44216</v>
      </c>
      <c r="N175" s="369" t="s">
        <v>1644</v>
      </c>
      <c r="O175" s="367">
        <v>0</v>
      </c>
      <c r="P175" s="367">
        <v>14000</v>
      </c>
      <c r="Q175" s="371">
        <v>184230</v>
      </c>
      <c r="R175" s="367">
        <v>14016</v>
      </c>
      <c r="S175" s="371">
        <v>0</v>
      </c>
      <c r="T175" s="371">
        <f t="shared" si="33"/>
        <v>184230</v>
      </c>
      <c r="U175" s="372">
        <v>0</v>
      </c>
      <c r="V175" s="367">
        <v>57260</v>
      </c>
      <c r="W175" s="371">
        <v>0</v>
      </c>
      <c r="X175" s="369" t="s">
        <v>574</v>
      </c>
      <c r="Y175" s="369"/>
      <c r="Z175" s="369" t="s">
        <v>1643</v>
      </c>
      <c r="AA175" s="369"/>
      <c r="AB175" s="369" t="s">
        <v>571</v>
      </c>
      <c r="AC175" s="369" t="s">
        <v>570</v>
      </c>
      <c r="AD175" s="367" t="s">
        <v>596</v>
      </c>
      <c r="AE175" s="369"/>
      <c r="AF175" s="367" t="s">
        <v>568</v>
      </c>
      <c r="AG175" s="369">
        <v>0</v>
      </c>
      <c r="AH175" s="369">
        <v>0</v>
      </c>
      <c r="AI175" s="517"/>
      <c r="AJ175" s="518" t="s">
        <v>1642</v>
      </c>
      <c r="AK175" s="333">
        <f t="shared" si="23"/>
        <v>1</v>
      </c>
      <c r="AL175" s="333">
        <f t="shared" si="24"/>
        <v>2021</v>
      </c>
      <c r="AM175" s="333">
        <f t="shared" si="25"/>
        <v>2021</v>
      </c>
      <c r="AN175" s="334">
        <f t="shared" si="26"/>
        <v>2021.0833333333333</v>
      </c>
      <c r="AO175" s="335">
        <f t="shared" si="27"/>
        <v>0</v>
      </c>
      <c r="AP175" s="335">
        <f t="shared" si="28"/>
        <v>0</v>
      </c>
      <c r="AQ175" s="332">
        <f t="shared" si="29"/>
        <v>0</v>
      </c>
      <c r="AR175" s="516"/>
      <c r="AS175" s="516"/>
      <c r="AT175" s="332">
        <f t="shared" si="32"/>
        <v>184230</v>
      </c>
      <c r="AU175" s="374" t="s">
        <v>59</v>
      </c>
    </row>
    <row r="176" spans="1:47" s="366" customFormat="1" ht="15.75">
      <c r="A176" s="367">
        <v>2112</v>
      </c>
      <c r="B176" s="368">
        <v>245720</v>
      </c>
      <c r="C176" s="367" t="s">
        <v>574</v>
      </c>
      <c r="D176" s="369" t="s">
        <v>547</v>
      </c>
      <c r="E176" s="367">
        <v>702</v>
      </c>
      <c r="F176" s="369"/>
      <c r="G176" s="369"/>
      <c r="H176" s="369">
        <v>0</v>
      </c>
      <c r="I176" s="369" t="s">
        <v>1335</v>
      </c>
      <c r="J176" s="369"/>
      <c r="K176" s="369" t="s">
        <v>1564</v>
      </c>
      <c r="L176" s="370">
        <v>44197</v>
      </c>
      <c r="M176" s="370">
        <v>44197</v>
      </c>
      <c r="N176" s="369" t="s">
        <v>1641</v>
      </c>
      <c r="O176" s="367">
        <v>700</v>
      </c>
      <c r="P176" s="367">
        <v>14050</v>
      </c>
      <c r="Q176" s="371">
        <v>31727.26</v>
      </c>
      <c r="R176" s="367">
        <v>14056</v>
      </c>
      <c r="S176" s="371">
        <v>11708.88</v>
      </c>
      <c r="T176" s="371">
        <f t="shared" si="33"/>
        <v>20018.379999999997</v>
      </c>
      <c r="U176" s="372">
        <v>2643.94</v>
      </c>
      <c r="V176" s="367">
        <v>54260</v>
      </c>
      <c r="W176" s="371">
        <v>377.7</v>
      </c>
      <c r="X176" s="369" t="s">
        <v>574</v>
      </c>
      <c r="Y176" s="369"/>
      <c r="Z176" s="369">
        <v>50135754</v>
      </c>
      <c r="AA176" s="369"/>
      <c r="AB176" s="369" t="s">
        <v>571</v>
      </c>
      <c r="AC176" s="369" t="s">
        <v>570</v>
      </c>
      <c r="AD176" s="367" t="s">
        <v>569</v>
      </c>
      <c r="AE176" s="369"/>
      <c r="AF176" s="367" t="s">
        <v>568</v>
      </c>
      <c r="AG176" s="369">
        <v>0</v>
      </c>
      <c r="AH176" s="369">
        <v>0</v>
      </c>
      <c r="AI176" s="517"/>
      <c r="AJ176" s="518" t="s">
        <v>255</v>
      </c>
      <c r="AK176" s="333">
        <f t="shared" si="23"/>
        <v>1</v>
      </c>
      <c r="AL176" s="333">
        <f t="shared" si="24"/>
        <v>2021</v>
      </c>
      <c r="AM176" s="333">
        <f t="shared" si="25"/>
        <v>2028</v>
      </c>
      <c r="AN176" s="334">
        <f t="shared" si="26"/>
        <v>2028.0833333333333</v>
      </c>
      <c r="AO176" s="335">
        <f t="shared" si="27"/>
        <v>377.70547619047619</v>
      </c>
      <c r="AP176" s="335">
        <f t="shared" si="28"/>
        <v>4532.4657142857141</v>
      </c>
      <c r="AQ176" s="332">
        <f t="shared" si="29"/>
        <v>4532.4657142857141</v>
      </c>
      <c r="AR176" s="332">
        <f t="shared" si="30"/>
        <v>7176.4040476197333</v>
      </c>
      <c r="AS176" s="332">
        <f t="shared" si="31"/>
        <v>11708.869761905447</v>
      </c>
      <c r="AT176" s="332">
        <f t="shared" si="32"/>
        <v>20018.390238094551</v>
      </c>
      <c r="AU176" s="374" t="s">
        <v>59</v>
      </c>
    </row>
    <row r="177" spans="1:46">
      <c r="A177" s="341">
        <v>2112</v>
      </c>
      <c r="B177" s="345">
        <v>243433</v>
      </c>
      <c r="C177" s="341" t="s">
        <v>574</v>
      </c>
      <c r="D177" s="340" t="s">
        <v>427</v>
      </c>
      <c r="E177" s="341">
        <v>480</v>
      </c>
      <c r="F177" s="340"/>
      <c r="G177" s="340"/>
      <c r="H177" s="340">
        <v>0</v>
      </c>
      <c r="I177" s="340" t="s">
        <v>886</v>
      </c>
      <c r="J177" s="340"/>
      <c r="K177" s="340" t="s">
        <v>1564</v>
      </c>
      <c r="L177" s="344">
        <v>44082</v>
      </c>
      <c r="M177" s="344">
        <v>44082</v>
      </c>
      <c r="N177" s="340" t="s">
        <v>1640</v>
      </c>
      <c r="O177" s="341">
        <v>500</v>
      </c>
      <c r="P177" s="341">
        <v>14050</v>
      </c>
      <c r="Q177" s="342">
        <v>4961.28</v>
      </c>
      <c r="R177" s="341">
        <v>14056</v>
      </c>
      <c r="S177" s="342">
        <v>2894.09</v>
      </c>
      <c r="T177" s="342">
        <f t="shared" si="33"/>
        <v>2067.1899999999996</v>
      </c>
      <c r="U177" s="343">
        <v>578.82000000000005</v>
      </c>
      <c r="V177" s="341">
        <v>54260</v>
      </c>
      <c r="W177" s="342">
        <v>82.69</v>
      </c>
      <c r="X177" s="340" t="s">
        <v>574</v>
      </c>
      <c r="Y177" s="340"/>
      <c r="Z177" s="340">
        <v>31459</v>
      </c>
      <c r="AA177" s="340"/>
      <c r="AB177" s="340" t="s">
        <v>571</v>
      </c>
      <c r="AC177" s="340" t="s">
        <v>570</v>
      </c>
      <c r="AD177" s="341" t="s">
        <v>569</v>
      </c>
      <c r="AE177" s="340"/>
      <c r="AF177" s="341" t="s">
        <v>568</v>
      </c>
      <c r="AG177" s="340">
        <v>0</v>
      </c>
      <c r="AH177" s="340">
        <v>0</v>
      </c>
      <c r="AI177" s="377"/>
      <c r="AK177" s="493">
        <f t="shared" si="23"/>
        <v>9</v>
      </c>
      <c r="AL177" s="493">
        <f t="shared" si="24"/>
        <v>2020</v>
      </c>
      <c r="AM177" s="493">
        <f t="shared" si="25"/>
        <v>2025</v>
      </c>
      <c r="AN177" s="494">
        <f t="shared" si="26"/>
        <v>2025.75</v>
      </c>
      <c r="AO177" s="505">
        <f t="shared" si="27"/>
        <v>82.688000000000002</v>
      </c>
      <c r="AP177" s="505">
        <f t="shared" si="28"/>
        <v>992.25600000000009</v>
      </c>
      <c r="AQ177" s="505">
        <f t="shared" si="29"/>
        <v>992.25600000000009</v>
      </c>
      <c r="AR177" s="505">
        <f t="shared" si="30"/>
        <v>1901.8240000000746</v>
      </c>
      <c r="AS177" s="505">
        <f t="shared" si="31"/>
        <v>2894.0800000000745</v>
      </c>
      <c r="AT177" s="506">
        <f t="shared" si="32"/>
        <v>2067.1999999999252</v>
      </c>
    </row>
    <row r="178" spans="1:46">
      <c r="A178" s="341">
        <v>2112</v>
      </c>
      <c r="B178" s="345">
        <v>243178</v>
      </c>
      <c r="C178" s="341" t="s">
        <v>574</v>
      </c>
      <c r="D178" s="340" t="s">
        <v>1639</v>
      </c>
      <c r="E178" s="341">
        <v>9</v>
      </c>
      <c r="F178" s="340"/>
      <c r="G178" s="340" t="s">
        <v>1394</v>
      </c>
      <c r="H178" s="340">
        <v>0</v>
      </c>
      <c r="I178" s="340"/>
      <c r="J178" s="340"/>
      <c r="K178" s="340" t="s">
        <v>575</v>
      </c>
      <c r="L178" s="344">
        <v>42979</v>
      </c>
      <c r="M178" s="344">
        <v>42979</v>
      </c>
      <c r="N178" s="340"/>
      <c r="O178" s="341">
        <v>700</v>
      </c>
      <c r="P178" s="341">
        <v>14050</v>
      </c>
      <c r="Q178" s="342">
        <v>22500</v>
      </c>
      <c r="R178" s="341">
        <v>14056</v>
      </c>
      <c r="S178" s="342">
        <v>19017.87</v>
      </c>
      <c r="T178" s="342">
        <f t="shared" si="33"/>
        <v>3482.130000000001</v>
      </c>
      <c r="U178" s="343">
        <v>1875</v>
      </c>
      <c r="V178" s="341">
        <v>54260</v>
      </c>
      <c r="W178" s="342">
        <v>267.85000000000002</v>
      </c>
      <c r="X178" s="340" t="s">
        <v>570</v>
      </c>
      <c r="Y178" s="340" t="s">
        <v>1638</v>
      </c>
      <c r="Z178" s="340"/>
      <c r="AA178" s="340"/>
      <c r="AB178" s="340" t="s">
        <v>571</v>
      </c>
      <c r="AC178" s="340" t="s">
        <v>570</v>
      </c>
      <c r="AD178" s="341" t="s">
        <v>569</v>
      </c>
      <c r="AE178" s="346">
        <v>44165</v>
      </c>
      <c r="AF178" s="341" t="s">
        <v>568</v>
      </c>
      <c r="AG178" s="340">
        <v>0</v>
      </c>
      <c r="AH178" s="340">
        <v>10446.43</v>
      </c>
      <c r="AI178" s="377"/>
      <c r="AK178" s="493">
        <f t="shared" si="23"/>
        <v>9</v>
      </c>
      <c r="AL178" s="493">
        <f t="shared" si="24"/>
        <v>2017</v>
      </c>
      <c r="AM178" s="493">
        <f t="shared" si="25"/>
        <v>2024</v>
      </c>
      <c r="AN178" s="494">
        <f t="shared" si="26"/>
        <v>2024.75</v>
      </c>
      <c r="AO178" s="505">
        <f t="shared" si="27"/>
        <v>267.85714285714283</v>
      </c>
      <c r="AP178" s="505">
        <f t="shared" si="28"/>
        <v>3214.2857142857138</v>
      </c>
      <c r="AQ178" s="505">
        <f t="shared" si="29"/>
        <v>3214.2857142857138</v>
      </c>
      <c r="AR178" s="505">
        <f t="shared" si="30"/>
        <v>15803.571428571673</v>
      </c>
      <c r="AS178" s="505">
        <f t="shared" si="31"/>
        <v>19017.857142857385</v>
      </c>
      <c r="AT178" s="506">
        <f t="shared" si="32"/>
        <v>3482.142857142615</v>
      </c>
    </row>
    <row r="179" spans="1:46">
      <c r="A179" s="341">
        <v>2112</v>
      </c>
      <c r="B179" s="345">
        <v>241724</v>
      </c>
      <c r="C179" s="341" t="s">
        <v>574</v>
      </c>
      <c r="D179" s="340" t="s">
        <v>1637</v>
      </c>
      <c r="E179" s="341">
        <v>2</v>
      </c>
      <c r="F179" s="340"/>
      <c r="G179" s="340"/>
      <c r="H179" s="340">
        <v>0</v>
      </c>
      <c r="I179" s="340"/>
      <c r="J179" s="340"/>
      <c r="K179" s="340" t="s">
        <v>1636</v>
      </c>
      <c r="L179" s="344">
        <v>40025</v>
      </c>
      <c r="M179" s="344">
        <v>40025</v>
      </c>
      <c r="N179" s="340" t="s">
        <v>1635</v>
      </c>
      <c r="O179" s="341">
        <v>700</v>
      </c>
      <c r="P179" s="341">
        <v>14050</v>
      </c>
      <c r="Q179" s="342">
        <v>3000.55</v>
      </c>
      <c r="R179" s="341">
        <v>14056</v>
      </c>
      <c r="S179" s="342">
        <v>3000.55</v>
      </c>
      <c r="T179" s="342">
        <f t="shared" si="33"/>
        <v>0</v>
      </c>
      <c r="U179" s="343">
        <v>0</v>
      </c>
      <c r="V179" s="341">
        <v>54260</v>
      </c>
      <c r="W179" s="342">
        <v>0</v>
      </c>
      <c r="X179" s="340" t="s">
        <v>570</v>
      </c>
      <c r="Y179" s="340" t="s">
        <v>1635</v>
      </c>
      <c r="Z179" s="340"/>
      <c r="AA179" s="340"/>
      <c r="AB179" s="340" t="s">
        <v>571</v>
      </c>
      <c r="AC179" s="340" t="s">
        <v>570</v>
      </c>
      <c r="AD179" s="341" t="s">
        <v>569</v>
      </c>
      <c r="AE179" s="346">
        <v>44408</v>
      </c>
      <c r="AF179" s="341" t="s">
        <v>568</v>
      </c>
      <c r="AG179" s="340">
        <v>2</v>
      </c>
      <c r="AH179" s="340">
        <v>3000.55</v>
      </c>
      <c r="AI179" s="377"/>
      <c r="AK179" s="493">
        <f t="shared" si="23"/>
        <v>7</v>
      </c>
      <c r="AL179" s="493">
        <f t="shared" si="24"/>
        <v>2009</v>
      </c>
      <c r="AM179" s="493">
        <f t="shared" si="25"/>
        <v>2016</v>
      </c>
      <c r="AN179" s="494">
        <f t="shared" si="26"/>
        <v>2016.5833333333333</v>
      </c>
      <c r="AO179" s="505">
        <f t="shared" si="27"/>
        <v>35.720833333333339</v>
      </c>
      <c r="AP179" s="505">
        <f t="shared" si="28"/>
        <v>428.65000000000009</v>
      </c>
      <c r="AQ179" s="505">
        <f t="shared" si="29"/>
        <v>0</v>
      </c>
      <c r="AR179" s="505">
        <f t="shared" si="30"/>
        <v>3000.55</v>
      </c>
      <c r="AS179" s="505">
        <f t="shared" si="31"/>
        <v>3000.55</v>
      </c>
      <c r="AT179" s="506">
        <f t="shared" si="32"/>
        <v>0</v>
      </c>
    </row>
    <row r="180" spans="1:46">
      <c r="A180" s="341">
        <v>2112</v>
      </c>
      <c r="B180" s="345">
        <v>240607</v>
      </c>
      <c r="C180" s="341" t="s">
        <v>574</v>
      </c>
      <c r="D180" s="340" t="s">
        <v>554</v>
      </c>
      <c r="E180" s="341">
        <v>48</v>
      </c>
      <c r="F180" s="340"/>
      <c r="G180" s="340"/>
      <c r="H180" s="340">
        <v>0</v>
      </c>
      <c r="I180" s="340" t="s">
        <v>1634</v>
      </c>
      <c r="J180" s="340"/>
      <c r="K180" s="340"/>
      <c r="L180" s="344">
        <v>44103</v>
      </c>
      <c r="M180" s="344">
        <v>44103</v>
      </c>
      <c r="N180" s="340" t="s">
        <v>1632</v>
      </c>
      <c r="O180" s="341">
        <v>500</v>
      </c>
      <c r="P180" s="341">
        <v>14070</v>
      </c>
      <c r="Q180" s="342">
        <v>161.66999999999999</v>
      </c>
      <c r="R180" s="341">
        <v>14076</v>
      </c>
      <c r="S180" s="342">
        <v>91.6</v>
      </c>
      <c r="T180" s="342">
        <f t="shared" si="33"/>
        <v>70.069999999999993</v>
      </c>
      <c r="U180" s="343">
        <v>18.86</v>
      </c>
      <c r="V180" s="341">
        <v>51260</v>
      </c>
      <c r="W180" s="342">
        <v>2.69</v>
      </c>
      <c r="X180" s="340" t="s">
        <v>574</v>
      </c>
      <c r="Y180" s="340"/>
      <c r="Z180" s="340">
        <v>5314937</v>
      </c>
      <c r="AA180" s="340"/>
      <c r="AB180" s="340" t="s">
        <v>571</v>
      </c>
      <c r="AC180" s="340" t="s">
        <v>570</v>
      </c>
      <c r="AD180" s="341" t="s">
        <v>569</v>
      </c>
      <c r="AE180" s="340"/>
      <c r="AF180" s="341" t="s">
        <v>568</v>
      </c>
      <c r="AG180" s="340">
        <v>0</v>
      </c>
      <c r="AH180" s="340">
        <v>0</v>
      </c>
      <c r="AI180" s="377"/>
      <c r="AK180" s="493">
        <f t="shared" si="23"/>
        <v>9</v>
      </c>
      <c r="AL180" s="493">
        <f t="shared" si="24"/>
        <v>2020</v>
      </c>
      <c r="AM180" s="493">
        <f t="shared" si="25"/>
        <v>2025</v>
      </c>
      <c r="AN180" s="494">
        <f t="shared" si="26"/>
        <v>2025.75</v>
      </c>
      <c r="AO180" s="505">
        <f t="shared" si="27"/>
        <v>2.6944999999999997</v>
      </c>
      <c r="AP180" s="505">
        <f t="shared" si="28"/>
        <v>32.333999999999996</v>
      </c>
      <c r="AQ180" s="505">
        <f t="shared" si="29"/>
        <v>32.333999999999996</v>
      </c>
      <c r="AR180" s="505">
        <f t="shared" si="30"/>
        <v>61.973500000002446</v>
      </c>
      <c r="AS180" s="505">
        <f t="shared" si="31"/>
        <v>94.307500000002449</v>
      </c>
      <c r="AT180" s="506">
        <f t="shared" si="32"/>
        <v>67.362499999997539</v>
      </c>
    </row>
    <row r="181" spans="1:46">
      <c r="A181" s="341">
        <v>2112</v>
      </c>
      <c r="B181" s="345">
        <v>239568</v>
      </c>
      <c r="C181" s="341" t="s">
        <v>574</v>
      </c>
      <c r="D181" s="340" t="s">
        <v>553</v>
      </c>
      <c r="E181" s="341">
        <v>48</v>
      </c>
      <c r="F181" s="340"/>
      <c r="G181" s="340"/>
      <c r="H181" s="340">
        <v>0</v>
      </c>
      <c r="I181" s="340" t="s">
        <v>1633</v>
      </c>
      <c r="J181" s="340"/>
      <c r="K181" s="340"/>
      <c r="L181" s="344">
        <v>44103</v>
      </c>
      <c r="M181" s="344">
        <v>44103</v>
      </c>
      <c r="N181" s="340" t="s">
        <v>1632</v>
      </c>
      <c r="O181" s="341">
        <v>500</v>
      </c>
      <c r="P181" s="341">
        <v>14070</v>
      </c>
      <c r="Q181" s="342">
        <v>38576.639999999999</v>
      </c>
      <c r="R181" s="341">
        <v>14076</v>
      </c>
      <c r="S181" s="342">
        <v>21860.1</v>
      </c>
      <c r="T181" s="342">
        <f t="shared" si="33"/>
        <v>16716.54</v>
      </c>
      <c r="U181" s="343">
        <v>4500.6099999999997</v>
      </c>
      <c r="V181" s="341">
        <v>51260</v>
      </c>
      <c r="W181" s="342">
        <v>642.94000000000005</v>
      </c>
      <c r="X181" s="340" t="s">
        <v>574</v>
      </c>
      <c r="Y181" s="340"/>
      <c r="Z181" s="340">
        <v>5307480</v>
      </c>
      <c r="AA181" s="340"/>
      <c r="AB181" s="340" t="s">
        <v>571</v>
      </c>
      <c r="AC181" s="340" t="s">
        <v>570</v>
      </c>
      <c r="AD181" s="341" t="s">
        <v>569</v>
      </c>
      <c r="AE181" s="340"/>
      <c r="AF181" s="341" t="s">
        <v>568</v>
      </c>
      <c r="AG181" s="340">
        <v>0</v>
      </c>
      <c r="AH181" s="340">
        <v>0</v>
      </c>
      <c r="AI181" s="377"/>
      <c r="AK181" s="493">
        <f t="shared" si="23"/>
        <v>9</v>
      </c>
      <c r="AL181" s="493">
        <f t="shared" si="24"/>
        <v>2020</v>
      </c>
      <c r="AM181" s="493">
        <f t="shared" si="25"/>
        <v>2025</v>
      </c>
      <c r="AN181" s="494">
        <f t="shared" si="26"/>
        <v>2025.75</v>
      </c>
      <c r="AO181" s="505">
        <f t="shared" si="27"/>
        <v>642.94399999999996</v>
      </c>
      <c r="AP181" s="505">
        <f t="shared" si="28"/>
        <v>7715.3279999999995</v>
      </c>
      <c r="AQ181" s="505">
        <f t="shared" si="29"/>
        <v>7715.3279999999995</v>
      </c>
      <c r="AR181" s="505">
        <f t="shared" si="30"/>
        <v>14787.712000000585</v>
      </c>
      <c r="AS181" s="505">
        <f t="shared" si="31"/>
        <v>22503.040000000583</v>
      </c>
      <c r="AT181" s="506">
        <f t="shared" si="32"/>
        <v>16073.599999999416</v>
      </c>
    </row>
    <row r="182" spans="1:46">
      <c r="A182" s="341">
        <v>2112</v>
      </c>
      <c r="B182" s="345">
        <v>238068</v>
      </c>
      <c r="C182" s="341" t="s">
        <v>574</v>
      </c>
      <c r="D182" s="340" t="s">
        <v>749</v>
      </c>
      <c r="E182" s="341">
        <v>6</v>
      </c>
      <c r="F182" s="340"/>
      <c r="G182" s="340"/>
      <c r="H182" s="340">
        <v>0</v>
      </c>
      <c r="I182" s="340"/>
      <c r="J182" s="340"/>
      <c r="K182" s="340" t="s">
        <v>706</v>
      </c>
      <c r="L182" s="344">
        <v>40544</v>
      </c>
      <c r="M182" s="344">
        <v>40544</v>
      </c>
      <c r="N182" s="340"/>
      <c r="O182" s="341">
        <v>300</v>
      </c>
      <c r="P182" s="341">
        <v>14050</v>
      </c>
      <c r="Q182" s="342">
        <v>0.03</v>
      </c>
      <c r="R182" s="341">
        <v>14056</v>
      </c>
      <c r="S182" s="342">
        <v>0.03</v>
      </c>
      <c r="T182" s="342">
        <f t="shared" si="33"/>
        <v>0</v>
      </c>
      <c r="U182" s="343">
        <v>0</v>
      </c>
      <c r="V182" s="341">
        <v>54260</v>
      </c>
      <c r="W182" s="342">
        <v>0</v>
      </c>
      <c r="X182" s="340" t="s">
        <v>574</v>
      </c>
      <c r="Y182" s="340"/>
      <c r="Z182" s="340"/>
      <c r="AA182" s="340"/>
      <c r="AB182" s="340" t="s">
        <v>571</v>
      </c>
      <c r="AC182" s="340" t="s">
        <v>570</v>
      </c>
      <c r="AD182" s="341" t="s">
        <v>569</v>
      </c>
      <c r="AE182" s="340"/>
      <c r="AF182" s="341" t="s">
        <v>568</v>
      </c>
      <c r="AG182" s="340">
        <v>0</v>
      </c>
      <c r="AH182" s="340">
        <v>0</v>
      </c>
      <c r="AI182" s="377"/>
      <c r="AK182" s="493">
        <f t="shared" si="23"/>
        <v>1</v>
      </c>
      <c r="AL182" s="493">
        <f t="shared" si="24"/>
        <v>2011</v>
      </c>
      <c r="AM182" s="493">
        <f t="shared" si="25"/>
        <v>2014</v>
      </c>
      <c r="AN182" s="494">
        <f t="shared" si="26"/>
        <v>2014.0833333333333</v>
      </c>
      <c r="AO182" s="505">
        <f t="shared" si="27"/>
        <v>8.3333333333333339E-4</v>
      </c>
      <c r="AP182" s="505">
        <f t="shared" si="28"/>
        <v>0.01</v>
      </c>
      <c r="AQ182" s="505">
        <f t="shared" si="29"/>
        <v>0</v>
      </c>
      <c r="AR182" s="505">
        <f t="shared" si="30"/>
        <v>0.03</v>
      </c>
      <c r="AS182" s="505">
        <f t="shared" si="31"/>
        <v>0.03</v>
      </c>
      <c r="AT182" s="506">
        <f t="shared" si="32"/>
        <v>0</v>
      </c>
    </row>
    <row r="183" spans="1:46">
      <c r="A183" s="341">
        <v>2112</v>
      </c>
      <c r="B183" s="345">
        <v>237926</v>
      </c>
      <c r="C183" s="341" t="s">
        <v>574</v>
      </c>
      <c r="D183" s="340" t="s">
        <v>1631</v>
      </c>
      <c r="E183" s="341">
        <v>6</v>
      </c>
      <c r="F183" s="340"/>
      <c r="G183" s="340"/>
      <c r="H183" s="340">
        <v>0</v>
      </c>
      <c r="I183" s="340"/>
      <c r="J183" s="340"/>
      <c r="K183" s="340" t="s">
        <v>636</v>
      </c>
      <c r="L183" s="344">
        <v>39755</v>
      </c>
      <c r="M183" s="344">
        <v>39755</v>
      </c>
      <c r="N183" s="340"/>
      <c r="O183" s="341">
        <v>700</v>
      </c>
      <c r="P183" s="341">
        <v>14050</v>
      </c>
      <c r="Q183" s="342">
        <v>1473.44</v>
      </c>
      <c r="R183" s="341">
        <v>14056</v>
      </c>
      <c r="S183" s="342">
        <v>1473.44</v>
      </c>
      <c r="T183" s="342">
        <f t="shared" si="33"/>
        <v>0</v>
      </c>
      <c r="U183" s="343">
        <v>0</v>
      </c>
      <c r="V183" s="341">
        <v>54260</v>
      </c>
      <c r="W183" s="342">
        <v>0</v>
      </c>
      <c r="X183" s="340" t="s">
        <v>570</v>
      </c>
      <c r="Y183" s="340" t="s">
        <v>748</v>
      </c>
      <c r="Z183" s="340"/>
      <c r="AA183" s="340"/>
      <c r="AB183" s="340" t="s">
        <v>571</v>
      </c>
      <c r="AC183" s="340" t="s">
        <v>570</v>
      </c>
      <c r="AD183" s="341" t="s">
        <v>569</v>
      </c>
      <c r="AE183" s="346">
        <v>44074</v>
      </c>
      <c r="AF183" s="341" t="s">
        <v>568</v>
      </c>
      <c r="AG183" s="340">
        <v>0</v>
      </c>
      <c r="AH183" s="340">
        <v>1473.44</v>
      </c>
      <c r="AI183" s="377"/>
      <c r="AK183" s="493">
        <f t="shared" si="23"/>
        <v>11</v>
      </c>
      <c r="AL183" s="493">
        <f t="shared" si="24"/>
        <v>2008</v>
      </c>
      <c r="AM183" s="493">
        <f t="shared" si="25"/>
        <v>2015</v>
      </c>
      <c r="AN183" s="494">
        <f t="shared" si="26"/>
        <v>2015.9166666666667</v>
      </c>
      <c r="AO183" s="505">
        <f t="shared" si="27"/>
        <v>17.54095238095238</v>
      </c>
      <c r="AP183" s="505">
        <f t="shared" si="28"/>
        <v>210.49142857142857</v>
      </c>
      <c r="AQ183" s="505">
        <f t="shared" si="29"/>
        <v>0</v>
      </c>
      <c r="AR183" s="505">
        <f t="shared" si="30"/>
        <v>1473.44</v>
      </c>
      <c r="AS183" s="505">
        <f t="shared" si="31"/>
        <v>1473.44</v>
      </c>
      <c r="AT183" s="506">
        <f t="shared" si="32"/>
        <v>0</v>
      </c>
    </row>
    <row r="184" spans="1:46">
      <c r="A184" s="341">
        <v>2112</v>
      </c>
      <c r="B184" s="345">
        <v>237924</v>
      </c>
      <c r="C184" s="341" t="s">
        <v>574</v>
      </c>
      <c r="D184" s="340" t="s">
        <v>1630</v>
      </c>
      <c r="E184" s="341">
        <v>7</v>
      </c>
      <c r="F184" s="340"/>
      <c r="G184" s="340"/>
      <c r="H184" s="340">
        <v>0</v>
      </c>
      <c r="I184" s="340"/>
      <c r="J184" s="340"/>
      <c r="K184" s="340" t="s">
        <v>722</v>
      </c>
      <c r="L184" s="344">
        <v>39755</v>
      </c>
      <c r="M184" s="344">
        <v>39755</v>
      </c>
      <c r="N184" s="340"/>
      <c r="O184" s="341">
        <v>700</v>
      </c>
      <c r="P184" s="341">
        <v>14050</v>
      </c>
      <c r="Q184" s="342">
        <v>700</v>
      </c>
      <c r="R184" s="341">
        <v>14056</v>
      </c>
      <c r="S184" s="342">
        <v>700</v>
      </c>
      <c r="T184" s="342">
        <f t="shared" si="33"/>
        <v>0</v>
      </c>
      <c r="U184" s="343">
        <v>0</v>
      </c>
      <c r="V184" s="341">
        <v>54260</v>
      </c>
      <c r="W184" s="342">
        <v>0</v>
      </c>
      <c r="X184" s="340" t="s">
        <v>570</v>
      </c>
      <c r="Y184" s="340" t="s">
        <v>748</v>
      </c>
      <c r="Z184" s="340"/>
      <c r="AA184" s="340"/>
      <c r="AB184" s="340" t="s">
        <v>571</v>
      </c>
      <c r="AC184" s="340" t="s">
        <v>570</v>
      </c>
      <c r="AD184" s="341" t="s">
        <v>569</v>
      </c>
      <c r="AE184" s="346">
        <v>44074</v>
      </c>
      <c r="AF184" s="341" t="s">
        <v>568</v>
      </c>
      <c r="AG184" s="340">
        <v>0</v>
      </c>
      <c r="AH184" s="340">
        <v>700</v>
      </c>
      <c r="AI184" s="377"/>
      <c r="AK184" s="493">
        <f t="shared" si="23"/>
        <v>11</v>
      </c>
      <c r="AL184" s="493">
        <f t="shared" si="24"/>
        <v>2008</v>
      </c>
      <c r="AM184" s="493">
        <f t="shared" si="25"/>
        <v>2015</v>
      </c>
      <c r="AN184" s="494">
        <f t="shared" si="26"/>
        <v>2015.9166666666667</v>
      </c>
      <c r="AO184" s="505">
        <f t="shared" si="27"/>
        <v>8.3333333333333339</v>
      </c>
      <c r="AP184" s="505">
        <f t="shared" si="28"/>
        <v>100</v>
      </c>
      <c r="AQ184" s="505">
        <f t="shared" si="29"/>
        <v>0</v>
      </c>
      <c r="AR184" s="505">
        <f t="shared" si="30"/>
        <v>700</v>
      </c>
      <c r="AS184" s="505">
        <f t="shared" si="31"/>
        <v>700</v>
      </c>
      <c r="AT184" s="506">
        <f t="shared" si="32"/>
        <v>0</v>
      </c>
    </row>
    <row r="185" spans="1:46">
      <c r="A185" s="341">
        <v>2112</v>
      </c>
      <c r="B185" s="345">
        <v>237923</v>
      </c>
      <c r="C185" s="341" t="s">
        <v>574</v>
      </c>
      <c r="D185" s="340" t="s">
        <v>1629</v>
      </c>
      <c r="E185" s="341">
        <v>12</v>
      </c>
      <c r="F185" s="340"/>
      <c r="G185" s="340"/>
      <c r="H185" s="340">
        <v>0</v>
      </c>
      <c r="I185" s="340"/>
      <c r="J185" s="340"/>
      <c r="K185" s="340" t="s">
        <v>673</v>
      </c>
      <c r="L185" s="344">
        <v>39755</v>
      </c>
      <c r="M185" s="344">
        <v>39755</v>
      </c>
      <c r="N185" s="340"/>
      <c r="O185" s="341">
        <v>700</v>
      </c>
      <c r="P185" s="341">
        <v>14050</v>
      </c>
      <c r="Q185" s="342">
        <v>378.52</v>
      </c>
      <c r="R185" s="341">
        <v>14056</v>
      </c>
      <c r="S185" s="342">
        <v>378.52</v>
      </c>
      <c r="T185" s="342">
        <f t="shared" si="33"/>
        <v>0</v>
      </c>
      <c r="U185" s="343">
        <v>0</v>
      </c>
      <c r="V185" s="341">
        <v>54260</v>
      </c>
      <c r="W185" s="342">
        <v>0</v>
      </c>
      <c r="X185" s="340" t="s">
        <v>570</v>
      </c>
      <c r="Y185" s="340" t="s">
        <v>748</v>
      </c>
      <c r="Z185" s="340"/>
      <c r="AA185" s="340"/>
      <c r="AB185" s="340" t="s">
        <v>571</v>
      </c>
      <c r="AC185" s="340" t="s">
        <v>570</v>
      </c>
      <c r="AD185" s="341" t="s">
        <v>569</v>
      </c>
      <c r="AE185" s="346">
        <v>44074</v>
      </c>
      <c r="AF185" s="341" t="s">
        <v>568</v>
      </c>
      <c r="AG185" s="340">
        <v>0</v>
      </c>
      <c r="AH185" s="340">
        <v>378.52</v>
      </c>
      <c r="AI185" s="377"/>
      <c r="AK185" s="493">
        <f t="shared" si="23"/>
        <v>11</v>
      </c>
      <c r="AL185" s="493">
        <f t="shared" si="24"/>
        <v>2008</v>
      </c>
      <c r="AM185" s="493">
        <f t="shared" si="25"/>
        <v>2015</v>
      </c>
      <c r="AN185" s="494">
        <f t="shared" si="26"/>
        <v>2015.9166666666667</v>
      </c>
      <c r="AO185" s="505">
        <f t="shared" si="27"/>
        <v>4.5061904761904765</v>
      </c>
      <c r="AP185" s="505">
        <f t="shared" si="28"/>
        <v>54.074285714285722</v>
      </c>
      <c r="AQ185" s="505">
        <f t="shared" si="29"/>
        <v>0</v>
      </c>
      <c r="AR185" s="505">
        <f t="shared" si="30"/>
        <v>378.52</v>
      </c>
      <c r="AS185" s="505">
        <f t="shared" si="31"/>
        <v>378.52</v>
      </c>
      <c r="AT185" s="506">
        <f t="shared" si="32"/>
        <v>0</v>
      </c>
    </row>
    <row r="186" spans="1:46">
      <c r="A186" s="341">
        <v>2112</v>
      </c>
      <c r="B186" s="345">
        <v>237921</v>
      </c>
      <c r="C186" s="341" t="s">
        <v>574</v>
      </c>
      <c r="D186" s="340" t="s">
        <v>1628</v>
      </c>
      <c r="E186" s="341">
        <v>6</v>
      </c>
      <c r="F186" s="340"/>
      <c r="G186" s="340"/>
      <c r="H186" s="340">
        <v>0</v>
      </c>
      <c r="I186" s="340"/>
      <c r="J186" s="340"/>
      <c r="K186" s="340" t="s">
        <v>782</v>
      </c>
      <c r="L186" s="344">
        <v>39755</v>
      </c>
      <c r="M186" s="344">
        <v>39755</v>
      </c>
      <c r="N186" s="340"/>
      <c r="O186" s="341">
        <v>1200</v>
      </c>
      <c r="P186" s="341">
        <v>14050</v>
      </c>
      <c r="Q186" s="342">
        <v>1380</v>
      </c>
      <c r="R186" s="341">
        <v>14056</v>
      </c>
      <c r="S186" s="342">
        <v>1380</v>
      </c>
      <c r="T186" s="342">
        <f t="shared" si="33"/>
        <v>0</v>
      </c>
      <c r="U186" s="343">
        <v>0</v>
      </c>
      <c r="V186" s="341">
        <v>54260</v>
      </c>
      <c r="W186" s="342">
        <v>0</v>
      </c>
      <c r="X186" s="340" t="s">
        <v>570</v>
      </c>
      <c r="Y186" s="340" t="s">
        <v>748</v>
      </c>
      <c r="Z186" s="340"/>
      <c r="AA186" s="340"/>
      <c r="AB186" s="340" t="s">
        <v>571</v>
      </c>
      <c r="AC186" s="340" t="s">
        <v>570</v>
      </c>
      <c r="AD186" s="341" t="s">
        <v>569</v>
      </c>
      <c r="AE186" s="346">
        <v>44074</v>
      </c>
      <c r="AF186" s="341" t="s">
        <v>568</v>
      </c>
      <c r="AG186" s="340">
        <v>0</v>
      </c>
      <c r="AH186" s="340">
        <v>1360.83</v>
      </c>
      <c r="AI186" s="377"/>
      <c r="AK186" s="493">
        <f t="shared" si="23"/>
        <v>11</v>
      </c>
      <c r="AL186" s="493">
        <f t="shared" si="24"/>
        <v>2008</v>
      </c>
      <c r="AM186" s="493">
        <f t="shared" si="25"/>
        <v>2020</v>
      </c>
      <c r="AN186" s="494">
        <f t="shared" si="26"/>
        <v>2020.9166666666667</v>
      </c>
      <c r="AO186" s="505">
        <f t="shared" si="27"/>
        <v>9.5833333333333339</v>
      </c>
      <c r="AP186" s="505">
        <f t="shared" si="28"/>
        <v>115</v>
      </c>
      <c r="AQ186" s="505">
        <f t="shared" si="29"/>
        <v>0</v>
      </c>
      <c r="AR186" s="505">
        <f t="shared" si="30"/>
        <v>1380</v>
      </c>
      <c r="AS186" s="505">
        <f t="shared" si="31"/>
        <v>1380</v>
      </c>
      <c r="AT186" s="506">
        <f t="shared" si="32"/>
        <v>0</v>
      </c>
    </row>
    <row r="187" spans="1:46">
      <c r="A187" s="341">
        <v>2112</v>
      </c>
      <c r="B187" s="345">
        <v>237920</v>
      </c>
      <c r="C187" s="341" t="s">
        <v>574</v>
      </c>
      <c r="D187" s="340" t="s">
        <v>1627</v>
      </c>
      <c r="E187" s="341">
        <v>16</v>
      </c>
      <c r="F187" s="340"/>
      <c r="G187" s="340"/>
      <c r="H187" s="340">
        <v>0</v>
      </c>
      <c r="I187" s="340"/>
      <c r="J187" s="340"/>
      <c r="K187" s="340" t="s">
        <v>782</v>
      </c>
      <c r="L187" s="344">
        <v>39755</v>
      </c>
      <c r="M187" s="344">
        <v>39755</v>
      </c>
      <c r="N187" s="340"/>
      <c r="O187" s="341">
        <v>700</v>
      </c>
      <c r="P187" s="341">
        <v>14050</v>
      </c>
      <c r="Q187" s="342">
        <v>1600</v>
      </c>
      <c r="R187" s="341">
        <v>14056</v>
      </c>
      <c r="S187" s="342">
        <v>1600</v>
      </c>
      <c r="T187" s="342">
        <f t="shared" si="33"/>
        <v>0</v>
      </c>
      <c r="U187" s="343">
        <v>0</v>
      </c>
      <c r="V187" s="341">
        <v>54260</v>
      </c>
      <c r="W187" s="342">
        <v>0</v>
      </c>
      <c r="X187" s="340" t="s">
        <v>570</v>
      </c>
      <c r="Y187" s="340" t="s">
        <v>748</v>
      </c>
      <c r="Z187" s="340"/>
      <c r="AA187" s="340"/>
      <c r="AB187" s="340" t="s">
        <v>571</v>
      </c>
      <c r="AC187" s="340" t="s">
        <v>570</v>
      </c>
      <c r="AD187" s="341" t="s">
        <v>569</v>
      </c>
      <c r="AE187" s="346">
        <v>44074</v>
      </c>
      <c r="AF187" s="341" t="s">
        <v>568</v>
      </c>
      <c r="AG187" s="340">
        <v>0</v>
      </c>
      <c r="AH187" s="340">
        <v>1600</v>
      </c>
      <c r="AI187" s="377"/>
      <c r="AK187" s="493">
        <f t="shared" si="23"/>
        <v>11</v>
      </c>
      <c r="AL187" s="493">
        <f t="shared" si="24"/>
        <v>2008</v>
      </c>
      <c r="AM187" s="493">
        <f t="shared" si="25"/>
        <v>2015</v>
      </c>
      <c r="AN187" s="494">
        <f t="shared" si="26"/>
        <v>2015.9166666666667</v>
      </c>
      <c r="AO187" s="505">
        <f t="shared" si="27"/>
        <v>19.047619047619047</v>
      </c>
      <c r="AP187" s="505">
        <f t="shared" si="28"/>
        <v>228.57142857142856</v>
      </c>
      <c r="AQ187" s="505">
        <f t="shared" si="29"/>
        <v>0</v>
      </c>
      <c r="AR187" s="505">
        <f t="shared" si="30"/>
        <v>1600</v>
      </c>
      <c r="AS187" s="505">
        <f t="shared" si="31"/>
        <v>1600</v>
      </c>
      <c r="AT187" s="506">
        <f t="shared" si="32"/>
        <v>0</v>
      </c>
    </row>
    <row r="188" spans="1:46">
      <c r="A188" s="341">
        <v>2112</v>
      </c>
      <c r="B188" s="345">
        <v>237684</v>
      </c>
      <c r="C188" s="341" t="s">
        <v>574</v>
      </c>
      <c r="D188" s="340" t="s">
        <v>1626</v>
      </c>
      <c r="E188" s="341">
        <v>13</v>
      </c>
      <c r="F188" s="340">
        <v>0</v>
      </c>
      <c r="G188" s="340"/>
      <c r="H188" s="340">
        <v>0</v>
      </c>
      <c r="I188" s="340" t="s">
        <v>714</v>
      </c>
      <c r="J188" s="340"/>
      <c r="K188" s="340"/>
      <c r="L188" s="344">
        <v>38869</v>
      </c>
      <c r="M188" s="344">
        <v>38869</v>
      </c>
      <c r="N188" s="340" t="s">
        <v>1625</v>
      </c>
      <c r="O188" s="341">
        <v>1200</v>
      </c>
      <c r="P188" s="341">
        <v>14050</v>
      </c>
      <c r="Q188" s="342">
        <v>72827.460000000006</v>
      </c>
      <c r="R188" s="341">
        <v>14056</v>
      </c>
      <c r="S188" s="342">
        <v>72827.460000000006</v>
      </c>
      <c r="T188" s="342">
        <f t="shared" si="33"/>
        <v>0</v>
      </c>
      <c r="U188" s="343">
        <v>0</v>
      </c>
      <c r="V188" s="341">
        <v>54260</v>
      </c>
      <c r="W188" s="342">
        <v>0</v>
      </c>
      <c r="X188" s="340" t="s">
        <v>574</v>
      </c>
      <c r="Y188" s="340"/>
      <c r="Z188" s="340">
        <v>2973</v>
      </c>
      <c r="AA188" s="340"/>
      <c r="AB188" s="340" t="s">
        <v>571</v>
      </c>
      <c r="AC188" s="340" t="s">
        <v>570</v>
      </c>
      <c r="AD188" s="341" t="s">
        <v>569</v>
      </c>
      <c r="AE188" s="346">
        <v>44074</v>
      </c>
      <c r="AF188" s="341" t="s">
        <v>568</v>
      </c>
      <c r="AG188" s="340">
        <v>0</v>
      </c>
      <c r="AH188" s="340">
        <v>72827.460000000006</v>
      </c>
      <c r="AI188" s="377"/>
      <c r="AK188" s="493">
        <f t="shared" si="23"/>
        <v>6</v>
      </c>
      <c r="AL188" s="493">
        <f t="shared" si="24"/>
        <v>2006</v>
      </c>
      <c r="AM188" s="493">
        <f t="shared" si="25"/>
        <v>2018</v>
      </c>
      <c r="AN188" s="494">
        <f t="shared" si="26"/>
        <v>2018.5</v>
      </c>
      <c r="AO188" s="505">
        <f t="shared" si="27"/>
        <v>505.74625000000009</v>
      </c>
      <c r="AP188" s="505">
        <f t="shared" si="28"/>
        <v>6068.9550000000008</v>
      </c>
      <c r="AQ188" s="505">
        <f t="shared" si="29"/>
        <v>0</v>
      </c>
      <c r="AR188" s="505">
        <f t="shared" si="30"/>
        <v>72827.460000000006</v>
      </c>
      <c r="AS188" s="505">
        <f t="shared" si="31"/>
        <v>72827.460000000006</v>
      </c>
      <c r="AT188" s="506">
        <f t="shared" si="32"/>
        <v>0</v>
      </c>
    </row>
    <row r="189" spans="1:46">
      <c r="A189" s="341">
        <v>2112</v>
      </c>
      <c r="B189" s="345">
        <v>236848</v>
      </c>
      <c r="C189" s="341" t="s">
        <v>574</v>
      </c>
      <c r="D189" s="340" t="s">
        <v>547</v>
      </c>
      <c r="E189" s="341">
        <v>351</v>
      </c>
      <c r="F189" s="340"/>
      <c r="G189" s="340"/>
      <c r="H189" s="340">
        <v>0</v>
      </c>
      <c r="I189" s="340" t="s">
        <v>1335</v>
      </c>
      <c r="J189" s="340"/>
      <c r="K189" s="340" t="s">
        <v>1564</v>
      </c>
      <c r="L189" s="344">
        <v>44042</v>
      </c>
      <c r="M189" s="344">
        <v>44042</v>
      </c>
      <c r="N189" s="340" t="s">
        <v>1624</v>
      </c>
      <c r="O189" s="341">
        <v>700</v>
      </c>
      <c r="P189" s="341">
        <v>14050</v>
      </c>
      <c r="Q189" s="342">
        <v>14947.1</v>
      </c>
      <c r="R189" s="341">
        <v>14056</v>
      </c>
      <c r="S189" s="342">
        <v>6405.9</v>
      </c>
      <c r="T189" s="342">
        <f t="shared" si="33"/>
        <v>8541.2000000000007</v>
      </c>
      <c r="U189" s="343">
        <v>1245.5899999999999</v>
      </c>
      <c r="V189" s="341">
        <v>54260</v>
      </c>
      <c r="W189" s="342">
        <v>177.94</v>
      </c>
      <c r="X189" s="340" t="s">
        <v>574</v>
      </c>
      <c r="Y189" s="340"/>
      <c r="Z189" s="340">
        <v>50116997</v>
      </c>
      <c r="AA189" s="340"/>
      <c r="AB189" s="340" t="s">
        <v>571</v>
      </c>
      <c r="AC189" s="340" t="s">
        <v>570</v>
      </c>
      <c r="AD189" s="341" t="s">
        <v>569</v>
      </c>
      <c r="AE189" s="340"/>
      <c r="AF189" s="341" t="s">
        <v>568</v>
      </c>
      <c r="AG189" s="340">
        <v>0</v>
      </c>
      <c r="AH189" s="340">
        <v>0</v>
      </c>
      <c r="AI189" s="377"/>
      <c r="AK189" s="493">
        <f t="shared" si="23"/>
        <v>7</v>
      </c>
      <c r="AL189" s="493">
        <f t="shared" si="24"/>
        <v>2020</v>
      </c>
      <c r="AM189" s="493">
        <f t="shared" si="25"/>
        <v>2027</v>
      </c>
      <c r="AN189" s="494">
        <f t="shared" si="26"/>
        <v>2027.5833333333333</v>
      </c>
      <c r="AO189" s="505">
        <f t="shared" si="27"/>
        <v>177.94166666666669</v>
      </c>
      <c r="AP189" s="505">
        <f t="shared" si="28"/>
        <v>2135.3000000000002</v>
      </c>
      <c r="AQ189" s="505">
        <f t="shared" si="29"/>
        <v>2135.3000000000002</v>
      </c>
      <c r="AR189" s="505">
        <f t="shared" si="30"/>
        <v>4448.5416666669898</v>
      </c>
      <c r="AS189" s="505">
        <f t="shared" si="31"/>
        <v>6583.84166666699</v>
      </c>
      <c r="AT189" s="506">
        <f t="shared" si="32"/>
        <v>8363.2583333330113</v>
      </c>
    </row>
    <row r="190" spans="1:46">
      <c r="A190" s="341">
        <v>2112</v>
      </c>
      <c r="B190" s="345">
        <v>235327</v>
      </c>
      <c r="C190" s="341" t="s">
        <v>574</v>
      </c>
      <c r="D190" s="340" t="s">
        <v>552</v>
      </c>
      <c r="E190" s="341"/>
      <c r="F190" s="340" t="s">
        <v>1623</v>
      </c>
      <c r="G190" s="340" t="s">
        <v>1622</v>
      </c>
      <c r="H190" s="340">
        <v>2020</v>
      </c>
      <c r="I190" s="340" t="s">
        <v>1617</v>
      </c>
      <c r="J190" s="340" t="s">
        <v>820</v>
      </c>
      <c r="K190" s="340" t="s">
        <v>800</v>
      </c>
      <c r="L190" s="344">
        <v>44018</v>
      </c>
      <c r="M190" s="344">
        <v>44018</v>
      </c>
      <c r="N190" s="340" t="s">
        <v>1621</v>
      </c>
      <c r="O190" s="341">
        <v>500</v>
      </c>
      <c r="P190" s="341">
        <v>14040</v>
      </c>
      <c r="Q190" s="342">
        <v>24681.4</v>
      </c>
      <c r="R190" s="341">
        <v>14046</v>
      </c>
      <c r="S190" s="342">
        <v>15220.2</v>
      </c>
      <c r="T190" s="342">
        <f t="shared" si="33"/>
        <v>9461.2000000000007</v>
      </c>
      <c r="U190" s="343">
        <v>2879.5</v>
      </c>
      <c r="V190" s="341">
        <v>51260</v>
      </c>
      <c r="W190" s="342">
        <v>411.36</v>
      </c>
      <c r="X190" s="340" t="s">
        <v>574</v>
      </c>
      <c r="Y190" s="340"/>
      <c r="Z190" s="340"/>
      <c r="AA190" s="340" t="s">
        <v>1620</v>
      </c>
      <c r="AB190" s="340" t="s">
        <v>571</v>
      </c>
      <c r="AC190" s="340" t="s">
        <v>570</v>
      </c>
      <c r="AD190" s="341" t="s">
        <v>569</v>
      </c>
      <c r="AE190" s="340"/>
      <c r="AF190" s="341" t="s">
        <v>568</v>
      </c>
      <c r="AG190" s="340">
        <v>0</v>
      </c>
      <c r="AH190" s="340">
        <v>0</v>
      </c>
      <c r="AI190" s="377"/>
      <c r="AK190" s="493">
        <f t="shared" si="23"/>
        <v>7</v>
      </c>
      <c r="AL190" s="493">
        <f t="shared" si="24"/>
        <v>2020</v>
      </c>
      <c r="AM190" s="493">
        <f t="shared" si="25"/>
        <v>2025</v>
      </c>
      <c r="AN190" s="494">
        <f t="shared" si="26"/>
        <v>2025.5833333333333</v>
      </c>
      <c r="AO190" s="505">
        <f t="shared" si="27"/>
        <v>411.35666666666674</v>
      </c>
      <c r="AP190" s="505">
        <f t="shared" si="28"/>
        <v>4936.2800000000007</v>
      </c>
      <c r="AQ190" s="505">
        <f t="shared" si="29"/>
        <v>4936.2800000000007</v>
      </c>
      <c r="AR190" s="505">
        <f t="shared" si="30"/>
        <v>10283.916666667414</v>
      </c>
      <c r="AS190" s="505">
        <f t="shared" si="31"/>
        <v>15220.196666667414</v>
      </c>
      <c r="AT190" s="506">
        <f t="shared" si="32"/>
        <v>9461.2033333325871</v>
      </c>
    </row>
    <row r="191" spans="1:46">
      <c r="A191" s="341">
        <v>2112</v>
      </c>
      <c r="B191" s="345">
        <v>235326</v>
      </c>
      <c r="C191" s="341" t="s">
        <v>574</v>
      </c>
      <c r="D191" s="340" t="s">
        <v>552</v>
      </c>
      <c r="E191" s="341"/>
      <c r="F191" s="340" t="s">
        <v>1619</v>
      </c>
      <c r="G191" s="340" t="s">
        <v>1618</v>
      </c>
      <c r="H191" s="340">
        <v>2020</v>
      </c>
      <c r="I191" s="340" t="s">
        <v>1617</v>
      </c>
      <c r="J191" s="340" t="s">
        <v>820</v>
      </c>
      <c r="K191" s="340" t="s">
        <v>800</v>
      </c>
      <c r="L191" s="344">
        <v>44018</v>
      </c>
      <c r="M191" s="344">
        <v>44018</v>
      </c>
      <c r="N191" s="340" t="s">
        <v>1616</v>
      </c>
      <c r="O191" s="341">
        <v>500</v>
      </c>
      <c r="P191" s="341">
        <v>14040</v>
      </c>
      <c r="Q191" s="342">
        <v>24681.4</v>
      </c>
      <c r="R191" s="341">
        <v>14046</v>
      </c>
      <c r="S191" s="342">
        <v>15220.2</v>
      </c>
      <c r="T191" s="342">
        <f t="shared" si="33"/>
        <v>9461.2000000000007</v>
      </c>
      <c r="U191" s="343">
        <v>2879.5</v>
      </c>
      <c r="V191" s="341">
        <v>51260</v>
      </c>
      <c r="W191" s="342">
        <v>411.36</v>
      </c>
      <c r="X191" s="340" t="s">
        <v>574</v>
      </c>
      <c r="Y191" s="340"/>
      <c r="Z191" s="340"/>
      <c r="AA191" s="340" t="s">
        <v>1615</v>
      </c>
      <c r="AB191" s="340" t="s">
        <v>571</v>
      </c>
      <c r="AC191" s="340" t="s">
        <v>570</v>
      </c>
      <c r="AD191" s="341" t="s">
        <v>569</v>
      </c>
      <c r="AE191" s="340"/>
      <c r="AF191" s="341" t="s">
        <v>568</v>
      </c>
      <c r="AG191" s="340">
        <v>0</v>
      </c>
      <c r="AH191" s="340">
        <v>0</v>
      </c>
      <c r="AI191" s="377"/>
      <c r="AK191" s="493">
        <f t="shared" si="23"/>
        <v>7</v>
      </c>
      <c r="AL191" s="493">
        <f t="shared" si="24"/>
        <v>2020</v>
      </c>
      <c r="AM191" s="493">
        <f t="shared" si="25"/>
        <v>2025</v>
      </c>
      <c r="AN191" s="494">
        <f t="shared" si="26"/>
        <v>2025.5833333333333</v>
      </c>
      <c r="AO191" s="505">
        <f t="shared" si="27"/>
        <v>411.35666666666674</v>
      </c>
      <c r="AP191" s="505">
        <f t="shared" si="28"/>
        <v>4936.2800000000007</v>
      </c>
      <c r="AQ191" s="505">
        <f t="shared" si="29"/>
        <v>4936.2800000000007</v>
      </c>
      <c r="AR191" s="505">
        <f t="shared" si="30"/>
        <v>10283.916666667414</v>
      </c>
      <c r="AS191" s="505">
        <f t="shared" si="31"/>
        <v>15220.196666667414</v>
      </c>
      <c r="AT191" s="506">
        <f t="shared" si="32"/>
        <v>9461.2033333325871</v>
      </c>
    </row>
    <row r="192" spans="1:46">
      <c r="A192" s="341">
        <v>2112</v>
      </c>
      <c r="B192" s="345">
        <v>234186</v>
      </c>
      <c r="C192" s="341" t="s">
        <v>574</v>
      </c>
      <c r="D192" s="340" t="s">
        <v>547</v>
      </c>
      <c r="E192" s="341">
        <v>2530</v>
      </c>
      <c r="F192" s="340"/>
      <c r="G192" s="340"/>
      <c r="H192" s="340">
        <v>0</v>
      </c>
      <c r="I192" s="340" t="s">
        <v>1335</v>
      </c>
      <c r="J192" s="340"/>
      <c r="K192" s="340" t="s">
        <v>1564</v>
      </c>
      <c r="L192" s="344">
        <v>43915</v>
      </c>
      <c r="M192" s="344">
        <v>43915</v>
      </c>
      <c r="N192" s="340" t="s">
        <v>1591</v>
      </c>
      <c r="O192" s="341">
        <v>700</v>
      </c>
      <c r="P192" s="341">
        <v>14050</v>
      </c>
      <c r="Q192" s="342">
        <v>9393.77</v>
      </c>
      <c r="R192" s="341">
        <v>14056</v>
      </c>
      <c r="S192" s="342">
        <v>4473.24</v>
      </c>
      <c r="T192" s="342">
        <f t="shared" si="33"/>
        <v>4920.5300000000007</v>
      </c>
      <c r="U192" s="343">
        <v>782.82</v>
      </c>
      <c r="V192" s="341">
        <v>54260</v>
      </c>
      <c r="W192" s="342">
        <v>111.83</v>
      </c>
      <c r="X192" s="340" t="s">
        <v>574</v>
      </c>
      <c r="Y192" s="340"/>
      <c r="Z192" s="340">
        <v>50088885</v>
      </c>
      <c r="AA192" s="340"/>
      <c r="AB192" s="340" t="s">
        <v>571</v>
      </c>
      <c r="AC192" s="340" t="s">
        <v>570</v>
      </c>
      <c r="AD192" s="341" t="s">
        <v>569</v>
      </c>
      <c r="AE192" s="340"/>
      <c r="AF192" s="341" t="s">
        <v>568</v>
      </c>
      <c r="AG192" s="340">
        <v>0</v>
      </c>
      <c r="AH192" s="340">
        <v>0</v>
      </c>
      <c r="AI192" s="377"/>
      <c r="AK192" s="493">
        <f t="shared" si="23"/>
        <v>3</v>
      </c>
      <c r="AL192" s="493">
        <f t="shared" si="24"/>
        <v>2020</v>
      </c>
      <c r="AM192" s="493">
        <f t="shared" si="25"/>
        <v>2027</v>
      </c>
      <c r="AN192" s="494">
        <f t="shared" si="26"/>
        <v>2027.25</v>
      </c>
      <c r="AO192" s="505">
        <f t="shared" si="27"/>
        <v>111.83059523809526</v>
      </c>
      <c r="AP192" s="505">
        <f t="shared" si="28"/>
        <v>1341.967142857143</v>
      </c>
      <c r="AQ192" s="505">
        <f t="shared" si="29"/>
        <v>1341.967142857143</v>
      </c>
      <c r="AR192" s="505">
        <f t="shared" si="30"/>
        <v>3243.0872619048632</v>
      </c>
      <c r="AS192" s="505">
        <f t="shared" si="31"/>
        <v>4585.054404762006</v>
      </c>
      <c r="AT192" s="506">
        <f t="shared" si="32"/>
        <v>4808.7155952379944</v>
      </c>
    </row>
    <row r="193" spans="1:46">
      <c r="A193" s="341">
        <v>2112</v>
      </c>
      <c r="B193" s="345">
        <v>234185</v>
      </c>
      <c r="C193" s="341" t="s">
        <v>574</v>
      </c>
      <c r="D193" s="340" t="s">
        <v>547</v>
      </c>
      <c r="E193" s="341">
        <v>2965</v>
      </c>
      <c r="F193" s="340"/>
      <c r="G193" s="340"/>
      <c r="H193" s="340">
        <v>0</v>
      </c>
      <c r="I193" s="340" t="s">
        <v>1335</v>
      </c>
      <c r="J193" s="340"/>
      <c r="K193" s="340" t="s">
        <v>1564</v>
      </c>
      <c r="L193" s="344">
        <v>43915</v>
      </c>
      <c r="M193" s="344">
        <v>43915</v>
      </c>
      <c r="N193" s="340" t="s">
        <v>1614</v>
      </c>
      <c r="O193" s="341">
        <v>700</v>
      </c>
      <c r="P193" s="341">
        <v>14050</v>
      </c>
      <c r="Q193" s="342">
        <v>10915</v>
      </c>
      <c r="R193" s="341">
        <v>14056</v>
      </c>
      <c r="S193" s="342">
        <v>5197.6400000000003</v>
      </c>
      <c r="T193" s="342">
        <f t="shared" si="33"/>
        <v>5717.36</v>
      </c>
      <c r="U193" s="343">
        <v>909.59</v>
      </c>
      <c r="V193" s="341">
        <v>54260</v>
      </c>
      <c r="W193" s="342">
        <v>129.94</v>
      </c>
      <c r="X193" s="340" t="s">
        <v>574</v>
      </c>
      <c r="Y193" s="340"/>
      <c r="Z193" s="340">
        <v>50088885</v>
      </c>
      <c r="AA193" s="340"/>
      <c r="AB193" s="340" t="s">
        <v>571</v>
      </c>
      <c r="AC193" s="340" t="s">
        <v>570</v>
      </c>
      <c r="AD193" s="341" t="s">
        <v>569</v>
      </c>
      <c r="AE193" s="340"/>
      <c r="AF193" s="341" t="s">
        <v>568</v>
      </c>
      <c r="AG193" s="340">
        <v>0</v>
      </c>
      <c r="AH193" s="340">
        <v>0</v>
      </c>
      <c r="AI193" s="377"/>
      <c r="AK193" s="493">
        <f t="shared" si="23"/>
        <v>3</v>
      </c>
      <c r="AL193" s="493">
        <f t="shared" si="24"/>
        <v>2020</v>
      </c>
      <c r="AM193" s="493">
        <f t="shared" si="25"/>
        <v>2027</v>
      </c>
      <c r="AN193" s="494">
        <f t="shared" si="26"/>
        <v>2027.25</v>
      </c>
      <c r="AO193" s="505">
        <f t="shared" si="27"/>
        <v>129.94047619047618</v>
      </c>
      <c r="AP193" s="505">
        <f t="shared" si="28"/>
        <v>1559.2857142857142</v>
      </c>
      <c r="AQ193" s="505">
        <f t="shared" si="29"/>
        <v>1559.2857142857142</v>
      </c>
      <c r="AR193" s="505">
        <f t="shared" si="30"/>
        <v>3768.2738095239283</v>
      </c>
      <c r="AS193" s="505">
        <f t="shared" si="31"/>
        <v>5327.559523809643</v>
      </c>
      <c r="AT193" s="506">
        <f t="shared" si="32"/>
        <v>5587.440476190357</v>
      </c>
    </row>
    <row r="194" spans="1:46">
      <c r="A194" s="341">
        <v>2112</v>
      </c>
      <c r="B194" s="345">
        <v>234184</v>
      </c>
      <c r="C194" s="341" t="s">
        <v>574</v>
      </c>
      <c r="D194" s="340" t="s">
        <v>530</v>
      </c>
      <c r="E194" s="341">
        <v>615</v>
      </c>
      <c r="F194" s="340"/>
      <c r="G194" s="340"/>
      <c r="H194" s="340">
        <v>0</v>
      </c>
      <c r="I194" s="340" t="s">
        <v>1335</v>
      </c>
      <c r="J194" s="340"/>
      <c r="K194" s="340" t="s">
        <v>1564</v>
      </c>
      <c r="L194" s="344">
        <v>43915</v>
      </c>
      <c r="M194" s="344">
        <v>43915</v>
      </c>
      <c r="N194" s="340" t="s">
        <v>1590</v>
      </c>
      <c r="O194" s="341">
        <v>700</v>
      </c>
      <c r="P194" s="341">
        <v>14050</v>
      </c>
      <c r="Q194" s="342">
        <v>2277</v>
      </c>
      <c r="R194" s="341">
        <v>14056</v>
      </c>
      <c r="S194" s="342">
        <v>1084.3</v>
      </c>
      <c r="T194" s="342">
        <f t="shared" si="33"/>
        <v>1192.7</v>
      </c>
      <c r="U194" s="343">
        <v>189.75</v>
      </c>
      <c r="V194" s="341">
        <v>54260</v>
      </c>
      <c r="W194" s="342">
        <v>27.1</v>
      </c>
      <c r="X194" s="340" t="s">
        <v>574</v>
      </c>
      <c r="Y194" s="340"/>
      <c r="Z194" s="340">
        <v>50088885</v>
      </c>
      <c r="AA194" s="340"/>
      <c r="AB194" s="340" t="s">
        <v>571</v>
      </c>
      <c r="AC194" s="340" t="s">
        <v>570</v>
      </c>
      <c r="AD194" s="341" t="s">
        <v>569</v>
      </c>
      <c r="AE194" s="340"/>
      <c r="AF194" s="341" t="s">
        <v>568</v>
      </c>
      <c r="AG194" s="340">
        <v>0</v>
      </c>
      <c r="AH194" s="340">
        <v>0</v>
      </c>
      <c r="AI194" s="377"/>
      <c r="AK194" s="493">
        <f t="shared" si="23"/>
        <v>3</v>
      </c>
      <c r="AL194" s="493">
        <f t="shared" si="24"/>
        <v>2020</v>
      </c>
      <c r="AM194" s="493">
        <f t="shared" si="25"/>
        <v>2027</v>
      </c>
      <c r="AN194" s="494">
        <f t="shared" si="26"/>
        <v>2027.25</v>
      </c>
      <c r="AO194" s="505">
        <f t="shared" si="27"/>
        <v>27.107142857142858</v>
      </c>
      <c r="AP194" s="505">
        <f t="shared" si="28"/>
        <v>325.28571428571428</v>
      </c>
      <c r="AQ194" s="505">
        <f t="shared" si="29"/>
        <v>325.28571428571428</v>
      </c>
      <c r="AR194" s="505">
        <f t="shared" si="30"/>
        <v>786.10714285716745</v>
      </c>
      <c r="AS194" s="505">
        <f t="shared" si="31"/>
        <v>1111.3928571428817</v>
      </c>
      <c r="AT194" s="506">
        <f t="shared" si="32"/>
        <v>1165.6071428571183</v>
      </c>
    </row>
    <row r="195" spans="1:46">
      <c r="A195" s="341">
        <v>2112</v>
      </c>
      <c r="B195" s="345">
        <v>234183</v>
      </c>
      <c r="C195" s="341" t="s">
        <v>574</v>
      </c>
      <c r="D195" s="340" t="s">
        <v>532</v>
      </c>
      <c r="E195" s="341">
        <v>2300</v>
      </c>
      <c r="F195" s="340"/>
      <c r="G195" s="340"/>
      <c r="H195" s="340">
        <v>0</v>
      </c>
      <c r="I195" s="340" t="s">
        <v>1335</v>
      </c>
      <c r="J195" s="340"/>
      <c r="K195" s="340" t="s">
        <v>1564</v>
      </c>
      <c r="L195" s="344">
        <v>43915</v>
      </c>
      <c r="M195" s="344">
        <v>43915</v>
      </c>
      <c r="N195" s="340" t="s">
        <v>1589</v>
      </c>
      <c r="O195" s="341">
        <v>700</v>
      </c>
      <c r="P195" s="341">
        <v>14050</v>
      </c>
      <c r="Q195" s="342">
        <v>8537</v>
      </c>
      <c r="R195" s="341">
        <v>14056</v>
      </c>
      <c r="S195" s="342">
        <v>4065.24</v>
      </c>
      <c r="T195" s="342">
        <f t="shared" si="33"/>
        <v>4471.76</v>
      </c>
      <c r="U195" s="343">
        <v>711.42</v>
      </c>
      <c r="V195" s="341">
        <v>54260</v>
      </c>
      <c r="W195" s="342">
        <v>101.63</v>
      </c>
      <c r="X195" s="340" t="s">
        <v>574</v>
      </c>
      <c r="Y195" s="340"/>
      <c r="Z195" s="340">
        <v>50088885</v>
      </c>
      <c r="AA195" s="340"/>
      <c r="AB195" s="340" t="s">
        <v>571</v>
      </c>
      <c r="AC195" s="340" t="s">
        <v>570</v>
      </c>
      <c r="AD195" s="341" t="s">
        <v>569</v>
      </c>
      <c r="AE195" s="340"/>
      <c r="AF195" s="341" t="s">
        <v>568</v>
      </c>
      <c r="AG195" s="340">
        <v>0</v>
      </c>
      <c r="AH195" s="340">
        <v>0</v>
      </c>
      <c r="AI195" s="377"/>
      <c r="AK195" s="493">
        <f t="shared" si="23"/>
        <v>3</v>
      </c>
      <c r="AL195" s="493">
        <f t="shared" si="24"/>
        <v>2020</v>
      </c>
      <c r="AM195" s="493">
        <f t="shared" si="25"/>
        <v>2027</v>
      </c>
      <c r="AN195" s="494">
        <f t="shared" si="26"/>
        <v>2027.25</v>
      </c>
      <c r="AO195" s="505">
        <f t="shared" si="27"/>
        <v>101.63095238095239</v>
      </c>
      <c r="AP195" s="505">
        <f t="shared" si="28"/>
        <v>1219.5714285714287</v>
      </c>
      <c r="AQ195" s="505">
        <f t="shared" si="29"/>
        <v>1219.5714285714287</v>
      </c>
      <c r="AR195" s="505">
        <f t="shared" si="30"/>
        <v>2947.2976190477111</v>
      </c>
      <c r="AS195" s="505">
        <f t="shared" si="31"/>
        <v>4166.8690476191396</v>
      </c>
      <c r="AT195" s="506">
        <f t="shared" si="32"/>
        <v>4370.1309523808604</v>
      </c>
    </row>
    <row r="196" spans="1:46">
      <c r="A196" s="341">
        <v>2112</v>
      </c>
      <c r="B196" s="345">
        <v>234108</v>
      </c>
      <c r="C196" s="341" t="s">
        <v>574</v>
      </c>
      <c r="D196" s="340" t="s">
        <v>549</v>
      </c>
      <c r="E196" s="341"/>
      <c r="F196" s="340" t="s">
        <v>1613</v>
      </c>
      <c r="G196" s="340" t="s">
        <v>1612</v>
      </c>
      <c r="H196" s="340">
        <v>2020</v>
      </c>
      <c r="I196" s="340" t="s">
        <v>1533</v>
      </c>
      <c r="J196" s="340" t="s">
        <v>855</v>
      </c>
      <c r="K196" s="340" t="s">
        <v>767</v>
      </c>
      <c r="L196" s="344">
        <v>43951</v>
      </c>
      <c r="M196" s="344">
        <v>43951</v>
      </c>
      <c r="N196" s="340" t="s">
        <v>1611</v>
      </c>
      <c r="O196" s="341">
        <v>1000</v>
      </c>
      <c r="P196" s="341">
        <v>14040</v>
      </c>
      <c r="Q196" s="342">
        <v>379185.66</v>
      </c>
      <c r="R196" s="341">
        <v>14046</v>
      </c>
      <c r="S196" s="342">
        <v>123235.3</v>
      </c>
      <c r="T196" s="342">
        <f t="shared" si="33"/>
        <v>255950.36</v>
      </c>
      <c r="U196" s="343">
        <v>22119.16</v>
      </c>
      <c r="V196" s="341">
        <v>51260</v>
      </c>
      <c r="W196" s="342">
        <v>3159.87</v>
      </c>
      <c r="X196" s="340" t="s">
        <v>574</v>
      </c>
      <c r="Y196" s="340"/>
      <c r="Z196" s="340"/>
      <c r="AA196" s="340">
        <v>893</v>
      </c>
      <c r="AB196" s="340" t="s">
        <v>571</v>
      </c>
      <c r="AC196" s="340" t="s">
        <v>570</v>
      </c>
      <c r="AD196" s="341" t="s">
        <v>569</v>
      </c>
      <c r="AE196" s="340"/>
      <c r="AF196" s="341" t="s">
        <v>568</v>
      </c>
      <c r="AG196" s="340">
        <v>0</v>
      </c>
      <c r="AH196" s="340">
        <v>0</v>
      </c>
      <c r="AI196" s="377"/>
      <c r="AK196" s="493">
        <f t="shared" si="23"/>
        <v>4</v>
      </c>
      <c r="AL196" s="493">
        <f t="shared" si="24"/>
        <v>2020</v>
      </c>
      <c r="AM196" s="493">
        <f t="shared" si="25"/>
        <v>2030</v>
      </c>
      <c r="AN196" s="494">
        <f t="shared" si="26"/>
        <v>2030.3333333333333</v>
      </c>
      <c r="AO196" s="505">
        <f t="shared" si="27"/>
        <v>3159.8804999999998</v>
      </c>
      <c r="AP196" s="505">
        <f t="shared" si="28"/>
        <v>37918.565999999999</v>
      </c>
      <c r="AQ196" s="505">
        <f t="shared" si="29"/>
        <v>37918.565999999999</v>
      </c>
      <c r="AR196" s="505">
        <f t="shared" si="30"/>
        <v>88476.654000005743</v>
      </c>
      <c r="AS196" s="505">
        <f t="shared" si="31"/>
        <v>126395.22000000573</v>
      </c>
      <c r="AT196" s="506">
        <f t="shared" si="32"/>
        <v>252790.43999999424</v>
      </c>
    </row>
    <row r="197" spans="1:46">
      <c r="A197" s="341">
        <v>2112</v>
      </c>
      <c r="B197" s="345">
        <v>234065</v>
      </c>
      <c r="C197" s="341" t="s">
        <v>574</v>
      </c>
      <c r="D197" s="340" t="s">
        <v>1610</v>
      </c>
      <c r="E197" s="341">
        <v>500</v>
      </c>
      <c r="F197" s="340"/>
      <c r="G197" s="340"/>
      <c r="H197" s="340">
        <v>0</v>
      </c>
      <c r="I197" s="340" t="s">
        <v>886</v>
      </c>
      <c r="J197" s="340"/>
      <c r="K197" s="340" t="s">
        <v>1564</v>
      </c>
      <c r="L197" s="344">
        <v>43952</v>
      </c>
      <c r="M197" s="344">
        <v>43952</v>
      </c>
      <c r="N197" s="340" t="s">
        <v>1609</v>
      </c>
      <c r="O197" s="341">
        <v>500</v>
      </c>
      <c r="P197" s="341">
        <v>14050</v>
      </c>
      <c r="Q197" s="342">
        <v>4868.8</v>
      </c>
      <c r="R197" s="341">
        <v>14056</v>
      </c>
      <c r="S197" s="342">
        <v>3164.72</v>
      </c>
      <c r="T197" s="342">
        <f t="shared" si="33"/>
        <v>1704.0800000000004</v>
      </c>
      <c r="U197" s="343">
        <v>568.03</v>
      </c>
      <c r="V197" s="341">
        <v>54260</v>
      </c>
      <c r="W197" s="342">
        <v>81.150000000000006</v>
      </c>
      <c r="X197" s="340" t="s">
        <v>574</v>
      </c>
      <c r="Y197" s="340"/>
      <c r="Z197" s="340">
        <v>30931</v>
      </c>
      <c r="AA197" s="340"/>
      <c r="AB197" s="340" t="s">
        <v>571</v>
      </c>
      <c r="AC197" s="340" t="s">
        <v>570</v>
      </c>
      <c r="AD197" s="341" t="s">
        <v>569</v>
      </c>
      <c r="AE197" s="340"/>
      <c r="AF197" s="341" t="s">
        <v>568</v>
      </c>
      <c r="AG197" s="340">
        <v>0</v>
      </c>
      <c r="AH197" s="340">
        <v>0</v>
      </c>
      <c r="AI197" s="377"/>
      <c r="AK197" s="493">
        <f t="shared" si="23"/>
        <v>5</v>
      </c>
      <c r="AL197" s="493">
        <f t="shared" si="24"/>
        <v>2020</v>
      </c>
      <c r="AM197" s="493">
        <f t="shared" si="25"/>
        <v>2025</v>
      </c>
      <c r="AN197" s="494">
        <f t="shared" si="26"/>
        <v>2025.4166666666667</v>
      </c>
      <c r="AO197" s="505">
        <f t="shared" si="27"/>
        <v>81.146666666666661</v>
      </c>
      <c r="AP197" s="505">
        <f t="shared" si="28"/>
        <v>973.76</v>
      </c>
      <c r="AQ197" s="505">
        <f t="shared" si="29"/>
        <v>973.76</v>
      </c>
      <c r="AR197" s="505">
        <f t="shared" si="30"/>
        <v>2190.9600000000005</v>
      </c>
      <c r="AS197" s="505">
        <f t="shared" si="31"/>
        <v>3164.7200000000003</v>
      </c>
      <c r="AT197" s="506">
        <f t="shared" si="32"/>
        <v>1704.08</v>
      </c>
    </row>
    <row r="198" spans="1:46">
      <c r="A198" s="341">
        <v>2112</v>
      </c>
      <c r="B198" s="345">
        <v>233301</v>
      </c>
      <c r="C198" s="341" t="s">
        <v>574</v>
      </c>
      <c r="D198" s="340" t="s">
        <v>531</v>
      </c>
      <c r="E198" s="341">
        <v>936</v>
      </c>
      <c r="F198" s="340"/>
      <c r="G198" s="340"/>
      <c r="H198" s="340">
        <v>0</v>
      </c>
      <c r="I198" s="340" t="s">
        <v>1335</v>
      </c>
      <c r="J198" s="340"/>
      <c r="K198" s="340" t="s">
        <v>1564</v>
      </c>
      <c r="L198" s="344">
        <v>43915</v>
      </c>
      <c r="M198" s="344">
        <v>43915</v>
      </c>
      <c r="N198" s="340" t="s">
        <v>1591</v>
      </c>
      <c r="O198" s="341">
        <v>700</v>
      </c>
      <c r="P198" s="341">
        <v>14050</v>
      </c>
      <c r="Q198" s="342">
        <v>37422.400000000001</v>
      </c>
      <c r="R198" s="341">
        <v>14056</v>
      </c>
      <c r="S198" s="342">
        <v>17820.2</v>
      </c>
      <c r="T198" s="342">
        <f t="shared" si="33"/>
        <v>19602.2</v>
      </c>
      <c r="U198" s="343">
        <v>3118.54</v>
      </c>
      <c r="V198" s="341">
        <v>54260</v>
      </c>
      <c r="W198" s="342">
        <v>445.51</v>
      </c>
      <c r="X198" s="340" t="s">
        <v>574</v>
      </c>
      <c r="Y198" s="340"/>
      <c r="Z198" s="340">
        <v>50084813</v>
      </c>
      <c r="AA198" s="340"/>
      <c r="AB198" s="340" t="s">
        <v>571</v>
      </c>
      <c r="AC198" s="340" t="s">
        <v>570</v>
      </c>
      <c r="AD198" s="341" t="s">
        <v>569</v>
      </c>
      <c r="AE198" s="340"/>
      <c r="AF198" s="341" t="s">
        <v>568</v>
      </c>
      <c r="AG198" s="340">
        <v>0</v>
      </c>
      <c r="AH198" s="340">
        <v>0</v>
      </c>
      <c r="AI198" s="377"/>
      <c r="AK198" s="493">
        <f t="shared" si="23"/>
        <v>3</v>
      </c>
      <c r="AL198" s="493">
        <f t="shared" si="24"/>
        <v>2020</v>
      </c>
      <c r="AM198" s="493">
        <f t="shared" si="25"/>
        <v>2027</v>
      </c>
      <c r="AN198" s="494">
        <f t="shared" si="26"/>
        <v>2027.25</v>
      </c>
      <c r="AO198" s="505">
        <f t="shared" si="27"/>
        <v>445.50476190476189</v>
      </c>
      <c r="AP198" s="505">
        <f t="shared" si="28"/>
        <v>5346.0571428571429</v>
      </c>
      <c r="AQ198" s="505">
        <f t="shared" si="29"/>
        <v>5346.0571428571429</v>
      </c>
      <c r="AR198" s="505">
        <f t="shared" si="30"/>
        <v>12919.638095238504</v>
      </c>
      <c r="AS198" s="505">
        <f t="shared" si="31"/>
        <v>18265.695238095646</v>
      </c>
      <c r="AT198" s="506">
        <f t="shared" si="32"/>
        <v>19156.704761904355</v>
      </c>
    </row>
    <row r="199" spans="1:46">
      <c r="A199" s="341">
        <v>2112</v>
      </c>
      <c r="B199" s="345">
        <v>233300</v>
      </c>
      <c r="C199" s="341" t="s">
        <v>574</v>
      </c>
      <c r="D199" s="340" t="s">
        <v>547</v>
      </c>
      <c r="E199" s="341">
        <v>2536</v>
      </c>
      <c r="F199" s="340"/>
      <c r="G199" s="340"/>
      <c r="H199" s="340">
        <v>0</v>
      </c>
      <c r="I199" s="340" t="s">
        <v>1335</v>
      </c>
      <c r="J199" s="340"/>
      <c r="K199" s="340" t="s">
        <v>1564</v>
      </c>
      <c r="L199" s="344">
        <v>43915</v>
      </c>
      <c r="M199" s="344">
        <v>43915</v>
      </c>
      <c r="N199" s="340" t="s">
        <v>1591</v>
      </c>
      <c r="O199" s="341">
        <v>700</v>
      </c>
      <c r="P199" s="341">
        <v>14050</v>
      </c>
      <c r="Q199" s="342">
        <v>116485.09</v>
      </c>
      <c r="R199" s="341">
        <v>14056</v>
      </c>
      <c r="S199" s="342">
        <v>55469.1</v>
      </c>
      <c r="T199" s="342">
        <f t="shared" si="33"/>
        <v>61015.99</v>
      </c>
      <c r="U199" s="343">
        <v>9707.09</v>
      </c>
      <c r="V199" s="341">
        <v>54260</v>
      </c>
      <c r="W199" s="342">
        <v>1386.72</v>
      </c>
      <c r="X199" s="340" t="s">
        <v>574</v>
      </c>
      <c r="Y199" s="340"/>
      <c r="Z199" s="340">
        <v>50084520</v>
      </c>
      <c r="AA199" s="340"/>
      <c r="AB199" s="340" t="s">
        <v>571</v>
      </c>
      <c r="AC199" s="340" t="s">
        <v>570</v>
      </c>
      <c r="AD199" s="341" t="s">
        <v>569</v>
      </c>
      <c r="AE199" s="340"/>
      <c r="AF199" s="341" t="s">
        <v>568</v>
      </c>
      <c r="AG199" s="340">
        <v>0</v>
      </c>
      <c r="AH199" s="340">
        <v>0</v>
      </c>
      <c r="AI199" s="377"/>
      <c r="AK199" s="493">
        <f t="shared" si="23"/>
        <v>3</v>
      </c>
      <c r="AL199" s="493">
        <f t="shared" si="24"/>
        <v>2020</v>
      </c>
      <c r="AM199" s="493">
        <f t="shared" si="25"/>
        <v>2027</v>
      </c>
      <c r="AN199" s="494">
        <f t="shared" si="26"/>
        <v>2027.25</v>
      </c>
      <c r="AO199" s="505">
        <f t="shared" si="27"/>
        <v>1386.7272619047619</v>
      </c>
      <c r="AP199" s="505">
        <f t="shared" si="28"/>
        <v>16640.727142857144</v>
      </c>
      <c r="AQ199" s="505">
        <f t="shared" si="29"/>
        <v>16640.727142857144</v>
      </c>
      <c r="AR199" s="505">
        <f t="shared" si="30"/>
        <v>40215.090595239351</v>
      </c>
      <c r="AS199" s="505">
        <f t="shared" si="31"/>
        <v>56855.817738096492</v>
      </c>
      <c r="AT199" s="506">
        <f t="shared" si="32"/>
        <v>59629.272261903505</v>
      </c>
    </row>
    <row r="200" spans="1:46">
      <c r="A200" s="341">
        <v>2112</v>
      </c>
      <c r="B200" s="345">
        <v>233299</v>
      </c>
      <c r="C200" s="341" t="s">
        <v>574</v>
      </c>
      <c r="D200" s="340" t="s">
        <v>1608</v>
      </c>
      <c r="E200" s="341">
        <v>702</v>
      </c>
      <c r="F200" s="340"/>
      <c r="G200" s="340"/>
      <c r="H200" s="340">
        <v>0</v>
      </c>
      <c r="I200" s="340" t="s">
        <v>1335</v>
      </c>
      <c r="J200" s="340"/>
      <c r="K200" s="340" t="s">
        <v>1564</v>
      </c>
      <c r="L200" s="344">
        <v>43915</v>
      </c>
      <c r="M200" s="344">
        <v>43915</v>
      </c>
      <c r="N200" s="340" t="s">
        <v>1590</v>
      </c>
      <c r="O200" s="341">
        <v>700</v>
      </c>
      <c r="P200" s="341">
        <v>14050</v>
      </c>
      <c r="Q200" s="342">
        <v>32244.68</v>
      </c>
      <c r="R200" s="341">
        <v>14056</v>
      </c>
      <c r="S200" s="342">
        <v>15354.61</v>
      </c>
      <c r="T200" s="342">
        <f t="shared" si="33"/>
        <v>16890.07</v>
      </c>
      <c r="U200" s="343">
        <v>2687.06</v>
      </c>
      <c r="V200" s="341">
        <v>54260</v>
      </c>
      <c r="W200" s="342">
        <v>383.87</v>
      </c>
      <c r="X200" s="340" t="s">
        <v>574</v>
      </c>
      <c r="Y200" s="340"/>
      <c r="Z200" s="340">
        <v>50084813</v>
      </c>
      <c r="AA200" s="340"/>
      <c r="AB200" s="340" t="s">
        <v>571</v>
      </c>
      <c r="AC200" s="340" t="s">
        <v>570</v>
      </c>
      <c r="AD200" s="341" t="s">
        <v>569</v>
      </c>
      <c r="AE200" s="340"/>
      <c r="AF200" s="341" t="s">
        <v>568</v>
      </c>
      <c r="AG200" s="340">
        <v>0</v>
      </c>
      <c r="AH200" s="340">
        <v>0</v>
      </c>
      <c r="AI200" s="377"/>
      <c r="AK200" s="493">
        <f t="shared" si="23"/>
        <v>3</v>
      </c>
      <c r="AL200" s="493">
        <f t="shared" si="24"/>
        <v>2020</v>
      </c>
      <c r="AM200" s="493">
        <f t="shared" si="25"/>
        <v>2027</v>
      </c>
      <c r="AN200" s="494">
        <f t="shared" si="26"/>
        <v>2027.25</v>
      </c>
      <c r="AO200" s="505">
        <f t="shared" si="27"/>
        <v>383.86523809523811</v>
      </c>
      <c r="AP200" s="505">
        <f t="shared" si="28"/>
        <v>4606.3828571428576</v>
      </c>
      <c r="AQ200" s="505">
        <f t="shared" si="29"/>
        <v>4606.3828571428576</v>
      </c>
      <c r="AR200" s="505">
        <f t="shared" si="30"/>
        <v>11132.091904762252</v>
      </c>
      <c r="AS200" s="505">
        <f t="shared" si="31"/>
        <v>15738.474761905109</v>
      </c>
      <c r="AT200" s="506">
        <f t="shared" si="32"/>
        <v>16506.205238094892</v>
      </c>
    </row>
    <row r="201" spans="1:46">
      <c r="A201" s="341">
        <v>2112</v>
      </c>
      <c r="B201" s="345">
        <v>233298</v>
      </c>
      <c r="C201" s="341" t="s">
        <v>574</v>
      </c>
      <c r="D201" s="340" t="s">
        <v>530</v>
      </c>
      <c r="E201" s="341">
        <v>220</v>
      </c>
      <c r="F201" s="340"/>
      <c r="G201" s="340"/>
      <c r="H201" s="340">
        <v>0</v>
      </c>
      <c r="I201" s="340" t="s">
        <v>1335</v>
      </c>
      <c r="J201" s="340"/>
      <c r="K201" s="340" t="s">
        <v>1564</v>
      </c>
      <c r="L201" s="344">
        <v>43915</v>
      </c>
      <c r="M201" s="344">
        <v>43915</v>
      </c>
      <c r="N201" s="340" t="s">
        <v>1590</v>
      </c>
      <c r="O201" s="341">
        <v>700</v>
      </c>
      <c r="P201" s="341">
        <v>14050</v>
      </c>
      <c r="Q201" s="342">
        <v>10105.18</v>
      </c>
      <c r="R201" s="341">
        <v>14056</v>
      </c>
      <c r="S201" s="342">
        <v>4812</v>
      </c>
      <c r="T201" s="342">
        <f t="shared" si="33"/>
        <v>5293.18</v>
      </c>
      <c r="U201" s="343">
        <v>842.1</v>
      </c>
      <c r="V201" s="341">
        <v>54260</v>
      </c>
      <c r="W201" s="342">
        <v>120.3</v>
      </c>
      <c r="X201" s="340" t="s">
        <v>574</v>
      </c>
      <c r="Y201" s="340"/>
      <c r="Z201" s="340">
        <v>50084520</v>
      </c>
      <c r="AA201" s="340"/>
      <c r="AB201" s="340" t="s">
        <v>571</v>
      </c>
      <c r="AC201" s="340" t="s">
        <v>570</v>
      </c>
      <c r="AD201" s="341" t="s">
        <v>569</v>
      </c>
      <c r="AE201" s="340"/>
      <c r="AF201" s="341" t="s">
        <v>568</v>
      </c>
      <c r="AG201" s="340">
        <v>0</v>
      </c>
      <c r="AH201" s="340">
        <v>0</v>
      </c>
      <c r="AI201" s="377"/>
      <c r="AK201" s="493">
        <f t="shared" si="23"/>
        <v>3</v>
      </c>
      <c r="AL201" s="493">
        <f t="shared" si="24"/>
        <v>2020</v>
      </c>
      <c r="AM201" s="493">
        <f t="shared" si="25"/>
        <v>2027</v>
      </c>
      <c r="AN201" s="494">
        <f t="shared" si="26"/>
        <v>2027.25</v>
      </c>
      <c r="AO201" s="505">
        <f t="shared" si="27"/>
        <v>120.29976190476191</v>
      </c>
      <c r="AP201" s="505">
        <f t="shared" si="28"/>
        <v>1443.5971428571429</v>
      </c>
      <c r="AQ201" s="505">
        <f t="shared" si="29"/>
        <v>1443.5971428571429</v>
      </c>
      <c r="AR201" s="505">
        <f t="shared" si="30"/>
        <v>3488.6930952382045</v>
      </c>
      <c r="AS201" s="505">
        <f t="shared" si="31"/>
        <v>4932.2902380953474</v>
      </c>
      <c r="AT201" s="506">
        <f t="shared" si="32"/>
        <v>5172.8897619046529</v>
      </c>
    </row>
    <row r="202" spans="1:46">
      <c r="A202" s="341">
        <v>2112</v>
      </c>
      <c r="B202" s="345">
        <v>233297</v>
      </c>
      <c r="C202" s="341" t="s">
        <v>574</v>
      </c>
      <c r="D202" s="340" t="s">
        <v>532</v>
      </c>
      <c r="E202" s="341">
        <v>2160</v>
      </c>
      <c r="F202" s="340"/>
      <c r="G202" s="340"/>
      <c r="H202" s="340">
        <v>0</v>
      </c>
      <c r="I202" s="340" t="s">
        <v>1335</v>
      </c>
      <c r="J202" s="340"/>
      <c r="K202" s="340" t="s">
        <v>1564</v>
      </c>
      <c r="L202" s="344">
        <v>43915</v>
      </c>
      <c r="M202" s="344">
        <v>43915</v>
      </c>
      <c r="N202" s="340" t="s">
        <v>1589</v>
      </c>
      <c r="O202" s="341">
        <v>700</v>
      </c>
      <c r="P202" s="341">
        <v>14050</v>
      </c>
      <c r="Q202" s="342">
        <v>72750.960000000006</v>
      </c>
      <c r="R202" s="341">
        <v>14056</v>
      </c>
      <c r="S202" s="342">
        <v>34643.33</v>
      </c>
      <c r="T202" s="342">
        <f t="shared" si="33"/>
        <v>38107.630000000005</v>
      </c>
      <c r="U202" s="343">
        <v>6062.58</v>
      </c>
      <c r="V202" s="341">
        <v>54260</v>
      </c>
      <c r="W202" s="342">
        <v>866.08</v>
      </c>
      <c r="X202" s="340" t="s">
        <v>574</v>
      </c>
      <c r="Y202" s="340"/>
      <c r="Z202" s="340">
        <v>50084520</v>
      </c>
      <c r="AA202" s="340"/>
      <c r="AB202" s="340" t="s">
        <v>571</v>
      </c>
      <c r="AC202" s="340" t="s">
        <v>570</v>
      </c>
      <c r="AD202" s="341" t="s">
        <v>569</v>
      </c>
      <c r="AE202" s="340"/>
      <c r="AF202" s="341" t="s">
        <v>568</v>
      </c>
      <c r="AG202" s="340">
        <v>0</v>
      </c>
      <c r="AH202" s="340">
        <v>0</v>
      </c>
      <c r="AI202" s="377"/>
      <c r="AK202" s="493">
        <f t="shared" si="23"/>
        <v>3</v>
      </c>
      <c r="AL202" s="493">
        <f t="shared" si="24"/>
        <v>2020</v>
      </c>
      <c r="AM202" s="493">
        <f t="shared" si="25"/>
        <v>2027</v>
      </c>
      <c r="AN202" s="494">
        <f t="shared" si="26"/>
        <v>2027.25</v>
      </c>
      <c r="AO202" s="505">
        <f t="shared" si="27"/>
        <v>866.08285714285728</v>
      </c>
      <c r="AP202" s="505">
        <f t="shared" si="28"/>
        <v>10392.994285714287</v>
      </c>
      <c r="AQ202" s="505">
        <f t="shared" si="29"/>
        <v>10392.994285714287</v>
      </c>
      <c r="AR202" s="505">
        <f t="shared" si="30"/>
        <v>25116.402857143643</v>
      </c>
      <c r="AS202" s="505">
        <f t="shared" si="31"/>
        <v>35509.397142857932</v>
      </c>
      <c r="AT202" s="506">
        <f t="shared" si="32"/>
        <v>37241.562857142075</v>
      </c>
    </row>
    <row r="203" spans="1:46">
      <c r="A203" s="341">
        <v>2112</v>
      </c>
      <c r="B203" s="345">
        <v>233296</v>
      </c>
      <c r="C203" s="341" t="s">
        <v>574</v>
      </c>
      <c r="D203" s="340" t="s">
        <v>546</v>
      </c>
      <c r="E203" s="341">
        <v>2</v>
      </c>
      <c r="F203" s="340"/>
      <c r="G203" s="340"/>
      <c r="H203" s="340">
        <v>0</v>
      </c>
      <c r="I203" s="340" t="s">
        <v>1497</v>
      </c>
      <c r="J203" s="340"/>
      <c r="K203" s="340" t="s">
        <v>1607</v>
      </c>
      <c r="L203" s="344">
        <v>43937</v>
      </c>
      <c r="M203" s="344">
        <v>43937</v>
      </c>
      <c r="N203" s="340" t="s">
        <v>1605</v>
      </c>
      <c r="O203" s="341">
        <v>1200</v>
      </c>
      <c r="P203" s="341">
        <v>14050</v>
      </c>
      <c r="Q203" s="342">
        <v>2013.21</v>
      </c>
      <c r="R203" s="341">
        <v>14056</v>
      </c>
      <c r="S203" s="342">
        <v>545.19000000000005</v>
      </c>
      <c r="T203" s="342">
        <f t="shared" si="33"/>
        <v>1468.02</v>
      </c>
      <c r="U203" s="343">
        <v>97.86</v>
      </c>
      <c r="V203" s="341">
        <v>54260</v>
      </c>
      <c r="W203" s="342">
        <v>13.97</v>
      </c>
      <c r="X203" s="340" t="s">
        <v>574</v>
      </c>
      <c r="Y203" s="340"/>
      <c r="Z203" s="340" t="s">
        <v>1604</v>
      </c>
      <c r="AA203" s="340"/>
      <c r="AB203" s="340" t="s">
        <v>571</v>
      </c>
      <c r="AC203" s="340" t="s">
        <v>570</v>
      </c>
      <c r="AD203" s="341" t="s">
        <v>569</v>
      </c>
      <c r="AE203" s="340"/>
      <c r="AF203" s="341" t="s">
        <v>568</v>
      </c>
      <c r="AG203" s="340">
        <v>0</v>
      </c>
      <c r="AH203" s="340">
        <v>0</v>
      </c>
      <c r="AI203" s="377"/>
      <c r="AK203" s="493">
        <f t="shared" si="23"/>
        <v>4</v>
      </c>
      <c r="AL203" s="493">
        <f t="shared" si="24"/>
        <v>2020</v>
      </c>
      <c r="AM203" s="493">
        <f t="shared" si="25"/>
        <v>2032</v>
      </c>
      <c r="AN203" s="494">
        <f t="shared" si="26"/>
        <v>2032.3333333333333</v>
      </c>
      <c r="AO203" s="505">
        <f t="shared" si="27"/>
        <v>13.980625000000002</v>
      </c>
      <c r="AP203" s="505">
        <f t="shared" si="28"/>
        <v>167.76750000000001</v>
      </c>
      <c r="AQ203" s="505">
        <f t="shared" si="29"/>
        <v>167.76750000000001</v>
      </c>
      <c r="AR203" s="505">
        <f t="shared" si="30"/>
        <v>391.45750000002522</v>
      </c>
      <c r="AS203" s="505">
        <f t="shared" si="31"/>
        <v>559.22500000002526</v>
      </c>
      <c r="AT203" s="506">
        <f t="shared" si="32"/>
        <v>1453.9849999999747</v>
      </c>
    </row>
    <row r="204" spans="1:46">
      <c r="A204" s="341">
        <v>2112</v>
      </c>
      <c r="B204" s="345">
        <v>233295</v>
      </c>
      <c r="C204" s="341" t="s">
        <v>574</v>
      </c>
      <c r="D204" s="340" t="s">
        <v>545</v>
      </c>
      <c r="E204" s="341">
        <v>16</v>
      </c>
      <c r="F204" s="340"/>
      <c r="G204" s="340"/>
      <c r="H204" s="340">
        <v>0</v>
      </c>
      <c r="I204" s="340" t="s">
        <v>1497</v>
      </c>
      <c r="J204" s="340"/>
      <c r="K204" s="340" t="s">
        <v>673</v>
      </c>
      <c r="L204" s="344">
        <v>43937</v>
      </c>
      <c r="M204" s="344">
        <v>43937</v>
      </c>
      <c r="N204" s="340" t="s">
        <v>1605</v>
      </c>
      <c r="O204" s="341">
        <v>1200</v>
      </c>
      <c r="P204" s="341">
        <v>14050</v>
      </c>
      <c r="Q204" s="342">
        <v>14359.98</v>
      </c>
      <c r="R204" s="341">
        <v>14056</v>
      </c>
      <c r="S204" s="342">
        <v>3889.18</v>
      </c>
      <c r="T204" s="342">
        <f t="shared" si="33"/>
        <v>10470.799999999999</v>
      </c>
      <c r="U204" s="343">
        <v>698.06</v>
      </c>
      <c r="V204" s="341">
        <v>54260</v>
      </c>
      <c r="W204" s="342">
        <v>99.72</v>
      </c>
      <c r="X204" s="340" t="s">
        <v>574</v>
      </c>
      <c r="Y204" s="340"/>
      <c r="Z204" s="340" t="s">
        <v>1604</v>
      </c>
      <c r="AA204" s="340"/>
      <c r="AB204" s="340" t="s">
        <v>571</v>
      </c>
      <c r="AC204" s="340" t="s">
        <v>570</v>
      </c>
      <c r="AD204" s="341" t="s">
        <v>569</v>
      </c>
      <c r="AE204" s="340"/>
      <c r="AF204" s="341" t="s">
        <v>568</v>
      </c>
      <c r="AG204" s="340">
        <v>0</v>
      </c>
      <c r="AH204" s="340">
        <v>0</v>
      </c>
      <c r="AI204" s="377"/>
      <c r="AK204" s="493">
        <f t="shared" si="23"/>
        <v>4</v>
      </c>
      <c r="AL204" s="493">
        <f t="shared" si="24"/>
        <v>2020</v>
      </c>
      <c r="AM204" s="493">
        <f t="shared" si="25"/>
        <v>2032</v>
      </c>
      <c r="AN204" s="494">
        <f t="shared" si="26"/>
        <v>2032.3333333333333</v>
      </c>
      <c r="AO204" s="505">
        <f t="shared" si="27"/>
        <v>99.72208333333333</v>
      </c>
      <c r="AP204" s="505">
        <f t="shared" si="28"/>
        <v>1196.665</v>
      </c>
      <c r="AQ204" s="505">
        <f t="shared" si="29"/>
        <v>1196.665</v>
      </c>
      <c r="AR204" s="505">
        <f t="shared" si="30"/>
        <v>2792.2183333335142</v>
      </c>
      <c r="AS204" s="505">
        <f t="shared" si="31"/>
        <v>3988.8833333335142</v>
      </c>
      <c r="AT204" s="506">
        <f t="shared" si="32"/>
        <v>10371.096666666486</v>
      </c>
    </row>
    <row r="205" spans="1:46">
      <c r="A205" s="341">
        <v>2112</v>
      </c>
      <c r="B205" s="345">
        <v>233294</v>
      </c>
      <c r="C205" s="341" t="s">
        <v>574</v>
      </c>
      <c r="D205" s="340" t="s">
        <v>544</v>
      </c>
      <c r="E205" s="341">
        <v>9</v>
      </c>
      <c r="F205" s="340"/>
      <c r="G205" s="340"/>
      <c r="H205" s="340">
        <v>0</v>
      </c>
      <c r="I205" s="340" t="s">
        <v>1497</v>
      </c>
      <c r="J205" s="340"/>
      <c r="K205" s="340" t="s">
        <v>782</v>
      </c>
      <c r="L205" s="344">
        <v>43937</v>
      </c>
      <c r="M205" s="344">
        <v>43937</v>
      </c>
      <c r="N205" s="340" t="s">
        <v>1605</v>
      </c>
      <c r="O205" s="341">
        <v>1200</v>
      </c>
      <c r="P205" s="341">
        <v>14050</v>
      </c>
      <c r="Q205" s="342">
        <v>6672.41</v>
      </c>
      <c r="R205" s="341">
        <v>14056</v>
      </c>
      <c r="S205" s="342">
        <v>1807.13</v>
      </c>
      <c r="T205" s="342">
        <f t="shared" si="33"/>
        <v>4865.28</v>
      </c>
      <c r="U205" s="343">
        <v>324.36</v>
      </c>
      <c r="V205" s="341">
        <v>54260</v>
      </c>
      <c r="W205" s="342">
        <v>46.34</v>
      </c>
      <c r="X205" s="340" t="s">
        <v>574</v>
      </c>
      <c r="Y205" s="340"/>
      <c r="Z205" s="340" t="s">
        <v>1604</v>
      </c>
      <c r="AA205" s="340"/>
      <c r="AB205" s="340" t="s">
        <v>571</v>
      </c>
      <c r="AC205" s="340" t="s">
        <v>570</v>
      </c>
      <c r="AD205" s="341" t="s">
        <v>569</v>
      </c>
      <c r="AE205" s="340"/>
      <c r="AF205" s="341" t="s">
        <v>568</v>
      </c>
      <c r="AG205" s="340">
        <v>0</v>
      </c>
      <c r="AH205" s="340">
        <v>0</v>
      </c>
      <c r="AI205" s="377"/>
      <c r="AK205" s="493">
        <f t="shared" si="23"/>
        <v>4</v>
      </c>
      <c r="AL205" s="493">
        <f t="shared" si="24"/>
        <v>2020</v>
      </c>
      <c r="AM205" s="493">
        <f t="shared" si="25"/>
        <v>2032</v>
      </c>
      <c r="AN205" s="494">
        <f t="shared" si="26"/>
        <v>2032.3333333333333</v>
      </c>
      <c r="AO205" s="505">
        <f t="shared" si="27"/>
        <v>46.336180555555558</v>
      </c>
      <c r="AP205" s="505">
        <f t="shared" si="28"/>
        <v>556.03416666666669</v>
      </c>
      <c r="AQ205" s="505">
        <f t="shared" si="29"/>
        <v>556.03416666666669</v>
      </c>
      <c r="AR205" s="505">
        <f t="shared" si="30"/>
        <v>1297.4130555556394</v>
      </c>
      <c r="AS205" s="505">
        <f t="shared" si="31"/>
        <v>1853.4472222223062</v>
      </c>
      <c r="AT205" s="506">
        <f t="shared" si="32"/>
        <v>4818.9627777776932</v>
      </c>
    </row>
    <row r="206" spans="1:46">
      <c r="A206" s="341">
        <v>2112</v>
      </c>
      <c r="B206" s="345">
        <v>233293</v>
      </c>
      <c r="C206" s="341" t="s">
        <v>574</v>
      </c>
      <c r="D206" s="340" t="s">
        <v>543</v>
      </c>
      <c r="E206" s="341">
        <v>3</v>
      </c>
      <c r="F206" s="340"/>
      <c r="G206" s="340"/>
      <c r="H206" s="340">
        <v>0</v>
      </c>
      <c r="I206" s="340" t="s">
        <v>1497</v>
      </c>
      <c r="J206" s="340"/>
      <c r="K206" s="340" t="s">
        <v>636</v>
      </c>
      <c r="L206" s="344">
        <v>43937</v>
      </c>
      <c r="M206" s="344">
        <v>43937</v>
      </c>
      <c r="N206" s="340" t="s">
        <v>1605</v>
      </c>
      <c r="O206" s="341">
        <v>1200</v>
      </c>
      <c r="P206" s="341">
        <v>14050</v>
      </c>
      <c r="Q206" s="342">
        <v>2043.15</v>
      </c>
      <c r="R206" s="341">
        <v>14056</v>
      </c>
      <c r="S206" s="342">
        <v>553.35</v>
      </c>
      <c r="T206" s="342">
        <f t="shared" si="33"/>
        <v>1489.8000000000002</v>
      </c>
      <c r="U206" s="343">
        <v>99.32</v>
      </c>
      <c r="V206" s="341">
        <v>54260</v>
      </c>
      <c r="W206" s="342">
        <v>14.19</v>
      </c>
      <c r="X206" s="340" t="s">
        <v>574</v>
      </c>
      <c r="Y206" s="340"/>
      <c r="Z206" s="340" t="s">
        <v>1604</v>
      </c>
      <c r="AA206" s="340"/>
      <c r="AB206" s="340" t="s">
        <v>571</v>
      </c>
      <c r="AC206" s="340" t="s">
        <v>570</v>
      </c>
      <c r="AD206" s="341" t="s">
        <v>569</v>
      </c>
      <c r="AE206" s="340"/>
      <c r="AF206" s="341" t="s">
        <v>568</v>
      </c>
      <c r="AG206" s="340">
        <v>0</v>
      </c>
      <c r="AH206" s="340">
        <v>0</v>
      </c>
      <c r="AI206" s="377"/>
      <c r="AK206" s="493">
        <f t="shared" ref="AK206:AK269" si="34">MONTH($L206)</f>
        <v>4</v>
      </c>
      <c r="AL206" s="493">
        <f t="shared" ref="AL206:AL269" si="35">YEAR($L206)</f>
        <v>2020</v>
      </c>
      <c r="AM206" s="493">
        <f t="shared" ref="AM206:AM269" si="36">$AL206+($O206/100)</f>
        <v>2032</v>
      </c>
      <c r="AN206" s="494">
        <f t="shared" ref="AN206:AN269" si="37">$AM206+($AK206/12)</f>
        <v>2032.3333333333333</v>
      </c>
      <c r="AO206" s="505">
        <f t="shared" ref="AO206:AO269" si="38">IFERROR($Q206/($O206/100)/12,0)</f>
        <v>14.188541666666667</v>
      </c>
      <c r="AP206" s="505">
        <f t="shared" ref="AP206:AP269" si="39">$AO206*12</f>
        <v>170.26250000000002</v>
      </c>
      <c r="AQ206" s="505">
        <f t="shared" ref="AQ206:AQ269" si="40">+IF(AN206&lt;=$AI$9,0,AP206)</f>
        <v>170.26250000000002</v>
      </c>
      <c r="AR206" s="505">
        <f t="shared" ref="AR206:AR269" si="41">+IF(AN206&lt;=$AI$10,Q206,IF((AL206+(AK206/12))&gt;=$AI$10,0,((Q206-((AN206-$AI$10)*12)*AO206))))</f>
        <v>397.27916666669239</v>
      </c>
      <c r="AS206" s="505">
        <f t="shared" ref="AS206:AS269" si="42">+IF(AN206&lt;$AI$9,Q206,AQ206+AR206)</f>
        <v>567.54166666669244</v>
      </c>
      <c r="AT206" s="506">
        <f t="shared" ref="AT206:AT269" si="43">$Q206-$AS206</f>
        <v>1475.6083333333077</v>
      </c>
    </row>
    <row r="207" spans="1:46">
      <c r="A207" s="341">
        <v>2112</v>
      </c>
      <c r="B207" s="345">
        <v>233292</v>
      </c>
      <c r="C207" s="341" t="s">
        <v>574</v>
      </c>
      <c r="D207" s="340" t="s">
        <v>1606</v>
      </c>
      <c r="E207" s="341">
        <v>20</v>
      </c>
      <c r="F207" s="340"/>
      <c r="G207" s="340"/>
      <c r="H207" s="340">
        <v>0</v>
      </c>
      <c r="I207" s="340" t="s">
        <v>1497</v>
      </c>
      <c r="J207" s="340"/>
      <c r="K207" s="340" t="s">
        <v>671</v>
      </c>
      <c r="L207" s="344">
        <v>43937</v>
      </c>
      <c r="M207" s="344">
        <v>43937</v>
      </c>
      <c r="N207" s="340" t="s">
        <v>1605</v>
      </c>
      <c r="O207" s="341">
        <v>1200</v>
      </c>
      <c r="P207" s="341">
        <v>14050</v>
      </c>
      <c r="Q207" s="342">
        <v>12451.39</v>
      </c>
      <c r="R207" s="341">
        <v>14056</v>
      </c>
      <c r="S207" s="342">
        <v>3372.26</v>
      </c>
      <c r="T207" s="342">
        <f t="shared" si="33"/>
        <v>9079.1299999999992</v>
      </c>
      <c r="U207" s="343">
        <v>605.28</v>
      </c>
      <c r="V207" s="341">
        <v>54260</v>
      </c>
      <c r="W207" s="342">
        <v>86.47</v>
      </c>
      <c r="X207" s="340" t="s">
        <v>574</v>
      </c>
      <c r="Y207" s="340"/>
      <c r="Z207" s="340" t="s">
        <v>1604</v>
      </c>
      <c r="AA207" s="340"/>
      <c r="AB207" s="340" t="s">
        <v>571</v>
      </c>
      <c r="AC207" s="340" t="s">
        <v>570</v>
      </c>
      <c r="AD207" s="341" t="s">
        <v>569</v>
      </c>
      <c r="AE207" s="340"/>
      <c r="AF207" s="341" t="s">
        <v>568</v>
      </c>
      <c r="AG207" s="340">
        <v>0</v>
      </c>
      <c r="AH207" s="340">
        <v>0</v>
      </c>
      <c r="AI207" s="377"/>
      <c r="AK207" s="493">
        <f t="shared" si="34"/>
        <v>4</v>
      </c>
      <c r="AL207" s="493">
        <f t="shared" si="35"/>
        <v>2020</v>
      </c>
      <c r="AM207" s="493">
        <f t="shared" si="36"/>
        <v>2032</v>
      </c>
      <c r="AN207" s="494">
        <f t="shared" si="37"/>
        <v>2032.3333333333333</v>
      </c>
      <c r="AO207" s="505">
        <f t="shared" si="38"/>
        <v>86.467986111111102</v>
      </c>
      <c r="AP207" s="505">
        <f t="shared" si="39"/>
        <v>1037.6158333333333</v>
      </c>
      <c r="AQ207" s="505">
        <f t="shared" si="40"/>
        <v>1037.6158333333333</v>
      </c>
      <c r="AR207" s="505">
        <f t="shared" si="41"/>
        <v>2421.103611111268</v>
      </c>
      <c r="AS207" s="505">
        <f t="shared" si="42"/>
        <v>3458.7194444446013</v>
      </c>
      <c r="AT207" s="506">
        <f t="shared" si="43"/>
        <v>8992.6705555553981</v>
      </c>
    </row>
    <row r="208" spans="1:46">
      <c r="A208" s="341">
        <v>2112</v>
      </c>
      <c r="B208" s="345">
        <v>233291</v>
      </c>
      <c r="C208" s="341" t="s">
        <v>574</v>
      </c>
      <c r="D208" s="340" t="s">
        <v>541</v>
      </c>
      <c r="E208" s="341">
        <v>15</v>
      </c>
      <c r="F208" s="340"/>
      <c r="G208" s="340"/>
      <c r="H208" s="340">
        <v>0</v>
      </c>
      <c r="I208" s="340" t="s">
        <v>1497</v>
      </c>
      <c r="J208" s="340"/>
      <c r="K208" s="340" t="s">
        <v>706</v>
      </c>
      <c r="L208" s="344">
        <v>43937</v>
      </c>
      <c r="M208" s="344">
        <v>43937</v>
      </c>
      <c r="N208" s="340" t="s">
        <v>1605</v>
      </c>
      <c r="O208" s="341">
        <v>1200</v>
      </c>
      <c r="P208" s="341">
        <v>14050</v>
      </c>
      <c r="Q208" s="342">
        <v>8880.3700000000008</v>
      </c>
      <c r="R208" s="341">
        <v>14056</v>
      </c>
      <c r="S208" s="342">
        <v>2405.09</v>
      </c>
      <c r="T208" s="342">
        <f t="shared" si="33"/>
        <v>6475.2800000000007</v>
      </c>
      <c r="U208" s="343">
        <v>431.68</v>
      </c>
      <c r="V208" s="341">
        <v>54260</v>
      </c>
      <c r="W208" s="342">
        <v>61.66</v>
      </c>
      <c r="X208" s="340" t="s">
        <v>574</v>
      </c>
      <c r="Y208" s="340"/>
      <c r="Z208" s="340" t="s">
        <v>1604</v>
      </c>
      <c r="AA208" s="340"/>
      <c r="AB208" s="340" t="s">
        <v>571</v>
      </c>
      <c r="AC208" s="340" t="s">
        <v>570</v>
      </c>
      <c r="AD208" s="341" t="s">
        <v>569</v>
      </c>
      <c r="AE208" s="340"/>
      <c r="AF208" s="341" t="s">
        <v>568</v>
      </c>
      <c r="AG208" s="340">
        <v>0</v>
      </c>
      <c r="AH208" s="340">
        <v>0</v>
      </c>
      <c r="AI208" s="377"/>
      <c r="AK208" s="493">
        <f t="shared" si="34"/>
        <v>4</v>
      </c>
      <c r="AL208" s="493">
        <f t="shared" si="35"/>
        <v>2020</v>
      </c>
      <c r="AM208" s="493">
        <f t="shared" si="36"/>
        <v>2032</v>
      </c>
      <c r="AN208" s="494">
        <f t="shared" si="37"/>
        <v>2032.3333333333333</v>
      </c>
      <c r="AO208" s="505">
        <f t="shared" si="38"/>
        <v>61.669236111111111</v>
      </c>
      <c r="AP208" s="505">
        <f t="shared" si="39"/>
        <v>740.03083333333336</v>
      </c>
      <c r="AQ208" s="505">
        <f t="shared" si="40"/>
        <v>740.03083333333336</v>
      </c>
      <c r="AR208" s="505">
        <f t="shared" si="41"/>
        <v>1726.7386111112237</v>
      </c>
      <c r="AS208" s="505">
        <f t="shared" si="42"/>
        <v>2466.7694444445569</v>
      </c>
      <c r="AT208" s="506">
        <f t="shared" si="43"/>
        <v>6413.6005555554439</v>
      </c>
    </row>
    <row r="209" spans="1:46">
      <c r="A209" s="341">
        <v>2112</v>
      </c>
      <c r="B209" s="345">
        <v>233290</v>
      </c>
      <c r="C209" s="341" t="s">
        <v>574</v>
      </c>
      <c r="D209" s="340" t="s">
        <v>540</v>
      </c>
      <c r="E209" s="341">
        <v>15</v>
      </c>
      <c r="F209" s="340"/>
      <c r="G209" s="340"/>
      <c r="H209" s="340">
        <v>0</v>
      </c>
      <c r="I209" s="340" t="s">
        <v>1497</v>
      </c>
      <c r="J209" s="340"/>
      <c r="K209" s="340" t="s">
        <v>578</v>
      </c>
      <c r="L209" s="344">
        <v>43937</v>
      </c>
      <c r="M209" s="344">
        <v>43937</v>
      </c>
      <c r="N209" s="340" t="s">
        <v>1605</v>
      </c>
      <c r="O209" s="341">
        <v>1200</v>
      </c>
      <c r="P209" s="341">
        <v>14050</v>
      </c>
      <c r="Q209" s="342">
        <v>8130.34</v>
      </c>
      <c r="R209" s="341">
        <v>14056</v>
      </c>
      <c r="S209" s="342">
        <v>2201.98</v>
      </c>
      <c r="T209" s="342">
        <f t="shared" si="33"/>
        <v>5928.3600000000006</v>
      </c>
      <c r="U209" s="343">
        <v>395.23</v>
      </c>
      <c r="V209" s="341">
        <v>54260</v>
      </c>
      <c r="W209" s="342">
        <v>56.46</v>
      </c>
      <c r="X209" s="340" t="s">
        <v>574</v>
      </c>
      <c r="Y209" s="340"/>
      <c r="Z209" s="340" t="s">
        <v>1604</v>
      </c>
      <c r="AA209" s="340"/>
      <c r="AB209" s="340" t="s">
        <v>571</v>
      </c>
      <c r="AC209" s="340" t="s">
        <v>570</v>
      </c>
      <c r="AD209" s="341" t="s">
        <v>569</v>
      </c>
      <c r="AE209" s="340"/>
      <c r="AF209" s="341" t="s">
        <v>568</v>
      </c>
      <c r="AG209" s="340">
        <v>0</v>
      </c>
      <c r="AH209" s="340">
        <v>0</v>
      </c>
      <c r="AI209" s="377"/>
      <c r="AK209" s="493">
        <f t="shared" si="34"/>
        <v>4</v>
      </c>
      <c r="AL209" s="493">
        <f t="shared" si="35"/>
        <v>2020</v>
      </c>
      <c r="AM209" s="493">
        <f t="shared" si="36"/>
        <v>2032</v>
      </c>
      <c r="AN209" s="494">
        <f t="shared" si="37"/>
        <v>2032.3333333333333</v>
      </c>
      <c r="AO209" s="505">
        <f t="shared" si="38"/>
        <v>56.460694444444442</v>
      </c>
      <c r="AP209" s="505">
        <f t="shared" si="39"/>
        <v>677.52833333333331</v>
      </c>
      <c r="AQ209" s="505">
        <f t="shared" si="40"/>
        <v>677.52833333333331</v>
      </c>
      <c r="AR209" s="505">
        <f t="shared" si="41"/>
        <v>1580.899444444548</v>
      </c>
      <c r="AS209" s="505">
        <f t="shared" si="42"/>
        <v>2258.4277777778811</v>
      </c>
      <c r="AT209" s="506">
        <f t="shared" si="43"/>
        <v>5871.9122222221195</v>
      </c>
    </row>
    <row r="210" spans="1:46">
      <c r="A210" s="341">
        <v>2112</v>
      </c>
      <c r="B210" s="345">
        <v>233289</v>
      </c>
      <c r="C210" s="341" t="s">
        <v>574</v>
      </c>
      <c r="D210" s="340" t="s">
        <v>539</v>
      </c>
      <c r="E210" s="341">
        <v>6</v>
      </c>
      <c r="F210" s="340"/>
      <c r="G210" s="340"/>
      <c r="H210" s="340">
        <v>0</v>
      </c>
      <c r="I210" s="340" t="s">
        <v>1497</v>
      </c>
      <c r="J210" s="340"/>
      <c r="K210" s="340" t="s">
        <v>671</v>
      </c>
      <c r="L210" s="344">
        <v>43937</v>
      </c>
      <c r="M210" s="344">
        <v>43937</v>
      </c>
      <c r="N210" s="340" t="s">
        <v>1605</v>
      </c>
      <c r="O210" s="341">
        <v>1200</v>
      </c>
      <c r="P210" s="341">
        <v>14050</v>
      </c>
      <c r="Q210" s="342">
        <v>3567.8</v>
      </c>
      <c r="R210" s="341">
        <v>14056</v>
      </c>
      <c r="S210" s="342">
        <v>966.29</v>
      </c>
      <c r="T210" s="342">
        <f t="shared" si="33"/>
        <v>2601.5100000000002</v>
      </c>
      <c r="U210" s="343">
        <v>173.44</v>
      </c>
      <c r="V210" s="341">
        <v>54260</v>
      </c>
      <c r="W210" s="342">
        <v>24.78</v>
      </c>
      <c r="X210" s="340" t="s">
        <v>574</v>
      </c>
      <c r="Y210" s="340"/>
      <c r="Z210" s="340" t="s">
        <v>1604</v>
      </c>
      <c r="AA210" s="340"/>
      <c r="AB210" s="340" t="s">
        <v>571</v>
      </c>
      <c r="AC210" s="340" t="s">
        <v>570</v>
      </c>
      <c r="AD210" s="341" t="s">
        <v>569</v>
      </c>
      <c r="AE210" s="340"/>
      <c r="AF210" s="341" t="s">
        <v>568</v>
      </c>
      <c r="AG210" s="340">
        <v>0</v>
      </c>
      <c r="AH210" s="340">
        <v>0</v>
      </c>
      <c r="AI210" s="377"/>
      <c r="AK210" s="493">
        <f t="shared" si="34"/>
        <v>4</v>
      </c>
      <c r="AL210" s="493">
        <f t="shared" si="35"/>
        <v>2020</v>
      </c>
      <c r="AM210" s="493">
        <f t="shared" si="36"/>
        <v>2032</v>
      </c>
      <c r="AN210" s="494">
        <f t="shared" si="37"/>
        <v>2032.3333333333333</v>
      </c>
      <c r="AO210" s="505">
        <f t="shared" si="38"/>
        <v>24.776388888888889</v>
      </c>
      <c r="AP210" s="505">
        <f t="shared" si="39"/>
        <v>297.31666666666666</v>
      </c>
      <c r="AQ210" s="505">
        <f t="shared" si="40"/>
        <v>297.31666666666666</v>
      </c>
      <c r="AR210" s="505">
        <f t="shared" si="41"/>
        <v>693.73888888893407</v>
      </c>
      <c r="AS210" s="505">
        <f t="shared" si="42"/>
        <v>991.05555555560068</v>
      </c>
      <c r="AT210" s="506">
        <f t="shared" si="43"/>
        <v>2576.7444444443995</v>
      </c>
    </row>
    <row r="211" spans="1:46">
      <c r="A211" s="341">
        <v>2112</v>
      </c>
      <c r="B211" s="345">
        <v>233288</v>
      </c>
      <c r="C211" s="341" t="s">
        <v>574</v>
      </c>
      <c r="D211" s="340" t="s">
        <v>538</v>
      </c>
      <c r="E211" s="341">
        <v>6</v>
      </c>
      <c r="F211" s="340"/>
      <c r="G211" s="340"/>
      <c r="H211" s="340">
        <v>0</v>
      </c>
      <c r="I211" s="340" t="s">
        <v>1497</v>
      </c>
      <c r="J211" s="340"/>
      <c r="K211" s="340" t="s">
        <v>706</v>
      </c>
      <c r="L211" s="344">
        <v>43937</v>
      </c>
      <c r="M211" s="344">
        <v>43937</v>
      </c>
      <c r="N211" s="340" t="s">
        <v>1605</v>
      </c>
      <c r="O211" s="341">
        <v>1200</v>
      </c>
      <c r="P211" s="341">
        <v>14050</v>
      </c>
      <c r="Q211" s="342">
        <v>3352.57</v>
      </c>
      <c r="R211" s="341">
        <v>14056</v>
      </c>
      <c r="S211" s="342">
        <v>907.95</v>
      </c>
      <c r="T211" s="342">
        <f t="shared" si="33"/>
        <v>2444.62</v>
      </c>
      <c r="U211" s="343">
        <v>162.97</v>
      </c>
      <c r="V211" s="341">
        <v>54260</v>
      </c>
      <c r="W211" s="342">
        <v>23.28</v>
      </c>
      <c r="X211" s="340" t="s">
        <v>574</v>
      </c>
      <c r="Y211" s="340"/>
      <c r="Z211" s="340" t="s">
        <v>1604</v>
      </c>
      <c r="AA211" s="340"/>
      <c r="AB211" s="340" t="s">
        <v>571</v>
      </c>
      <c r="AC211" s="340" t="s">
        <v>570</v>
      </c>
      <c r="AD211" s="341" t="s">
        <v>569</v>
      </c>
      <c r="AE211" s="340"/>
      <c r="AF211" s="341" t="s">
        <v>568</v>
      </c>
      <c r="AG211" s="340">
        <v>0</v>
      </c>
      <c r="AH211" s="340">
        <v>0</v>
      </c>
      <c r="AI211" s="377"/>
      <c r="AK211" s="493">
        <f t="shared" si="34"/>
        <v>4</v>
      </c>
      <c r="AL211" s="493">
        <f t="shared" si="35"/>
        <v>2020</v>
      </c>
      <c r="AM211" s="493">
        <f t="shared" si="36"/>
        <v>2032</v>
      </c>
      <c r="AN211" s="494">
        <f t="shared" si="37"/>
        <v>2032.3333333333333</v>
      </c>
      <c r="AO211" s="505">
        <f t="shared" si="38"/>
        <v>23.281736111111112</v>
      </c>
      <c r="AP211" s="505">
        <f t="shared" si="39"/>
        <v>279.38083333333333</v>
      </c>
      <c r="AQ211" s="505">
        <f t="shared" si="40"/>
        <v>279.38083333333333</v>
      </c>
      <c r="AR211" s="505">
        <f t="shared" si="41"/>
        <v>651.88861111115375</v>
      </c>
      <c r="AS211" s="505">
        <f t="shared" si="42"/>
        <v>931.26944444448714</v>
      </c>
      <c r="AT211" s="506">
        <f t="shared" si="43"/>
        <v>2421.3005555555128</v>
      </c>
    </row>
    <row r="212" spans="1:46">
      <c r="A212" s="341">
        <v>2112</v>
      </c>
      <c r="B212" s="345">
        <v>233287</v>
      </c>
      <c r="C212" s="341" t="s">
        <v>574</v>
      </c>
      <c r="D212" s="340" t="s">
        <v>537</v>
      </c>
      <c r="E212" s="341">
        <v>6</v>
      </c>
      <c r="F212" s="340"/>
      <c r="G212" s="340"/>
      <c r="H212" s="340">
        <v>0</v>
      </c>
      <c r="I212" s="340" t="s">
        <v>1497</v>
      </c>
      <c r="J212" s="340"/>
      <c r="K212" s="340" t="s">
        <v>578</v>
      </c>
      <c r="L212" s="344">
        <v>43937</v>
      </c>
      <c r="M212" s="344">
        <v>43937</v>
      </c>
      <c r="N212" s="340" t="s">
        <v>1605</v>
      </c>
      <c r="O212" s="341">
        <v>1200</v>
      </c>
      <c r="P212" s="341">
        <v>14050</v>
      </c>
      <c r="Q212" s="342">
        <v>3117.78</v>
      </c>
      <c r="R212" s="341">
        <v>14056</v>
      </c>
      <c r="S212" s="342">
        <v>844.41</v>
      </c>
      <c r="T212" s="342">
        <f t="shared" si="33"/>
        <v>2273.3700000000003</v>
      </c>
      <c r="U212" s="343">
        <v>151.56</v>
      </c>
      <c r="V212" s="341">
        <v>54260</v>
      </c>
      <c r="W212" s="342">
        <v>21.65</v>
      </c>
      <c r="X212" s="340" t="s">
        <v>574</v>
      </c>
      <c r="Y212" s="340"/>
      <c r="Z212" s="340" t="s">
        <v>1604</v>
      </c>
      <c r="AA212" s="340"/>
      <c r="AB212" s="340" t="s">
        <v>571</v>
      </c>
      <c r="AC212" s="340" t="s">
        <v>570</v>
      </c>
      <c r="AD212" s="341" t="s">
        <v>569</v>
      </c>
      <c r="AE212" s="340"/>
      <c r="AF212" s="341" t="s">
        <v>568</v>
      </c>
      <c r="AG212" s="340">
        <v>0</v>
      </c>
      <c r="AH212" s="340">
        <v>0</v>
      </c>
      <c r="AI212" s="377"/>
      <c r="AK212" s="493">
        <f t="shared" si="34"/>
        <v>4</v>
      </c>
      <c r="AL212" s="493">
        <f t="shared" si="35"/>
        <v>2020</v>
      </c>
      <c r="AM212" s="493">
        <f t="shared" si="36"/>
        <v>2032</v>
      </c>
      <c r="AN212" s="494">
        <f t="shared" si="37"/>
        <v>2032.3333333333333</v>
      </c>
      <c r="AO212" s="505">
        <f t="shared" si="38"/>
        <v>21.651250000000001</v>
      </c>
      <c r="AP212" s="505">
        <f t="shared" si="39"/>
        <v>259.815</v>
      </c>
      <c r="AQ212" s="505">
        <f t="shared" si="40"/>
        <v>259.815</v>
      </c>
      <c r="AR212" s="505">
        <f t="shared" si="41"/>
        <v>606.23500000003969</v>
      </c>
      <c r="AS212" s="505">
        <f t="shared" si="42"/>
        <v>866.05000000003974</v>
      </c>
      <c r="AT212" s="506">
        <f t="shared" si="43"/>
        <v>2251.7299999999605</v>
      </c>
    </row>
    <row r="213" spans="1:46">
      <c r="A213" s="341">
        <v>2112</v>
      </c>
      <c r="B213" s="345">
        <v>233213</v>
      </c>
      <c r="C213" s="341" t="s">
        <v>574</v>
      </c>
      <c r="D213" s="340" t="s">
        <v>536</v>
      </c>
      <c r="E213" s="341"/>
      <c r="F213" s="340"/>
      <c r="G213" s="340"/>
      <c r="H213" s="340">
        <v>0</v>
      </c>
      <c r="I213" s="340" t="s">
        <v>831</v>
      </c>
      <c r="J213" s="340"/>
      <c r="K213" s="340"/>
      <c r="L213" s="344">
        <v>43950</v>
      </c>
      <c r="M213" s="344">
        <v>43950</v>
      </c>
      <c r="N213" s="340" t="s">
        <v>1603</v>
      </c>
      <c r="O213" s="341">
        <v>300</v>
      </c>
      <c r="P213" s="341">
        <v>14110</v>
      </c>
      <c r="Q213" s="342">
        <v>1129.75</v>
      </c>
      <c r="R213" s="341">
        <v>14116</v>
      </c>
      <c r="S213" s="342">
        <v>1129.75</v>
      </c>
      <c r="T213" s="342">
        <f t="shared" ref="T213:T276" si="44">Q213-S213</f>
        <v>0</v>
      </c>
      <c r="U213" s="343">
        <v>125.53</v>
      </c>
      <c r="V213" s="341">
        <v>70260</v>
      </c>
      <c r="W213" s="342">
        <v>0</v>
      </c>
      <c r="X213" s="340" t="s">
        <v>574</v>
      </c>
      <c r="Y213" s="340"/>
      <c r="Z213" s="340" t="s">
        <v>1602</v>
      </c>
      <c r="AA213" s="340"/>
      <c r="AB213" s="340" t="s">
        <v>571</v>
      </c>
      <c r="AC213" s="340" t="s">
        <v>570</v>
      </c>
      <c r="AD213" s="341" t="s">
        <v>569</v>
      </c>
      <c r="AE213" s="340"/>
      <c r="AF213" s="341" t="s">
        <v>568</v>
      </c>
      <c r="AG213" s="340">
        <v>0</v>
      </c>
      <c r="AH213" s="340">
        <v>0</v>
      </c>
      <c r="AI213" s="377"/>
      <c r="AK213" s="493">
        <f t="shared" si="34"/>
        <v>4</v>
      </c>
      <c r="AL213" s="493">
        <f t="shared" si="35"/>
        <v>2020</v>
      </c>
      <c r="AM213" s="493">
        <f t="shared" si="36"/>
        <v>2023</v>
      </c>
      <c r="AN213" s="494">
        <f t="shared" si="37"/>
        <v>2023.3333333333333</v>
      </c>
      <c r="AO213" s="505">
        <f t="shared" si="38"/>
        <v>31.381944444444443</v>
      </c>
      <c r="AP213" s="505">
        <f t="shared" si="39"/>
        <v>376.58333333333331</v>
      </c>
      <c r="AQ213" s="505">
        <f t="shared" si="40"/>
        <v>0</v>
      </c>
      <c r="AR213" s="505">
        <f t="shared" si="41"/>
        <v>878.69444444450153</v>
      </c>
      <c r="AS213" s="505">
        <f t="shared" si="42"/>
        <v>1129.75</v>
      </c>
      <c r="AT213" s="506">
        <f t="shared" si="43"/>
        <v>0</v>
      </c>
    </row>
    <row r="214" spans="1:46">
      <c r="A214" s="341">
        <v>2112</v>
      </c>
      <c r="B214" s="345">
        <v>232599</v>
      </c>
      <c r="C214" s="341" t="s">
        <v>574</v>
      </c>
      <c r="D214" s="340" t="s">
        <v>535</v>
      </c>
      <c r="E214" s="341"/>
      <c r="F214" s="340" t="s">
        <v>1601</v>
      </c>
      <c r="G214" s="340" t="s">
        <v>1600</v>
      </c>
      <c r="H214" s="340">
        <v>2020</v>
      </c>
      <c r="I214" s="340" t="s">
        <v>1533</v>
      </c>
      <c r="J214" s="340" t="s">
        <v>855</v>
      </c>
      <c r="K214" s="340" t="s">
        <v>757</v>
      </c>
      <c r="L214" s="344">
        <v>43952</v>
      </c>
      <c r="M214" s="344">
        <v>43952</v>
      </c>
      <c r="N214" s="340" t="s">
        <v>1599</v>
      </c>
      <c r="O214" s="341">
        <v>1000</v>
      </c>
      <c r="P214" s="341">
        <v>14040</v>
      </c>
      <c r="Q214" s="342">
        <v>334851.25</v>
      </c>
      <c r="R214" s="341">
        <v>14046</v>
      </c>
      <c r="S214" s="342">
        <v>108826.67</v>
      </c>
      <c r="T214" s="342">
        <f t="shared" si="44"/>
        <v>226024.58000000002</v>
      </c>
      <c r="U214" s="343">
        <v>19532.990000000002</v>
      </c>
      <c r="V214" s="341">
        <v>51260</v>
      </c>
      <c r="W214" s="342">
        <v>2790.42</v>
      </c>
      <c r="X214" s="340" t="s">
        <v>574</v>
      </c>
      <c r="Y214" s="340"/>
      <c r="Z214" s="340"/>
      <c r="AA214" s="340">
        <v>992</v>
      </c>
      <c r="AB214" s="340" t="s">
        <v>571</v>
      </c>
      <c r="AC214" s="340" t="s">
        <v>570</v>
      </c>
      <c r="AD214" s="341" t="s">
        <v>569</v>
      </c>
      <c r="AE214" s="340"/>
      <c r="AF214" s="341" t="s">
        <v>568</v>
      </c>
      <c r="AG214" s="340">
        <v>0</v>
      </c>
      <c r="AH214" s="340">
        <v>0</v>
      </c>
      <c r="AI214" s="377"/>
      <c r="AK214" s="493">
        <f t="shared" si="34"/>
        <v>5</v>
      </c>
      <c r="AL214" s="493">
        <f t="shared" si="35"/>
        <v>2020</v>
      </c>
      <c r="AM214" s="493">
        <f t="shared" si="36"/>
        <v>2030</v>
      </c>
      <c r="AN214" s="494">
        <f t="shared" si="37"/>
        <v>2030.4166666666667</v>
      </c>
      <c r="AO214" s="505">
        <f t="shared" si="38"/>
        <v>2790.4270833333335</v>
      </c>
      <c r="AP214" s="505">
        <f t="shared" si="39"/>
        <v>33485.125</v>
      </c>
      <c r="AQ214" s="505">
        <f t="shared" si="40"/>
        <v>33485.125</v>
      </c>
      <c r="AR214" s="505">
        <f t="shared" si="41"/>
        <v>75341.53125</v>
      </c>
      <c r="AS214" s="505">
        <f t="shared" si="42"/>
        <v>108826.65625</v>
      </c>
      <c r="AT214" s="506">
        <f t="shared" si="43"/>
        <v>226024.59375</v>
      </c>
    </row>
    <row r="215" spans="1:46">
      <c r="A215" s="341">
        <v>2112</v>
      </c>
      <c r="B215" s="345">
        <v>232598</v>
      </c>
      <c r="C215" s="341" t="s">
        <v>574</v>
      </c>
      <c r="D215" s="340" t="s">
        <v>535</v>
      </c>
      <c r="E215" s="341"/>
      <c r="F215" s="340" t="s">
        <v>1598</v>
      </c>
      <c r="G215" s="340" t="s">
        <v>1597</v>
      </c>
      <c r="H215" s="340">
        <v>2020</v>
      </c>
      <c r="I215" s="340" t="s">
        <v>1533</v>
      </c>
      <c r="J215" s="340" t="s">
        <v>855</v>
      </c>
      <c r="K215" s="340" t="s">
        <v>757</v>
      </c>
      <c r="L215" s="344">
        <v>43952</v>
      </c>
      <c r="M215" s="344">
        <v>43952</v>
      </c>
      <c r="N215" s="340" t="s">
        <v>1596</v>
      </c>
      <c r="O215" s="341">
        <v>1000</v>
      </c>
      <c r="P215" s="341">
        <v>14040</v>
      </c>
      <c r="Q215" s="342">
        <v>334853.40999999997</v>
      </c>
      <c r="R215" s="341">
        <v>14046</v>
      </c>
      <c r="S215" s="342">
        <v>108827.36</v>
      </c>
      <c r="T215" s="342">
        <f t="shared" si="44"/>
        <v>226026.05</v>
      </c>
      <c r="U215" s="343">
        <v>19533.12</v>
      </c>
      <c r="V215" s="341">
        <v>51260</v>
      </c>
      <c r="W215" s="342">
        <v>2790.45</v>
      </c>
      <c r="X215" s="340" t="s">
        <v>574</v>
      </c>
      <c r="Y215" s="340"/>
      <c r="Z215" s="340"/>
      <c r="AA215" s="340">
        <v>991</v>
      </c>
      <c r="AB215" s="340" t="s">
        <v>571</v>
      </c>
      <c r="AC215" s="340" t="s">
        <v>570</v>
      </c>
      <c r="AD215" s="341" t="s">
        <v>569</v>
      </c>
      <c r="AE215" s="340"/>
      <c r="AF215" s="341" t="s">
        <v>568</v>
      </c>
      <c r="AG215" s="340">
        <v>0</v>
      </c>
      <c r="AH215" s="340">
        <v>0</v>
      </c>
      <c r="AI215" s="377"/>
      <c r="AK215" s="493">
        <f t="shared" si="34"/>
        <v>5</v>
      </c>
      <c r="AL215" s="493">
        <f t="shared" si="35"/>
        <v>2020</v>
      </c>
      <c r="AM215" s="493">
        <f t="shared" si="36"/>
        <v>2030</v>
      </c>
      <c r="AN215" s="494">
        <f t="shared" si="37"/>
        <v>2030.4166666666667</v>
      </c>
      <c r="AO215" s="505">
        <f t="shared" si="38"/>
        <v>2790.4450833333335</v>
      </c>
      <c r="AP215" s="505">
        <f t="shared" si="39"/>
        <v>33485.341</v>
      </c>
      <c r="AQ215" s="505">
        <f t="shared" si="40"/>
        <v>33485.341</v>
      </c>
      <c r="AR215" s="505">
        <f t="shared" si="41"/>
        <v>75342.017249999946</v>
      </c>
      <c r="AS215" s="505">
        <f t="shared" si="42"/>
        <v>108827.35824999995</v>
      </c>
      <c r="AT215" s="506">
        <f t="shared" si="43"/>
        <v>226026.05175000004</v>
      </c>
    </row>
    <row r="216" spans="1:46">
      <c r="A216" s="341">
        <v>2112</v>
      </c>
      <c r="B216" s="345">
        <v>232597</v>
      </c>
      <c r="C216" s="341" t="s">
        <v>574</v>
      </c>
      <c r="D216" s="340" t="s">
        <v>534</v>
      </c>
      <c r="E216" s="341"/>
      <c r="F216" s="340" t="s">
        <v>1595</v>
      </c>
      <c r="G216" s="340" t="s">
        <v>1594</v>
      </c>
      <c r="H216" s="340">
        <v>2020</v>
      </c>
      <c r="I216" s="340" t="s">
        <v>1533</v>
      </c>
      <c r="J216" s="340" t="s">
        <v>1593</v>
      </c>
      <c r="K216" s="340" t="s">
        <v>875</v>
      </c>
      <c r="L216" s="344">
        <v>43952</v>
      </c>
      <c r="M216" s="344">
        <v>43952</v>
      </c>
      <c r="N216" s="340" t="s">
        <v>1592</v>
      </c>
      <c r="O216" s="341">
        <v>1000</v>
      </c>
      <c r="P216" s="341">
        <v>14040</v>
      </c>
      <c r="Q216" s="342">
        <v>323706.52</v>
      </c>
      <c r="R216" s="341">
        <v>14046</v>
      </c>
      <c r="S216" s="342">
        <v>105204.62</v>
      </c>
      <c r="T216" s="342">
        <f t="shared" si="44"/>
        <v>218501.90000000002</v>
      </c>
      <c r="U216" s="343">
        <v>18882.88</v>
      </c>
      <c r="V216" s="341">
        <v>51260</v>
      </c>
      <c r="W216" s="342">
        <v>2697.55</v>
      </c>
      <c r="X216" s="340" t="s">
        <v>574</v>
      </c>
      <c r="Y216" s="340"/>
      <c r="Z216" s="340"/>
      <c r="AA216" s="340">
        <v>771</v>
      </c>
      <c r="AB216" s="340" t="s">
        <v>571</v>
      </c>
      <c r="AC216" s="340" t="s">
        <v>570</v>
      </c>
      <c r="AD216" s="341" t="s">
        <v>569</v>
      </c>
      <c r="AE216" s="340"/>
      <c r="AF216" s="341" t="s">
        <v>568</v>
      </c>
      <c r="AG216" s="340">
        <v>0</v>
      </c>
      <c r="AH216" s="340">
        <v>0</v>
      </c>
      <c r="AI216" s="377"/>
      <c r="AK216" s="493">
        <f t="shared" si="34"/>
        <v>5</v>
      </c>
      <c r="AL216" s="493">
        <f t="shared" si="35"/>
        <v>2020</v>
      </c>
      <c r="AM216" s="493">
        <f t="shared" si="36"/>
        <v>2030</v>
      </c>
      <c r="AN216" s="494">
        <f t="shared" si="37"/>
        <v>2030.4166666666667</v>
      </c>
      <c r="AO216" s="505">
        <f t="shared" si="38"/>
        <v>2697.5543333333335</v>
      </c>
      <c r="AP216" s="505">
        <f t="shared" si="39"/>
        <v>32370.652000000002</v>
      </c>
      <c r="AQ216" s="505">
        <f t="shared" si="40"/>
        <v>32370.652000000002</v>
      </c>
      <c r="AR216" s="505">
        <f t="shared" si="41"/>
        <v>72833.967000000004</v>
      </c>
      <c r="AS216" s="505">
        <f t="shared" si="42"/>
        <v>105204.61900000001</v>
      </c>
      <c r="AT216" s="506">
        <f t="shared" si="43"/>
        <v>218501.90100000001</v>
      </c>
    </row>
    <row r="217" spans="1:46">
      <c r="A217" s="341">
        <v>2112</v>
      </c>
      <c r="B217" s="345">
        <v>231985</v>
      </c>
      <c r="C217" s="341" t="s">
        <v>574</v>
      </c>
      <c r="D217" s="340" t="s">
        <v>547</v>
      </c>
      <c r="E217" s="341">
        <v>702</v>
      </c>
      <c r="F217" s="340"/>
      <c r="G217" s="340"/>
      <c r="H217" s="340">
        <v>0</v>
      </c>
      <c r="I217" s="340" t="s">
        <v>1335</v>
      </c>
      <c r="J217" s="340"/>
      <c r="K217" s="340" t="s">
        <v>1564</v>
      </c>
      <c r="L217" s="344">
        <v>43915</v>
      </c>
      <c r="M217" s="344">
        <v>43915</v>
      </c>
      <c r="N217" s="340" t="s">
        <v>1591</v>
      </c>
      <c r="O217" s="341">
        <v>700</v>
      </c>
      <c r="P217" s="341">
        <v>14050</v>
      </c>
      <c r="Q217" s="342">
        <v>32244.7</v>
      </c>
      <c r="R217" s="341">
        <v>14056</v>
      </c>
      <c r="S217" s="342">
        <v>15354.63</v>
      </c>
      <c r="T217" s="342">
        <f t="shared" si="44"/>
        <v>16890.07</v>
      </c>
      <c r="U217" s="343">
        <v>2687.06</v>
      </c>
      <c r="V217" s="341">
        <v>54260</v>
      </c>
      <c r="W217" s="342">
        <v>383.86</v>
      </c>
      <c r="X217" s="340" t="s">
        <v>574</v>
      </c>
      <c r="Y217" s="340"/>
      <c r="Z217" s="340">
        <v>50084960</v>
      </c>
      <c r="AA217" s="340"/>
      <c r="AB217" s="340" t="s">
        <v>571</v>
      </c>
      <c r="AC217" s="340" t="s">
        <v>570</v>
      </c>
      <c r="AD217" s="341" t="s">
        <v>569</v>
      </c>
      <c r="AE217" s="340"/>
      <c r="AF217" s="341" t="s">
        <v>568</v>
      </c>
      <c r="AG217" s="340">
        <v>0</v>
      </c>
      <c r="AH217" s="340">
        <v>0</v>
      </c>
      <c r="AI217" s="377"/>
      <c r="AK217" s="493">
        <f t="shared" si="34"/>
        <v>3</v>
      </c>
      <c r="AL217" s="493">
        <f t="shared" si="35"/>
        <v>2020</v>
      </c>
      <c r="AM217" s="493">
        <f t="shared" si="36"/>
        <v>2027</v>
      </c>
      <c r="AN217" s="494">
        <f t="shared" si="37"/>
        <v>2027.25</v>
      </c>
      <c r="AO217" s="505">
        <f t="shared" si="38"/>
        <v>383.86547619047616</v>
      </c>
      <c r="AP217" s="505">
        <f t="shared" si="39"/>
        <v>4606.3857142857141</v>
      </c>
      <c r="AQ217" s="505">
        <f t="shared" si="40"/>
        <v>4606.3857142857141</v>
      </c>
      <c r="AR217" s="505">
        <f t="shared" si="41"/>
        <v>11132.098809524163</v>
      </c>
      <c r="AS217" s="505">
        <f t="shared" si="42"/>
        <v>15738.484523809877</v>
      </c>
      <c r="AT217" s="506">
        <f t="shared" si="43"/>
        <v>16506.215476190126</v>
      </c>
    </row>
    <row r="218" spans="1:46">
      <c r="A218" s="341">
        <v>2112</v>
      </c>
      <c r="B218" s="345">
        <v>231984</v>
      </c>
      <c r="C218" s="341" t="s">
        <v>574</v>
      </c>
      <c r="D218" s="340" t="s">
        <v>531</v>
      </c>
      <c r="E218" s="341">
        <v>1014</v>
      </c>
      <c r="F218" s="340"/>
      <c r="G218" s="340"/>
      <c r="H218" s="340">
        <v>0</v>
      </c>
      <c r="I218" s="340" t="s">
        <v>1335</v>
      </c>
      <c r="J218" s="340"/>
      <c r="K218" s="340" t="s">
        <v>1564</v>
      </c>
      <c r="L218" s="344">
        <v>43915</v>
      </c>
      <c r="M218" s="344">
        <v>43915</v>
      </c>
      <c r="N218" s="340" t="s">
        <v>1590</v>
      </c>
      <c r="O218" s="341">
        <v>700</v>
      </c>
      <c r="P218" s="341">
        <v>14050</v>
      </c>
      <c r="Q218" s="342">
        <v>40540.9</v>
      </c>
      <c r="R218" s="341">
        <v>14056</v>
      </c>
      <c r="S218" s="342">
        <v>19305.2</v>
      </c>
      <c r="T218" s="342">
        <f t="shared" si="44"/>
        <v>21235.7</v>
      </c>
      <c r="U218" s="343">
        <v>3378.41</v>
      </c>
      <c r="V218" s="341">
        <v>54260</v>
      </c>
      <c r="W218" s="342">
        <v>482.63</v>
      </c>
      <c r="X218" s="340" t="s">
        <v>574</v>
      </c>
      <c r="Y218" s="340"/>
      <c r="Z218" s="340">
        <v>50084960</v>
      </c>
      <c r="AA218" s="340"/>
      <c r="AB218" s="340" t="s">
        <v>571</v>
      </c>
      <c r="AC218" s="340" t="s">
        <v>570</v>
      </c>
      <c r="AD218" s="341" t="s">
        <v>569</v>
      </c>
      <c r="AE218" s="340"/>
      <c r="AF218" s="341" t="s">
        <v>568</v>
      </c>
      <c r="AG218" s="340">
        <v>0</v>
      </c>
      <c r="AH218" s="340">
        <v>0</v>
      </c>
      <c r="AI218" s="377"/>
      <c r="AK218" s="493">
        <f t="shared" si="34"/>
        <v>3</v>
      </c>
      <c r="AL218" s="493">
        <f t="shared" si="35"/>
        <v>2020</v>
      </c>
      <c r="AM218" s="493">
        <f t="shared" si="36"/>
        <v>2027</v>
      </c>
      <c r="AN218" s="494">
        <f t="shared" si="37"/>
        <v>2027.25</v>
      </c>
      <c r="AO218" s="505">
        <f t="shared" si="38"/>
        <v>482.62976190476189</v>
      </c>
      <c r="AP218" s="505">
        <f t="shared" si="39"/>
        <v>5791.5571428571429</v>
      </c>
      <c r="AQ218" s="505">
        <f t="shared" si="40"/>
        <v>5791.5571428571429</v>
      </c>
      <c r="AR218" s="505">
        <f t="shared" si="41"/>
        <v>13996.263095238537</v>
      </c>
      <c r="AS218" s="505">
        <f t="shared" si="42"/>
        <v>19787.820238095679</v>
      </c>
      <c r="AT218" s="506">
        <f t="shared" si="43"/>
        <v>20753.079761904322</v>
      </c>
    </row>
    <row r="219" spans="1:46">
      <c r="A219" s="341">
        <v>2112</v>
      </c>
      <c r="B219" s="345">
        <v>231983</v>
      </c>
      <c r="C219" s="341" t="s">
        <v>574</v>
      </c>
      <c r="D219" s="340" t="s">
        <v>532</v>
      </c>
      <c r="E219" s="341">
        <v>140</v>
      </c>
      <c r="F219" s="340"/>
      <c r="G219" s="340"/>
      <c r="H219" s="340">
        <v>0</v>
      </c>
      <c r="I219" s="340" t="s">
        <v>1335</v>
      </c>
      <c r="J219" s="340"/>
      <c r="K219" s="340" t="s">
        <v>1564</v>
      </c>
      <c r="L219" s="344">
        <v>43915</v>
      </c>
      <c r="M219" s="344">
        <v>43915</v>
      </c>
      <c r="N219" s="340" t="s">
        <v>1589</v>
      </c>
      <c r="O219" s="341">
        <v>700</v>
      </c>
      <c r="P219" s="341">
        <v>14050</v>
      </c>
      <c r="Q219" s="342">
        <v>4715.3500000000004</v>
      </c>
      <c r="R219" s="341">
        <v>14056</v>
      </c>
      <c r="S219" s="342">
        <v>2245.41</v>
      </c>
      <c r="T219" s="342">
        <f t="shared" si="44"/>
        <v>2469.9400000000005</v>
      </c>
      <c r="U219" s="343">
        <v>392.95</v>
      </c>
      <c r="V219" s="341">
        <v>54260</v>
      </c>
      <c r="W219" s="342">
        <v>56.14</v>
      </c>
      <c r="X219" s="340" t="s">
        <v>574</v>
      </c>
      <c r="Y219" s="340"/>
      <c r="Z219" s="340">
        <v>50084960</v>
      </c>
      <c r="AA219" s="340"/>
      <c r="AB219" s="340" t="s">
        <v>571</v>
      </c>
      <c r="AC219" s="340" t="s">
        <v>570</v>
      </c>
      <c r="AD219" s="341" t="s">
        <v>569</v>
      </c>
      <c r="AE219" s="340"/>
      <c r="AF219" s="341" t="s">
        <v>568</v>
      </c>
      <c r="AG219" s="340">
        <v>0</v>
      </c>
      <c r="AH219" s="340">
        <v>0</v>
      </c>
      <c r="AI219" s="377"/>
      <c r="AK219" s="493">
        <f t="shared" si="34"/>
        <v>3</v>
      </c>
      <c r="AL219" s="493">
        <f t="shared" si="35"/>
        <v>2020</v>
      </c>
      <c r="AM219" s="493">
        <f t="shared" si="36"/>
        <v>2027</v>
      </c>
      <c r="AN219" s="494">
        <f t="shared" si="37"/>
        <v>2027.25</v>
      </c>
      <c r="AO219" s="505">
        <f t="shared" si="38"/>
        <v>56.13511904761905</v>
      </c>
      <c r="AP219" s="505">
        <f t="shared" si="39"/>
        <v>673.62142857142862</v>
      </c>
      <c r="AQ219" s="505">
        <f t="shared" si="40"/>
        <v>673.62142857142862</v>
      </c>
      <c r="AR219" s="505">
        <f t="shared" si="41"/>
        <v>1627.9184523810036</v>
      </c>
      <c r="AS219" s="505">
        <f t="shared" si="42"/>
        <v>2301.5398809524322</v>
      </c>
      <c r="AT219" s="506">
        <f t="shared" si="43"/>
        <v>2413.8101190475682</v>
      </c>
    </row>
    <row r="220" spans="1:46">
      <c r="A220" s="341">
        <v>2112</v>
      </c>
      <c r="B220" s="345">
        <v>231666</v>
      </c>
      <c r="C220" s="341" t="s">
        <v>574</v>
      </c>
      <c r="D220" s="340" t="s">
        <v>533</v>
      </c>
      <c r="E220" s="341"/>
      <c r="F220" s="340" t="s">
        <v>1588</v>
      </c>
      <c r="G220" s="340" t="s">
        <v>1587</v>
      </c>
      <c r="H220" s="340">
        <v>2020</v>
      </c>
      <c r="I220" s="340" t="s">
        <v>1533</v>
      </c>
      <c r="J220" s="340" t="s">
        <v>1583</v>
      </c>
      <c r="K220" s="340" t="s">
        <v>906</v>
      </c>
      <c r="L220" s="344">
        <v>43922</v>
      </c>
      <c r="M220" s="344">
        <v>43922</v>
      </c>
      <c r="N220" s="340" t="s">
        <v>1586</v>
      </c>
      <c r="O220" s="341">
        <v>1000</v>
      </c>
      <c r="P220" s="341">
        <v>14040</v>
      </c>
      <c r="Q220" s="342">
        <v>307842.78999999998</v>
      </c>
      <c r="R220" s="341">
        <v>14046</v>
      </c>
      <c r="S220" s="342">
        <v>102614.27</v>
      </c>
      <c r="T220" s="342">
        <f t="shared" si="44"/>
        <v>205228.51999999996</v>
      </c>
      <c r="U220" s="343">
        <v>17957.5</v>
      </c>
      <c r="V220" s="341">
        <v>51260</v>
      </c>
      <c r="W220" s="342">
        <v>2565.36</v>
      </c>
      <c r="X220" s="340" t="s">
        <v>574</v>
      </c>
      <c r="Y220" s="340"/>
      <c r="Z220" s="340"/>
      <c r="AA220" s="340">
        <v>669</v>
      </c>
      <c r="AB220" s="340" t="s">
        <v>571</v>
      </c>
      <c r="AC220" s="340" t="s">
        <v>570</v>
      </c>
      <c r="AD220" s="341" t="s">
        <v>569</v>
      </c>
      <c r="AE220" s="340"/>
      <c r="AF220" s="341" t="s">
        <v>568</v>
      </c>
      <c r="AG220" s="340">
        <v>0</v>
      </c>
      <c r="AH220" s="340">
        <v>0</v>
      </c>
      <c r="AI220" s="377"/>
      <c r="AK220" s="493">
        <f t="shared" si="34"/>
        <v>4</v>
      </c>
      <c r="AL220" s="493">
        <f t="shared" si="35"/>
        <v>2020</v>
      </c>
      <c r="AM220" s="493">
        <f t="shared" si="36"/>
        <v>2030</v>
      </c>
      <c r="AN220" s="494">
        <f t="shared" si="37"/>
        <v>2030.3333333333333</v>
      </c>
      <c r="AO220" s="505">
        <f t="shared" si="38"/>
        <v>2565.3565833333332</v>
      </c>
      <c r="AP220" s="505">
        <f t="shared" si="39"/>
        <v>30784.278999999999</v>
      </c>
      <c r="AQ220" s="505">
        <f t="shared" si="40"/>
        <v>30784.278999999999</v>
      </c>
      <c r="AR220" s="505">
        <f t="shared" si="41"/>
        <v>71829.984333337983</v>
      </c>
      <c r="AS220" s="505">
        <f t="shared" si="42"/>
        <v>102614.26333333798</v>
      </c>
      <c r="AT220" s="506">
        <f t="shared" si="43"/>
        <v>205228.52666666202</v>
      </c>
    </row>
    <row r="221" spans="1:46">
      <c r="A221" s="341">
        <v>2112</v>
      </c>
      <c r="B221" s="345">
        <v>231665</v>
      </c>
      <c r="C221" s="341" t="s">
        <v>574</v>
      </c>
      <c r="D221" s="340" t="s">
        <v>533</v>
      </c>
      <c r="E221" s="341"/>
      <c r="F221" s="340" t="s">
        <v>1585</v>
      </c>
      <c r="G221" s="340" t="s">
        <v>1584</v>
      </c>
      <c r="H221" s="340">
        <v>2020</v>
      </c>
      <c r="I221" s="340" t="s">
        <v>1533</v>
      </c>
      <c r="J221" s="340" t="s">
        <v>1583</v>
      </c>
      <c r="K221" s="340" t="s">
        <v>906</v>
      </c>
      <c r="L221" s="344">
        <v>43922</v>
      </c>
      <c r="M221" s="344">
        <v>43922</v>
      </c>
      <c r="N221" s="340" t="s">
        <v>1582</v>
      </c>
      <c r="O221" s="341">
        <v>1000</v>
      </c>
      <c r="P221" s="341">
        <v>14040</v>
      </c>
      <c r="Q221" s="342">
        <v>307842.78999999998</v>
      </c>
      <c r="R221" s="341">
        <v>14046</v>
      </c>
      <c r="S221" s="342">
        <v>102614.27</v>
      </c>
      <c r="T221" s="342">
        <f t="shared" si="44"/>
        <v>205228.51999999996</v>
      </c>
      <c r="U221" s="343">
        <v>17957.5</v>
      </c>
      <c r="V221" s="341">
        <v>51260</v>
      </c>
      <c r="W221" s="342">
        <v>2565.36</v>
      </c>
      <c r="X221" s="340" t="s">
        <v>574</v>
      </c>
      <c r="Y221" s="340"/>
      <c r="Z221" s="340"/>
      <c r="AA221" s="340">
        <v>668</v>
      </c>
      <c r="AB221" s="340" t="s">
        <v>571</v>
      </c>
      <c r="AC221" s="340" t="s">
        <v>570</v>
      </c>
      <c r="AD221" s="341" t="s">
        <v>569</v>
      </c>
      <c r="AE221" s="340"/>
      <c r="AF221" s="341" t="s">
        <v>568</v>
      </c>
      <c r="AG221" s="340">
        <v>0</v>
      </c>
      <c r="AH221" s="340">
        <v>0</v>
      </c>
      <c r="AI221" s="377"/>
      <c r="AK221" s="493">
        <f t="shared" si="34"/>
        <v>4</v>
      </c>
      <c r="AL221" s="493">
        <f t="shared" si="35"/>
        <v>2020</v>
      </c>
      <c r="AM221" s="493">
        <f t="shared" si="36"/>
        <v>2030</v>
      </c>
      <c r="AN221" s="494">
        <f t="shared" si="37"/>
        <v>2030.3333333333333</v>
      </c>
      <c r="AO221" s="505">
        <f t="shared" si="38"/>
        <v>2565.3565833333332</v>
      </c>
      <c r="AP221" s="505">
        <f t="shared" si="39"/>
        <v>30784.278999999999</v>
      </c>
      <c r="AQ221" s="505">
        <f t="shared" si="40"/>
        <v>30784.278999999999</v>
      </c>
      <c r="AR221" s="505">
        <f t="shared" si="41"/>
        <v>71829.984333337983</v>
      </c>
      <c r="AS221" s="505">
        <f t="shared" si="42"/>
        <v>102614.26333333798</v>
      </c>
      <c r="AT221" s="506">
        <f t="shared" si="43"/>
        <v>205228.52666666202</v>
      </c>
    </row>
    <row r="222" spans="1:46">
      <c r="A222" s="341">
        <v>2112</v>
      </c>
      <c r="B222" s="345">
        <v>231607</v>
      </c>
      <c r="C222" s="341" t="s">
        <v>574</v>
      </c>
      <c r="D222" s="340" t="s">
        <v>532</v>
      </c>
      <c r="E222" s="341">
        <v>504</v>
      </c>
      <c r="F222" s="340"/>
      <c r="G222" s="340"/>
      <c r="H222" s="340">
        <v>0</v>
      </c>
      <c r="I222" s="340" t="s">
        <v>1335</v>
      </c>
      <c r="J222" s="340"/>
      <c r="K222" s="340" t="s">
        <v>1564</v>
      </c>
      <c r="L222" s="344">
        <v>43911</v>
      </c>
      <c r="M222" s="344">
        <v>43911</v>
      </c>
      <c r="N222" s="340" t="s">
        <v>1581</v>
      </c>
      <c r="O222" s="341">
        <v>700</v>
      </c>
      <c r="P222" s="341">
        <v>14050</v>
      </c>
      <c r="Q222" s="342">
        <v>16380.65</v>
      </c>
      <c r="R222" s="341">
        <v>14056</v>
      </c>
      <c r="S222" s="342">
        <v>7800.3</v>
      </c>
      <c r="T222" s="342">
        <f t="shared" si="44"/>
        <v>8580.3499999999985</v>
      </c>
      <c r="U222" s="343">
        <v>1365.05</v>
      </c>
      <c r="V222" s="341">
        <v>54260</v>
      </c>
      <c r="W222" s="342">
        <v>195</v>
      </c>
      <c r="X222" s="340" t="s">
        <v>574</v>
      </c>
      <c r="Y222" s="340"/>
      <c r="Z222" s="340">
        <v>50085676</v>
      </c>
      <c r="AA222" s="340"/>
      <c r="AB222" s="340" t="s">
        <v>571</v>
      </c>
      <c r="AC222" s="340" t="s">
        <v>570</v>
      </c>
      <c r="AD222" s="341" t="s">
        <v>569</v>
      </c>
      <c r="AE222" s="340"/>
      <c r="AF222" s="341" t="s">
        <v>568</v>
      </c>
      <c r="AG222" s="340">
        <v>0</v>
      </c>
      <c r="AH222" s="340">
        <v>0</v>
      </c>
      <c r="AI222" s="377"/>
      <c r="AK222" s="493">
        <f t="shared" si="34"/>
        <v>3</v>
      </c>
      <c r="AL222" s="493">
        <f t="shared" si="35"/>
        <v>2020</v>
      </c>
      <c r="AM222" s="493">
        <f t="shared" si="36"/>
        <v>2027</v>
      </c>
      <c r="AN222" s="494">
        <f t="shared" si="37"/>
        <v>2027.25</v>
      </c>
      <c r="AO222" s="505">
        <f t="shared" si="38"/>
        <v>195.0077380952381</v>
      </c>
      <c r="AP222" s="505">
        <f t="shared" si="39"/>
        <v>2340.0928571428572</v>
      </c>
      <c r="AQ222" s="505">
        <f t="shared" si="40"/>
        <v>2340.0928571428572</v>
      </c>
      <c r="AR222" s="505">
        <f t="shared" si="41"/>
        <v>5655.2244047620825</v>
      </c>
      <c r="AS222" s="505">
        <f t="shared" si="42"/>
        <v>7995.3172619049401</v>
      </c>
      <c r="AT222" s="506">
        <f t="shared" si="43"/>
        <v>8385.3327380950595</v>
      </c>
    </row>
    <row r="223" spans="1:46">
      <c r="A223" s="341">
        <v>2112</v>
      </c>
      <c r="B223" s="345">
        <v>231606</v>
      </c>
      <c r="C223" s="341" t="s">
        <v>574</v>
      </c>
      <c r="D223" s="340" t="s">
        <v>531</v>
      </c>
      <c r="E223" s="341">
        <v>915</v>
      </c>
      <c r="F223" s="340"/>
      <c r="G223" s="340"/>
      <c r="H223" s="340">
        <v>0</v>
      </c>
      <c r="I223" s="340" t="s">
        <v>1335</v>
      </c>
      <c r="J223" s="340"/>
      <c r="K223" s="340" t="s">
        <v>1564</v>
      </c>
      <c r="L223" s="344">
        <v>43911</v>
      </c>
      <c r="M223" s="344">
        <v>43911</v>
      </c>
      <c r="N223" s="340" t="s">
        <v>1581</v>
      </c>
      <c r="O223" s="341">
        <v>700</v>
      </c>
      <c r="P223" s="341">
        <v>14050</v>
      </c>
      <c r="Q223" s="342">
        <v>35646.639999999999</v>
      </c>
      <c r="R223" s="341">
        <v>14056</v>
      </c>
      <c r="S223" s="342">
        <v>16974.599999999999</v>
      </c>
      <c r="T223" s="342">
        <f t="shared" si="44"/>
        <v>18672.04</v>
      </c>
      <c r="U223" s="343">
        <v>2970.56</v>
      </c>
      <c r="V223" s="341">
        <v>54260</v>
      </c>
      <c r="W223" s="342">
        <v>424.37</v>
      </c>
      <c r="X223" s="340" t="s">
        <v>574</v>
      </c>
      <c r="Y223" s="340"/>
      <c r="Z223" s="340">
        <v>50085676</v>
      </c>
      <c r="AA223" s="340"/>
      <c r="AB223" s="340" t="s">
        <v>571</v>
      </c>
      <c r="AC223" s="340" t="s">
        <v>570</v>
      </c>
      <c r="AD223" s="341" t="s">
        <v>569</v>
      </c>
      <c r="AE223" s="340"/>
      <c r="AF223" s="341" t="s">
        <v>568</v>
      </c>
      <c r="AG223" s="340">
        <v>0</v>
      </c>
      <c r="AH223" s="340">
        <v>0</v>
      </c>
      <c r="AI223" s="377"/>
      <c r="AK223" s="493">
        <f t="shared" si="34"/>
        <v>3</v>
      </c>
      <c r="AL223" s="493">
        <f t="shared" si="35"/>
        <v>2020</v>
      </c>
      <c r="AM223" s="493">
        <f t="shared" si="36"/>
        <v>2027</v>
      </c>
      <c r="AN223" s="494">
        <f t="shared" si="37"/>
        <v>2027.25</v>
      </c>
      <c r="AO223" s="505">
        <f t="shared" si="38"/>
        <v>424.36476190476191</v>
      </c>
      <c r="AP223" s="505">
        <f t="shared" si="39"/>
        <v>5092.3771428571426</v>
      </c>
      <c r="AQ223" s="505">
        <f t="shared" si="40"/>
        <v>5092.3771428571426</v>
      </c>
      <c r="AR223" s="505">
        <f t="shared" si="41"/>
        <v>12306.578095238481</v>
      </c>
      <c r="AS223" s="505">
        <f t="shared" si="42"/>
        <v>17398.955238095623</v>
      </c>
      <c r="AT223" s="506">
        <f t="shared" si="43"/>
        <v>18247.684761904377</v>
      </c>
    </row>
    <row r="224" spans="1:46">
      <c r="A224" s="341">
        <v>2112</v>
      </c>
      <c r="B224" s="345">
        <v>231605</v>
      </c>
      <c r="C224" s="341" t="s">
        <v>574</v>
      </c>
      <c r="D224" s="340" t="s">
        <v>530</v>
      </c>
      <c r="E224" s="341">
        <v>178</v>
      </c>
      <c r="F224" s="340"/>
      <c r="G224" s="340"/>
      <c r="H224" s="340">
        <v>0</v>
      </c>
      <c r="I224" s="340" t="s">
        <v>1335</v>
      </c>
      <c r="J224" s="340"/>
      <c r="K224" s="340" t="s">
        <v>1564</v>
      </c>
      <c r="L224" s="344">
        <v>43911</v>
      </c>
      <c r="M224" s="344">
        <v>43911</v>
      </c>
      <c r="N224" s="340" t="s">
        <v>1581</v>
      </c>
      <c r="O224" s="341">
        <v>700</v>
      </c>
      <c r="P224" s="341">
        <v>14050</v>
      </c>
      <c r="Q224" s="342">
        <v>7961.95</v>
      </c>
      <c r="R224" s="341">
        <v>14056</v>
      </c>
      <c r="S224" s="342">
        <v>3791.41</v>
      </c>
      <c r="T224" s="342">
        <f t="shared" si="44"/>
        <v>4170.54</v>
      </c>
      <c r="U224" s="343">
        <v>663.5</v>
      </c>
      <c r="V224" s="341">
        <v>54260</v>
      </c>
      <c r="W224" s="342">
        <v>94.79</v>
      </c>
      <c r="X224" s="340" t="s">
        <v>574</v>
      </c>
      <c r="Y224" s="340"/>
      <c r="Z224" s="340">
        <v>50085676</v>
      </c>
      <c r="AA224" s="340"/>
      <c r="AB224" s="340" t="s">
        <v>571</v>
      </c>
      <c r="AC224" s="340" t="s">
        <v>570</v>
      </c>
      <c r="AD224" s="341" t="s">
        <v>569</v>
      </c>
      <c r="AE224" s="340"/>
      <c r="AF224" s="341" t="s">
        <v>568</v>
      </c>
      <c r="AG224" s="340">
        <v>0</v>
      </c>
      <c r="AH224" s="340">
        <v>0</v>
      </c>
      <c r="AI224" s="377"/>
      <c r="AK224" s="493">
        <f t="shared" si="34"/>
        <v>3</v>
      </c>
      <c r="AL224" s="493">
        <f t="shared" si="35"/>
        <v>2020</v>
      </c>
      <c r="AM224" s="493">
        <f t="shared" si="36"/>
        <v>2027</v>
      </c>
      <c r="AN224" s="494">
        <f t="shared" si="37"/>
        <v>2027.25</v>
      </c>
      <c r="AO224" s="505">
        <f t="shared" si="38"/>
        <v>94.785119047619048</v>
      </c>
      <c r="AP224" s="505">
        <f t="shared" si="39"/>
        <v>1137.4214285714286</v>
      </c>
      <c r="AQ224" s="505">
        <f t="shared" si="40"/>
        <v>1137.4214285714286</v>
      </c>
      <c r="AR224" s="505">
        <f t="shared" si="41"/>
        <v>2748.7684523810385</v>
      </c>
      <c r="AS224" s="505">
        <f t="shared" si="42"/>
        <v>3886.1898809524673</v>
      </c>
      <c r="AT224" s="506">
        <f t="shared" si="43"/>
        <v>4075.7601190475325</v>
      </c>
    </row>
    <row r="225" spans="1:46">
      <c r="A225" s="341">
        <v>2112</v>
      </c>
      <c r="B225" s="345">
        <v>228654</v>
      </c>
      <c r="C225" s="341">
        <v>44500</v>
      </c>
      <c r="D225" s="340" t="s">
        <v>1579</v>
      </c>
      <c r="E225" s="341"/>
      <c r="F225" s="340"/>
      <c r="G225" s="340"/>
      <c r="H225" s="340">
        <v>0</v>
      </c>
      <c r="I225" s="340" t="s">
        <v>1578</v>
      </c>
      <c r="J225" s="340"/>
      <c r="K225" s="340" t="s">
        <v>572</v>
      </c>
      <c r="L225" s="344">
        <v>42398</v>
      </c>
      <c r="M225" s="344">
        <v>42398</v>
      </c>
      <c r="N225" s="340" t="s">
        <v>1577</v>
      </c>
      <c r="O225" s="341">
        <v>300</v>
      </c>
      <c r="P225" s="341">
        <v>14040</v>
      </c>
      <c r="Q225" s="342">
        <v>37704.67</v>
      </c>
      <c r="R225" s="341">
        <v>14046</v>
      </c>
      <c r="S225" s="342">
        <v>37704.67</v>
      </c>
      <c r="T225" s="342">
        <f t="shared" si="44"/>
        <v>0</v>
      </c>
      <c r="U225" s="343">
        <v>0</v>
      </c>
      <c r="V225" s="341">
        <v>51260</v>
      </c>
      <c r="W225" s="342">
        <v>0</v>
      </c>
      <c r="X225" s="340" t="s">
        <v>574</v>
      </c>
      <c r="Y225" s="340"/>
      <c r="Z225" s="340" t="s">
        <v>1576</v>
      </c>
      <c r="AA225" s="340"/>
      <c r="AB225" s="340" t="s">
        <v>571</v>
      </c>
      <c r="AC225" s="340" t="s">
        <v>570</v>
      </c>
      <c r="AD225" s="341" t="s">
        <v>569</v>
      </c>
      <c r="AE225" s="346">
        <v>43861</v>
      </c>
      <c r="AF225" s="341" t="s">
        <v>568</v>
      </c>
      <c r="AG225" s="340">
        <v>0</v>
      </c>
      <c r="AH225" s="340">
        <v>37704.67</v>
      </c>
      <c r="AI225" s="377"/>
      <c r="AK225" s="493">
        <f t="shared" si="34"/>
        <v>1</v>
      </c>
      <c r="AL225" s="493">
        <f t="shared" si="35"/>
        <v>2016</v>
      </c>
      <c r="AM225" s="493">
        <f t="shared" si="36"/>
        <v>2019</v>
      </c>
      <c r="AN225" s="494">
        <f t="shared" si="37"/>
        <v>2019.0833333333333</v>
      </c>
      <c r="AO225" s="505">
        <f t="shared" si="38"/>
        <v>1047.3519444444444</v>
      </c>
      <c r="AP225" s="505">
        <f t="shared" si="39"/>
        <v>12568.223333333332</v>
      </c>
      <c r="AQ225" s="505">
        <f t="shared" si="40"/>
        <v>0</v>
      </c>
      <c r="AR225" s="505">
        <f t="shared" si="41"/>
        <v>37704.67</v>
      </c>
      <c r="AS225" s="505">
        <f t="shared" si="42"/>
        <v>37704.67</v>
      </c>
      <c r="AT225" s="506">
        <f t="shared" si="43"/>
        <v>0</v>
      </c>
    </row>
    <row r="226" spans="1:46">
      <c r="A226" s="341">
        <v>2112</v>
      </c>
      <c r="B226" s="345">
        <v>227697</v>
      </c>
      <c r="C226" s="341" t="s">
        <v>574</v>
      </c>
      <c r="D226" s="340" t="s">
        <v>1574</v>
      </c>
      <c r="E226" s="341">
        <v>0</v>
      </c>
      <c r="F226" s="340" t="s">
        <v>1573</v>
      </c>
      <c r="G226" s="340" t="s">
        <v>1572</v>
      </c>
      <c r="H226" s="340">
        <v>2005</v>
      </c>
      <c r="I226" s="340" t="s">
        <v>893</v>
      </c>
      <c r="J226" s="340" t="s">
        <v>801</v>
      </c>
      <c r="K226" s="340" t="s">
        <v>800</v>
      </c>
      <c r="L226" s="344">
        <v>40893</v>
      </c>
      <c r="M226" s="344">
        <v>40893</v>
      </c>
      <c r="N226" s="340" t="s">
        <v>1571</v>
      </c>
      <c r="O226" s="341">
        <v>300</v>
      </c>
      <c r="P226" s="341">
        <v>14040</v>
      </c>
      <c r="Q226" s="342">
        <v>19878.099999999999</v>
      </c>
      <c r="R226" s="341">
        <v>14046</v>
      </c>
      <c r="S226" s="342">
        <v>19878.099999999999</v>
      </c>
      <c r="T226" s="342">
        <f t="shared" si="44"/>
        <v>0</v>
      </c>
      <c r="U226" s="343">
        <v>0</v>
      </c>
      <c r="V226" s="341">
        <v>51260</v>
      </c>
      <c r="W226" s="342">
        <v>0</v>
      </c>
      <c r="X226" s="340" t="s">
        <v>574</v>
      </c>
      <c r="Y226" s="340"/>
      <c r="Z226" s="340">
        <v>79305</v>
      </c>
      <c r="AA226" s="340">
        <v>12</v>
      </c>
      <c r="AB226" s="340" t="s">
        <v>571</v>
      </c>
      <c r="AC226" s="340" t="s">
        <v>570</v>
      </c>
      <c r="AD226" s="341" t="s">
        <v>569</v>
      </c>
      <c r="AE226" s="346">
        <v>43830</v>
      </c>
      <c r="AF226" s="341" t="s">
        <v>568</v>
      </c>
      <c r="AG226" s="340">
        <v>0</v>
      </c>
      <c r="AH226" s="340">
        <v>19878.099999999999</v>
      </c>
      <c r="AI226" s="377"/>
      <c r="AK226" s="493">
        <f t="shared" si="34"/>
        <v>12</v>
      </c>
      <c r="AL226" s="493">
        <f t="shared" si="35"/>
        <v>2011</v>
      </c>
      <c r="AM226" s="493">
        <f t="shared" si="36"/>
        <v>2014</v>
      </c>
      <c r="AN226" s="494">
        <f t="shared" si="37"/>
        <v>2015</v>
      </c>
      <c r="AO226" s="505">
        <f t="shared" si="38"/>
        <v>552.16944444444437</v>
      </c>
      <c r="AP226" s="505">
        <f t="shared" si="39"/>
        <v>6626.0333333333328</v>
      </c>
      <c r="AQ226" s="505">
        <f t="shared" si="40"/>
        <v>0</v>
      </c>
      <c r="AR226" s="505">
        <f t="shared" si="41"/>
        <v>19878.099999999999</v>
      </c>
      <c r="AS226" s="505">
        <f t="shared" si="42"/>
        <v>19878.099999999999</v>
      </c>
      <c r="AT226" s="506">
        <f t="shared" si="43"/>
        <v>0</v>
      </c>
    </row>
    <row r="227" spans="1:46">
      <c r="A227" s="341">
        <v>2112</v>
      </c>
      <c r="B227" s="345">
        <v>226150</v>
      </c>
      <c r="C227" s="341" t="s">
        <v>574</v>
      </c>
      <c r="D227" s="340" t="s">
        <v>495</v>
      </c>
      <c r="E227" s="341">
        <v>20</v>
      </c>
      <c r="F227" s="340"/>
      <c r="G227" s="340"/>
      <c r="H227" s="340">
        <v>0</v>
      </c>
      <c r="I227" s="340" t="s">
        <v>1512</v>
      </c>
      <c r="J227" s="340"/>
      <c r="K227" s="340" t="s">
        <v>967</v>
      </c>
      <c r="L227" s="344">
        <v>43808</v>
      </c>
      <c r="M227" s="344">
        <v>43808</v>
      </c>
      <c r="N227" s="340" t="s">
        <v>1570</v>
      </c>
      <c r="O227" s="341">
        <v>700</v>
      </c>
      <c r="P227" s="341">
        <v>14050</v>
      </c>
      <c r="Q227" s="342">
        <v>16758</v>
      </c>
      <c r="R227" s="341">
        <v>14056</v>
      </c>
      <c r="S227" s="342">
        <v>8778</v>
      </c>
      <c r="T227" s="342">
        <f t="shared" si="44"/>
        <v>7980</v>
      </c>
      <c r="U227" s="343">
        <v>1396.5</v>
      </c>
      <c r="V227" s="341">
        <v>54260</v>
      </c>
      <c r="W227" s="342">
        <v>199.5</v>
      </c>
      <c r="X227" s="340" t="s">
        <v>574</v>
      </c>
      <c r="Y227" s="340"/>
      <c r="Z227" s="340">
        <v>65627573</v>
      </c>
      <c r="AA227" s="340"/>
      <c r="AB227" s="340" t="s">
        <v>571</v>
      </c>
      <c r="AC227" s="340" t="s">
        <v>570</v>
      </c>
      <c r="AD227" s="341" t="s">
        <v>569</v>
      </c>
      <c r="AE227" s="340"/>
      <c r="AF227" s="341" t="s">
        <v>568</v>
      </c>
      <c r="AG227" s="340">
        <v>0</v>
      </c>
      <c r="AH227" s="340">
        <v>0</v>
      </c>
      <c r="AI227" s="377"/>
      <c r="AK227" s="493">
        <f t="shared" si="34"/>
        <v>12</v>
      </c>
      <c r="AL227" s="493">
        <f t="shared" si="35"/>
        <v>2019</v>
      </c>
      <c r="AM227" s="493">
        <f t="shared" si="36"/>
        <v>2026</v>
      </c>
      <c r="AN227" s="494">
        <f t="shared" si="37"/>
        <v>2027</v>
      </c>
      <c r="AO227" s="505">
        <f t="shared" si="38"/>
        <v>199.5</v>
      </c>
      <c r="AP227" s="505">
        <f t="shared" si="39"/>
        <v>2394</v>
      </c>
      <c r="AQ227" s="505">
        <f t="shared" si="40"/>
        <v>2394</v>
      </c>
      <c r="AR227" s="505">
        <f t="shared" si="41"/>
        <v>6384.0000000001819</v>
      </c>
      <c r="AS227" s="505">
        <f t="shared" si="42"/>
        <v>8778.0000000001819</v>
      </c>
      <c r="AT227" s="506">
        <f t="shared" si="43"/>
        <v>7979.9999999998181</v>
      </c>
    </row>
    <row r="228" spans="1:46">
      <c r="A228" s="341">
        <v>2112</v>
      </c>
      <c r="B228" s="345">
        <v>226149</v>
      </c>
      <c r="C228" s="341" t="s">
        <v>574</v>
      </c>
      <c r="D228" s="340" t="s">
        <v>496</v>
      </c>
      <c r="E228" s="341">
        <v>10</v>
      </c>
      <c r="F228" s="340"/>
      <c r="G228" s="340"/>
      <c r="H228" s="340">
        <v>0</v>
      </c>
      <c r="I228" s="340" t="s">
        <v>1512</v>
      </c>
      <c r="J228" s="340"/>
      <c r="K228" s="340" t="s">
        <v>1569</v>
      </c>
      <c r="L228" s="344">
        <v>43808</v>
      </c>
      <c r="M228" s="344">
        <v>43808</v>
      </c>
      <c r="N228" s="340" t="s">
        <v>1568</v>
      </c>
      <c r="O228" s="341">
        <v>700</v>
      </c>
      <c r="P228" s="341">
        <v>14050</v>
      </c>
      <c r="Q228" s="342">
        <v>7736.2</v>
      </c>
      <c r="R228" s="341">
        <v>14056</v>
      </c>
      <c r="S228" s="342">
        <v>4052.29</v>
      </c>
      <c r="T228" s="342">
        <f t="shared" si="44"/>
        <v>3683.91</v>
      </c>
      <c r="U228" s="343">
        <v>644.67999999999995</v>
      </c>
      <c r="V228" s="341">
        <v>54260</v>
      </c>
      <c r="W228" s="342">
        <v>92.09</v>
      </c>
      <c r="X228" s="340" t="s">
        <v>574</v>
      </c>
      <c r="Y228" s="340"/>
      <c r="Z228" s="340">
        <v>65627573</v>
      </c>
      <c r="AA228" s="340"/>
      <c r="AB228" s="340" t="s">
        <v>571</v>
      </c>
      <c r="AC228" s="340" t="s">
        <v>570</v>
      </c>
      <c r="AD228" s="341" t="s">
        <v>569</v>
      </c>
      <c r="AE228" s="340"/>
      <c r="AF228" s="341" t="s">
        <v>568</v>
      </c>
      <c r="AG228" s="340">
        <v>0</v>
      </c>
      <c r="AH228" s="340">
        <v>0</v>
      </c>
      <c r="AI228" s="377"/>
      <c r="AK228" s="493">
        <f t="shared" si="34"/>
        <v>12</v>
      </c>
      <c r="AL228" s="493">
        <f t="shared" si="35"/>
        <v>2019</v>
      </c>
      <c r="AM228" s="493">
        <f t="shared" si="36"/>
        <v>2026</v>
      </c>
      <c r="AN228" s="494">
        <f t="shared" si="37"/>
        <v>2027</v>
      </c>
      <c r="AO228" s="505">
        <f t="shared" si="38"/>
        <v>92.097619047619048</v>
      </c>
      <c r="AP228" s="505">
        <f t="shared" si="39"/>
        <v>1105.1714285714286</v>
      </c>
      <c r="AQ228" s="505">
        <f t="shared" si="40"/>
        <v>1105.1714285714286</v>
      </c>
      <c r="AR228" s="505">
        <f t="shared" si="41"/>
        <v>2947.1238095238932</v>
      </c>
      <c r="AS228" s="505">
        <f t="shared" si="42"/>
        <v>4052.295238095322</v>
      </c>
      <c r="AT228" s="506">
        <f t="shared" si="43"/>
        <v>3683.9047619046778</v>
      </c>
    </row>
    <row r="229" spans="1:46">
      <c r="A229" s="341">
        <v>2112</v>
      </c>
      <c r="B229" s="345">
        <v>226148</v>
      </c>
      <c r="C229" s="341" t="s">
        <v>574</v>
      </c>
      <c r="D229" s="340" t="s">
        <v>497</v>
      </c>
      <c r="E229" s="341">
        <v>22</v>
      </c>
      <c r="F229" s="340"/>
      <c r="G229" s="340"/>
      <c r="H229" s="340">
        <v>0</v>
      </c>
      <c r="I229" s="340" t="s">
        <v>1512</v>
      </c>
      <c r="J229" s="340"/>
      <c r="K229" s="340" t="s">
        <v>970</v>
      </c>
      <c r="L229" s="344">
        <v>43808</v>
      </c>
      <c r="M229" s="344">
        <v>43808</v>
      </c>
      <c r="N229" s="340" t="s">
        <v>1567</v>
      </c>
      <c r="O229" s="341">
        <v>700</v>
      </c>
      <c r="P229" s="341">
        <v>14050</v>
      </c>
      <c r="Q229" s="342">
        <v>11976</v>
      </c>
      <c r="R229" s="341">
        <v>14056</v>
      </c>
      <c r="S229" s="342">
        <v>6273.15</v>
      </c>
      <c r="T229" s="342">
        <f t="shared" si="44"/>
        <v>5702.85</v>
      </c>
      <c r="U229" s="343">
        <v>998</v>
      </c>
      <c r="V229" s="341">
        <v>54260</v>
      </c>
      <c r="W229" s="342">
        <v>142.57</v>
      </c>
      <c r="X229" s="340" t="s">
        <v>574</v>
      </c>
      <c r="Y229" s="340"/>
      <c r="Z229" s="340">
        <v>65628068</v>
      </c>
      <c r="AA229" s="340"/>
      <c r="AB229" s="340" t="s">
        <v>571</v>
      </c>
      <c r="AC229" s="340" t="s">
        <v>570</v>
      </c>
      <c r="AD229" s="341" t="s">
        <v>569</v>
      </c>
      <c r="AE229" s="340"/>
      <c r="AF229" s="341" t="s">
        <v>568</v>
      </c>
      <c r="AG229" s="340">
        <v>0</v>
      </c>
      <c r="AH229" s="340">
        <v>0</v>
      </c>
      <c r="AI229" s="377"/>
      <c r="AK229" s="493">
        <f t="shared" si="34"/>
        <v>12</v>
      </c>
      <c r="AL229" s="493">
        <f t="shared" si="35"/>
        <v>2019</v>
      </c>
      <c r="AM229" s="493">
        <f t="shared" si="36"/>
        <v>2026</v>
      </c>
      <c r="AN229" s="494">
        <f t="shared" si="37"/>
        <v>2027</v>
      </c>
      <c r="AO229" s="505">
        <f t="shared" si="38"/>
        <v>142.57142857142858</v>
      </c>
      <c r="AP229" s="505">
        <f t="shared" si="39"/>
        <v>1710.8571428571431</v>
      </c>
      <c r="AQ229" s="505">
        <f t="shared" si="40"/>
        <v>1710.8571428571431</v>
      </c>
      <c r="AR229" s="505">
        <f t="shared" si="41"/>
        <v>4562.2857142858429</v>
      </c>
      <c r="AS229" s="505">
        <f t="shared" si="42"/>
        <v>6273.142857142986</v>
      </c>
      <c r="AT229" s="506">
        <f t="shared" si="43"/>
        <v>5702.857142857014</v>
      </c>
    </row>
    <row r="230" spans="1:46">
      <c r="A230" s="341">
        <v>2112</v>
      </c>
      <c r="B230" s="345">
        <v>226147</v>
      </c>
      <c r="C230" s="341" t="s">
        <v>574</v>
      </c>
      <c r="D230" s="340" t="s">
        <v>498</v>
      </c>
      <c r="E230" s="341">
        <v>17</v>
      </c>
      <c r="F230" s="340"/>
      <c r="G230" s="340"/>
      <c r="H230" s="340">
        <v>0</v>
      </c>
      <c r="I230" s="340" t="s">
        <v>1512</v>
      </c>
      <c r="J230" s="340"/>
      <c r="K230" s="340" t="s">
        <v>1566</v>
      </c>
      <c r="L230" s="344">
        <v>43808</v>
      </c>
      <c r="M230" s="344">
        <v>43808</v>
      </c>
      <c r="N230" s="340" t="s">
        <v>1565</v>
      </c>
      <c r="O230" s="341">
        <v>700</v>
      </c>
      <c r="P230" s="341">
        <v>14050</v>
      </c>
      <c r="Q230" s="342">
        <v>9340</v>
      </c>
      <c r="R230" s="341">
        <v>14056</v>
      </c>
      <c r="S230" s="342">
        <v>4892.3999999999996</v>
      </c>
      <c r="T230" s="342">
        <f t="shared" si="44"/>
        <v>4447.6000000000004</v>
      </c>
      <c r="U230" s="343">
        <v>778.34</v>
      </c>
      <c r="V230" s="341">
        <v>54260</v>
      </c>
      <c r="W230" s="342">
        <v>111.19</v>
      </c>
      <c r="X230" s="340" t="s">
        <v>574</v>
      </c>
      <c r="Y230" s="340"/>
      <c r="Z230" s="340">
        <v>65627573</v>
      </c>
      <c r="AA230" s="340"/>
      <c r="AB230" s="340" t="s">
        <v>571</v>
      </c>
      <c r="AC230" s="340" t="s">
        <v>570</v>
      </c>
      <c r="AD230" s="341" t="s">
        <v>569</v>
      </c>
      <c r="AE230" s="340"/>
      <c r="AF230" s="341" t="s">
        <v>568</v>
      </c>
      <c r="AG230" s="340">
        <v>0</v>
      </c>
      <c r="AH230" s="340">
        <v>0</v>
      </c>
      <c r="AI230" s="377"/>
      <c r="AK230" s="493">
        <f t="shared" si="34"/>
        <v>12</v>
      </c>
      <c r="AL230" s="493">
        <f t="shared" si="35"/>
        <v>2019</v>
      </c>
      <c r="AM230" s="493">
        <f t="shared" si="36"/>
        <v>2026</v>
      </c>
      <c r="AN230" s="494">
        <f t="shared" si="37"/>
        <v>2027</v>
      </c>
      <c r="AO230" s="505">
        <f t="shared" si="38"/>
        <v>111.19047619047619</v>
      </c>
      <c r="AP230" s="505">
        <f t="shared" si="39"/>
        <v>1334.2857142857142</v>
      </c>
      <c r="AQ230" s="505">
        <f t="shared" si="40"/>
        <v>1334.2857142857142</v>
      </c>
      <c r="AR230" s="505">
        <f t="shared" si="41"/>
        <v>3558.0952380953395</v>
      </c>
      <c r="AS230" s="505">
        <f t="shared" si="42"/>
        <v>4892.3809523810542</v>
      </c>
      <c r="AT230" s="506">
        <f t="shared" si="43"/>
        <v>4447.6190476189458</v>
      </c>
    </row>
    <row r="231" spans="1:46">
      <c r="A231" s="341">
        <v>2112</v>
      </c>
      <c r="B231" s="345">
        <v>225891</v>
      </c>
      <c r="C231" s="341" t="s">
        <v>574</v>
      </c>
      <c r="D231" s="340" t="s">
        <v>345</v>
      </c>
      <c r="E231" s="341">
        <v>624</v>
      </c>
      <c r="F231" s="340"/>
      <c r="G231" s="340"/>
      <c r="H231" s="340">
        <v>0</v>
      </c>
      <c r="I231" s="340" t="s">
        <v>1512</v>
      </c>
      <c r="J231" s="340"/>
      <c r="K231" s="340" t="s">
        <v>1564</v>
      </c>
      <c r="L231" s="344">
        <v>43682</v>
      </c>
      <c r="M231" s="344">
        <v>43682</v>
      </c>
      <c r="N231" s="340" t="s">
        <v>1563</v>
      </c>
      <c r="O231" s="341">
        <v>700</v>
      </c>
      <c r="P231" s="341">
        <v>14050</v>
      </c>
      <c r="Q231" s="342">
        <v>31346.080000000002</v>
      </c>
      <c r="R231" s="341">
        <v>14056</v>
      </c>
      <c r="S231" s="342">
        <v>17912.04</v>
      </c>
      <c r="T231" s="342">
        <f t="shared" si="44"/>
        <v>13434.04</v>
      </c>
      <c r="U231" s="343">
        <v>2612.17</v>
      </c>
      <c r="V231" s="341">
        <v>54260</v>
      </c>
      <c r="W231" s="342">
        <v>373.16</v>
      </c>
      <c r="X231" s="340" t="s">
        <v>574</v>
      </c>
      <c r="Y231" s="340"/>
      <c r="Z231" s="340">
        <v>65610701</v>
      </c>
      <c r="AA231" s="340"/>
      <c r="AB231" s="340" t="s">
        <v>571</v>
      </c>
      <c r="AC231" s="340" t="s">
        <v>570</v>
      </c>
      <c r="AD231" s="341" t="s">
        <v>569</v>
      </c>
      <c r="AE231" s="340"/>
      <c r="AF231" s="341" t="s">
        <v>568</v>
      </c>
      <c r="AG231" s="340">
        <v>0</v>
      </c>
      <c r="AH231" s="340">
        <v>0</v>
      </c>
      <c r="AI231" s="377"/>
      <c r="AK231" s="493">
        <f t="shared" si="34"/>
        <v>8</v>
      </c>
      <c r="AL231" s="493">
        <f t="shared" si="35"/>
        <v>2019</v>
      </c>
      <c r="AM231" s="493">
        <f t="shared" si="36"/>
        <v>2026</v>
      </c>
      <c r="AN231" s="494">
        <f t="shared" si="37"/>
        <v>2026.6666666666667</v>
      </c>
      <c r="AO231" s="505">
        <f t="shared" si="38"/>
        <v>373.1676190476191</v>
      </c>
      <c r="AP231" s="505">
        <f t="shared" si="39"/>
        <v>4478.011428571429</v>
      </c>
      <c r="AQ231" s="505">
        <f t="shared" si="40"/>
        <v>4478.011428571429</v>
      </c>
      <c r="AR231" s="505">
        <f t="shared" si="41"/>
        <v>13434.034285714286</v>
      </c>
      <c r="AS231" s="505">
        <f t="shared" si="42"/>
        <v>17912.045714285716</v>
      </c>
      <c r="AT231" s="506">
        <f t="shared" si="43"/>
        <v>13434.034285714286</v>
      </c>
    </row>
    <row r="232" spans="1:46">
      <c r="A232" s="341">
        <v>2112</v>
      </c>
      <c r="B232" s="345">
        <v>224643</v>
      </c>
      <c r="C232" s="341" t="s">
        <v>574</v>
      </c>
      <c r="D232" s="340" t="s">
        <v>1562</v>
      </c>
      <c r="E232" s="341">
        <v>2</v>
      </c>
      <c r="F232" s="340"/>
      <c r="G232" s="340"/>
      <c r="H232" s="340">
        <v>0</v>
      </c>
      <c r="I232" s="340" t="s">
        <v>765</v>
      </c>
      <c r="J232" s="340"/>
      <c r="K232" s="340" t="s">
        <v>1437</v>
      </c>
      <c r="L232" s="344">
        <v>43777</v>
      </c>
      <c r="M232" s="344">
        <v>43777</v>
      </c>
      <c r="N232" s="340" t="s">
        <v>1561</v>
      </c>
      <c r="O232" s="341">
        <v>1200</v>
      </c>
      <c r="P232" s="341">
        <v>14050</v>
      </c>
      <c r="Q232" s="342">
        <v>20239.59</v>
      </c>
      <c r="R232" s="341">
        <v>14056</v>
      </c>
      <c r="S232" s="342">
        <v>6324.87</v>
      </c>
      <c r="T232" s="342">
        <f t="shared" si="44"/>
        <v>13914.720000000001</v>
      </c>
      <c r="U232" s="343">
        <v>983.87</v>
      </c>
      <c r="V232" s="341">
        <v>54260</v>
      </c>
      <c r="W232" s="342">
        <v>140.55000000000001</v>
      </c>
      <c r="X232" s="340" t="s">
        <v>574</v>
      </c>
      <c r="Y232" s="340"/>
      <c r="Z232" s="340">
        <v>8631</v>
      </c>
      <c r="AA232" s="340"/>
      <c r="AB232" s="340" t="s">
        <v>571</v>
      </c>
      <c r="AC232" s="340" t="s">
        <v>570</v>
      </c>
      <c r="AD232" s="341" t="s">
        <v>569</v>
      </c>
      <c r="AE232" s="340"/>
      <c r="AF232" s="341" t="s">
        <v>568</v>
      </c>
      <c r="AG232" s="340">
        <v>0</v>
      </c>
      <c r="AH232" s="340">
        <v>0</v>
      </c>
      <c r="AI232" s="377"/>
      <c r="AK232" s="493">
        <f t="shared" si="34"/>
        <v>11</v>
      </c>
      <c r="AL232" s="493">
        <f t="shared" si="35"/>
        <v>2019</v>
      </c>
      <c r="AM232" s="493">
        <f t="shared" si="36"/>
        <v>2031</v>
      </c>
      <c r="AN232" s="494">
        <f t="shared" si="37"/>
        <v>2031.9166666666667</v>
      </c>
      <c r="AO232" s="505">
        <f t="shared" si="38"/>
        <v>140.55270833333333</v>
      </c>
      <c r="AP232" s="505">
        <f t="shared" si="39"/>
        <v>1686.6324999999999</v>
      </c>
      <c r="AQ232" s="505">
        <f t="shared" si="40"/>
        <v>1686.6324999999999</v>
      </c>
      <c r="AR232" s="505">
        <f t="shared" si="41"/>
        <v>4638.239375000001</v>
      </c>
      <c r="AS232" s="505">
        <f t="shared" si="42"/>
        <v>6324.8718750000007</v>
      </c>
      <c r="AT232" s="506">
        <f t="shared" si="43"/>
        <v>13914.718124999999</v>
      </c>
    </row>
    <row r="233" spans="1:46">
      <c r="A233" s="341">
        <v>2112</v>
      </c>
      <c r="B233" s="345">
        <v>223825</v>
      </c>
      <c r="C233" s="341" t="s">
        <v>574</v>
      </c>
      <c r="D233" s="340" t="s">
        <v>1560</v>
      </c>
      <c r="E233" s="341"/>
      <c r="F233" s="340" t="s">
        <v>1559</v>
      </c>
      <c r="G233" s="340" t="s">
        <v>1558</v>
      </c>
      <c r="H233" s="340">
        <v>2020</v>
      </c>
      <c r="I233" s="340" t="s">
        <v>1533</v>
      </c>
      <c r="J233" s="340" t="s">
        <v>855</v>
      </c>
      <c r="K233" s="340" t="s">
        <v>767</v>
      </c>
      <c r="L233" s="344">
        <v>43770</v>
      </c>
      <c r="M233" s="344">
        <v>43770</v>
      </c>
      <c r="N233" s="340" t="s">
        <v>1557</v>
      </c>
      <c r="O233" s="341">
        <v>1000</v>
      </c>
      <c r="P233" s="341">
        <v>14040</v>
      </c>
      <c r="Q233" s="342">
        <v>378973.1</v>
      </c>
      <c r="R233" s="341">
        <v>14046</v>
      </c>
      <c r="S233" s="342">
        <v>142114.91</v>
      </c>
      <c r="T233" s="342">
        <f t="shared" si="44"/>
        <v>236858.18999999997</v>
      </c>
      <c r="U233" s="343">
        <v>22106.76</v>
      </c>
      <c r="V233" s="341">
        <v>51260</v>
      </c>
      <c r="W233" s="342">
        <v>3158.1</v>
      </c>
      <c r="X233" s="340" t="s">
        <v>574</v>
      </c>
      <c r="Y233" s="340"/>
      <c r="Z233" s="340"/>
      <c r="AA233" s="340">
        <v>892</v>
      </c>
      <c r="AB233" s="340" t="s">
        <v>571</v>
      </c>
      <c r="AC233" s="340" t="s">
        <v>570</v>
      </c>
      <c r="AD233" s="341" t="s">
        <v>569</v>
      </c>
      <c r="AE233" s="340"/>
      <c r="AF233" s="341" t="s">
        <v>568</v>
      </c>
      <c r="AG233" s="340">
        <v>0</v>
      </c>
      <c r="AH233" s="340">
        <v>0</v>
      </c>
      <c r="AI233" s="377"/>
      <c r="AK233" s="493">
        <f t="shared" si="34"/>
        <v>11</v>
      </c>
      <c r="AL233" s="493">
        <f t="shared" si="35"/>
        <v>2019</v>
      </c>
      <c r="AM233" s="493">
        <f t="shared" si="36"/>
        <v>2029</v>
      </c>
      <c r="AN233" s="494">
        <f t="shared" si="37"/>
        <v>2029.9166666666667</v>
      </c>
      <c r="AO233" s="505">
        <f t="shared" si="38"/>
        <v>3158.1091666666666</v>
      </c>
      <c r="AP233" s="505">
        <f t="shared" si="39"/>
        <v>37897.31</v>
      </c>
      <c r="AQ233" s="505">
        <f t="shared" si="40"/>
        <v>37897.31</v>
      </c>
      <c r="AR233" s="505">
        <f t="shared" si="41"/>
        <v>104217.60249999998</v>
      </c>
      <c r="AS233" s="505">
        <f t="shared" si="42"/>
        <v>142114.91249999998</v>
      </c>
      <c r="AT233" s="506">
        <f t="shared" si="43"/>
        <v>236858.1875</v>
      </c>
    </row>
    <row r="234" spans="1:46">
      <c r="A234" s="341">
        <v>2112</v>
      </c>
      <c r="B234" s="345">
        <v>222833</v>
      </c>
      <c r="C234" s="341">
        <v>219749</v>
      </c>
      <c r="D234" s="340" t="s">
        <v>1555</v>
      </c>
      <c r="E234" s="341"/>
      <c r="F234" s="340"/>
      <c r="G234" s="340"/>
      <c r="H234" s="340">
        <v>0</v>
      </c>
      <c r="I234" s="340" t="s">
        <v>1136</v>
      </c>
      <c r="J234" s="340"/>
      <c r="K234" s="340" t="s">
        <v>572</v>
      </c>
      <c r="L234" s="344">
        <v>43724</v>
      </c>
      <c r="M234" s="344">
        <v>43724</v>
      </c>
      <c r="N234" s="340" t="s">
        <v>1556</v>
      </c>
      <c r="O234" s="341">
        <v>1000</v>
      </c>
      <c r="P234" s="341">
        <v>14040</v>
      </c>
      <c r="Q234" s="342">
        <v>144864.10999999999</v>
      </c>
      <c r="R234" s="341">
        <v>14046</v>
      </c>
      <c r="S234" s="342">
        <v>55531.24</v>
      </c>
      <c r="T234" s="342">
        <f t="shared" si="44"/>
        <v>89332.87</v>
      </c>
      <c r="U234" s="343">
        <v>8450.41</v>
      </c>
      <c r="V234" s="341">
        <v>51260</v>
      </c>
      <c r="W234" s="342">
        <v>1207.2</v>
      </c>
      <c r="X234" s="340" t="s">
        <v>574</v>
      </c>
      <c r="Y234" s="340"/>
      <c r="Z234" s="340">
        <v>4103211</v>
      </c>
      <c r="AA234" s="340"/>
      <c r="AB234" s="340" t="s">
        <v>571</v>
      </c>
      <c r="AC234" s="340" t="s">
        <v>570</v>
      </c>
      <c r="AD234" s="341" t="s">
        <v>569</v>
      </c>
      <c r="AE234" s="340"/>
      <c r="AF234" s="341" t="s">
        <v>568</v>
      </c>
      <c r="AG234" s="340">
        <v>0</v>
      </c>
      <c r="AH234" s="340">
        <v>0</v>
      </c>
      <c r="AI234" s="377"/>
      <c r="AK234" s="493">
        <f t="shared" si="34"/>
        <v>9</v>
      </c>
      <c r="AL234" s="493">
        <f t="shared" si="35"/>
        <v>2019</v>
      </c>
      <c r="AM234" s="493">
        <f t="shared" si="36"/>
        <v>2029</v>
      </c>
      <c r="AN234" s="494">
        <f t="shared" si="37"/>
        <v>2029.75</v>
      </c>
      <c r="AO234" s="505">
        <f t="shared" si="38"/>
        <v>1207.2009166666664</v>
      </c>
      <c r="AP234" s="505">
        <f t="shared" si="39"/>
        <v>14486.410999999996</v>
      </c>
      <c r="AQ234" s="505">
        <f t="shared" si="40"/>
        <v>14486.410999999996</v>
      </c>
      <c r="AR234" s="505">
        <f t="shared" si="41"/>
        <v>42252.03208333443</v>
      </c>
      <c r="AS234" s="505">
        <f t="shared" si="42"/>
        <v>56738.443083334423</v>
      </c>
      <c r="AT234" s="506">
        <f t="shared" si="43"/>
        <v>88125.666916665563</v>
      </c>
    </row>
    <row r="235" spans="1:46">
      <c r="A235" s="341">
        <v>2112</v>
      </c>
      <c r="B235" s="345">
        <v>222832</v>
      </c>
      <c r="C235" s="341">
        <v>219748</v>
      </c>
      <c r="D235" s="340" t="s">
        <v>1555</v>
      </c>
      <c r="E235" s="341"/>
      <c r="F235" s="340"/>
      <c r="G235" s="340"/>
      <c r="H235" s="340">
        <v>0</v>
      </c>
      <c r="I235" s="340" t="s">
        <v>1136</v>
      </c>
      <c r="J235" s="340"/>
      <c r="K235" s="340" t="s">
        <v>572</v>
      </c>
      <c r="L235" s="344">
        <v>43724</v>
      </c>
      <c r="M235" s="344">
        <v>43724</v>
      </c>
      <c r="N235" s="340" t="s">
        <v>1554</v>
      </c>
      <c r="O235" s="341">
        <v>1000</v>
      </c>
      <c r="P235" s="341">
        <v>14040</v>
      </c>
      <c r="Q235" s="342">
        <v>144864.10999999999</v>
      </c>
      <c r="R235" s="341">
        <v>14046</v>
      </c>
      <c r="S235" s="342">
        <v>55531.24</v>
      </c>
      <c r="T235" s="342">
        <f t="shared" si="44"/>
        <v>89332.87</v>
      </c>
      <c r="U235" s="343">
        <v>8450.41</v>
      </c>
      <c r="V235" s="341">
        <v>51260</v>
      </c>
      <c r="W235" s="342">
        <v>1207.2</v>
      </c>
      <c r="X235" s="340" t="s">
        <v>574</v>
      </c>
      <c r="Y235" s="340"/>
      <c r="Z235" s="340">
        <v>4103210</v>
      </c>
      <c r="AA235" s="340"/>
      <c r="AB235" s="340" t="s">
        <v>571</v>
      </c>
      <c r="AC235" s="340" t="s">
        <v>570</v>
      </c>
      <c r="AD235" s="341" t="s">
        <v>569</v>
      </c>
      <c r="AE235" s="340"/>
      <c r="AF235" s="341" t="s">
        <v>568</v>
      </c>
      <c r="AG235" s="340">
        <v>0</v>
      </c>
      <c r="AH235" s="340">
        <v>0</v>
      </c>
      <c r="AI235" s="377"/>
      <c r="AK235" s="493">
        <f t="shared" si="34"/>
        <v>9</v>
      </c>
      <c r="AL235" s="493">
        <f t="shared" si="35"/>
        <v>2019</v>
      </c>
      <c r="AM235" s="493">
        <f t="shared" si="36"/>
        <v>2029</v>
      </c>
      <c r="AN235" s="494">
        <f t="shared" si="37"/>
        <v>2029.75</v>
      </c>
      <c r="AO235" s="505">
        <f t="shared" si="38"/>
        <v>1207.2009166666664</v>
      </c>
      <c r="AP235" s="505">
        <f t="shared" si="39"/>
        <v>14486.410999999996</v>
      </c>
      <c r="AQ235" s="505">
        <f t="shared" si="40"/>
        <v>14486.410999999996</v>
      </c>
      <c r="AR235" s="505">
        <f t="shared" si="41"/>
        <v>42252.03208333443</v>
      </c>
      <c r="AS235" s="505">
        <f t="shared" si="42"/>
        <v>56738.443083334423</v>
      </c>
      <c r="AT235" s="506">
        <f t="shared" si="43"/>
        <v>88125.666916665563</v>
      </c>
    </row>
    <row r="236" spans="1:46">
      <c r="A236" s="341">
        <v>2112</v>
      </c>
      <c r="B236" s="345">
        <v>221747</v>
      </c>
      <c r="C236" s="341" t="s">
        <v>574</v>
      </c>
      <c r="D236" s="340" t="s">
        <v>549</v>
      </c>
      <c r="E236" s="341"/>
      <c r="F236" s="340" t="s">
        <v>1553</v>
      </c>
      <c r="G236" s="340" t="s">
        <v>1552</v>
      </c>
      <c r="H236" s="340">
        <v>2020</v>
      </c>
      <c r="I236" s="340" t="s">
        <v>1533</v>
      </c>
      <c r="J236" s="340" t="s">
        <v>855</v>
      </c>
      <c r="K236" s="340" t="s">
        <v>767</v>
      </c>
      <c r="L236" s="344">
        <v>43731</v>
      </c>
      <c r="M236" s="344">
        <v>43731</v>
      </c>
      <c r="N236" s="340" t="s">
        <v>1551</v>
      </c>
      <c r="O236" s="341">
        <v>1000</v>
      </c>
      <c r="P236" s="341">
        <v>14040</v>
      </c>
      <c r="Q236" s="342">
        <v>378973.1</v>
      </c>
      <c r="R236" s="341">
        <v>14046</v>
      </c>
      <c r="S236" s="342">
        <v>145273.01999999999</v>
      </c>
      <c r="T236" s="342">
        <f t="shared" si="44"/>
        <v>233700.08</v>
      </c>
      <c r="U236" s="343">
        <v>22106.76</v>
      </c>
      <c r="V236" s="341">
        <v>51260</v>
      </c>
      <c r="W236" s="342">
        <v>3158.1</v>
      </c>
      <c r="X236" s="340" t="s">
        <v>574</v>
      </c>
      <c r="Y236" s="340"/>
      <c r="Z236" s="340"/>
      <c r="AA236" s="340">
        <v>891</v>
      </c>
      <c r="AB236" s="340" t="s">
        <v>571</v>
      </c>
      <c r="AC236" s="340" t="s">
        <v>570</v>
      </c>
      <c r="AD236" s="341" t="s">
        <v>569</v>
      </c>
      <c r="AE236" s="340"/>
      <c r="AF236" s="341" t="s">
        <v>568</v>
      </c>
      <c r="AG236" s="340">
        <v>0</v>
      </c>
      <c r="AH236" s="340">
        <v>0</v>
      </c>
      <c r="AI236" s="377"/>
      <c r="AK236" s="493">
        <f t="shared" si="34"/>
        <v>9</v>
      </c>
      <c r="AL236" s="493">
        <f t="shared" si="35"/>
        <v>2019</v>
      </c>
      <c r="AM236" s="493">
        <f t="shared" si="36"/>
        <v>2029</v>
      </c>
      <c r="AN236" s="494">
        <f t="shared" si="37"/>
        <v>2029.75</v>
      </c>
      <c r="AO236" s="505">
        <f t="shared" si="38"/>
        <v>3158.1091666666666</v>
      </c>
      <c r="AP236" s="505">
        <f t="shared" si="39"/>
        <v>37897.31</v>
      </c>
      <c r="AQ236" s="505">
        <f t="shared" si="40"/>
        <v>37897.31</v>
      </c>
      <c r="AR236" s="505">
        <f t="shared" si="41"/>
        <v>110533.82083333621</v>
      </c>
      <c r="AS236" s="505">
        <f t="shared" si="42"/>
        <v>148431.13083333621</v>
      </c>
      <c r="AT236" s="506">
        <f t="shared" si="43"/>
        <v>230541.96916666377</v>
      </c>
    </row>
    <row r="237" spans="1:46">
      <c r="A237" s="341">
        <v>2112</v>
      </c>
      <c r="B237" s="345">
        <v>221735</v>
      </c>
      <c r="C237" s="341">
        <v>218615</v>
      </c>
      <c r="D237" s="340" t="s">
        <v>1550</v>
      </c>
      <c r="E237" s="341"/>
      <c r="F237" s="340"/>
      <c r="G237" s="340"/>
      <c r="H237" s="340">
        <v>0</v>
      </c>
      <c r="I237" s="340" t="s">
        <v>1547</v>
      </c>
      <c r="J237" s="340"/>
      <c r="K237" s="340"/>
      <c r="L237" s="344">
        <v>43708</v>
      </c>
      <c r="M237" s="344">
        <v>43708</v>
      </c>
      <c r="N237" s="340" t="s">
        <v>1529</v>
      </c>
      <c r="O237" s="341">
        <v>1000</v>
      </c>
      <c r="P237" s="341">
        <v>14090</v>
      </c>
      <c r="Q237" s="342">
        <v>820.81</v>
      </c>
      <c r="R237" s="341">
        <v>14096</v>
      </c>
      <c r="S237" s="342">
        <v>321.48</v>
      </c>
      <c r="T237" s="342">
        <f t="shared" si="44"/>
        <v>499.32999999999993</v>
      </c>
      <c r="U237" s="343">
        <v>47.88</v>
      </c>
      <c r="V237" s="341">
        <v>57260</v>
      </c>
      <c r="W237" s="342">
        <v>6.84</v>
      </c>
      <c r="X237" s="340" t="s">
        <v>574</v>
      </c>
      <c r="Y237" s="340"/>
      <c r="Z237" s="340" t="s">
        <v>1549</v>
      </c>
      <c r="AA237" s="340"/>
      <c r="AB237" s="340" t="s">
        <v>571</v>
      </c>
      <c r="AC237" s="340" t="s">
        <v>570</v>
      </c>
      <c r="AD237" s="341" t="s">
        <v>569</v>
      </c>
      <c r="AE237" s="340"/>
      <c r="AF237" s="341" t="s">
        <v>568</v>
      </c>
      <c r="AG237" s="340">
        <v>0</v>
      </c>
      <c r="AH237" s="340">
        <v>0</v>
      </c>
      <c r="AI237" s="377"/>
      <c r="AK237" s="493">
        <f t="shared" si="34"/>
        <v>8</v>
      </c>
      <c r="AL237" s="493">
        <f t="shared" si="35"/>
        <v>2019</v>
      </c>
      <c r="AM237" s="493">
        <f t="shared" si="36"/>
        <v>2029</v>
      </c>
      <c r="AN237" s="494">
        <f t="shared" si="37"/>
        <v>2029.6666666666667</v>
      </c>
      <c r="AO237" s="505">
        <f t="shared" si="38"/>
        <v>6.8400833333333324</v>
      </c>
      <c r="AP237" s="505">
        <f t="shared" si="39"/>
        <v>82.080999999999989</v>
      </c>
      <c r="AQ237" s="505">
        <f t="shared" si="40"/>
        <v>82.080999999999989</v>
      </c>
      <c r="AR237" s="505">
        <f t="shared" si="41"/>
        <v>246.24300000000005</v>
      </c>
      <c r="AS237" s="505">
        <f t="shared" si="42"/>
        <v>328.32400000000007</v>
      </c>
      <c r="AT237" s="506">
        <f t="shared" si="43"/>
        <v>492.48599999999988</v>
      </c>
    </row>
    <row r="238" spans="1:46">
      <c r="A238" s="341">
        <v>2112</v>
      </c>
      <c r="B238" s="345">
        <v>221106</v>
      </c>
      <c r="C238" s="341">
        <v>218615</v>
      </c>
      <c r="D238" s="340" t="s">
        <v>1548</v>
      </c>
      <c r="E238" s="341"/>
      <c r="F238" s="340"/>
      <c r="G238" s="340"/>
      <c r="H238" s="340">
        <v>0</v>
      </c>
      <c r="I238" s="340" t="s">
        <v>1547</v>
      </c>
      <c r="J238" s="340"/>
      <c r="K238" s="340"/>
      <c r="L238" s="344">
        <v>43748</v>
      </c>
      <c r="M238" s="344">
        <v>43748</v>
      </c>
      <c r="N238" s="340" t="s">
        <v>1529</v>
      </c>
      <c r="O238" s="341">
        <v>1000</v>
      </c>
      <c r="P238" s="341">
        <v>14090</v>
      </c>
      <c r="Q238" s="342">
        <v>3102.1</v>
      </c>
      <c r="R238" s="341">
        <v>14096</v>
      </c>
      <c r="S238" s="342">
        <v>1189.1400000000001</v>
      </c>
      <c r="T238" s="342">
        <f t="shared" si="44"/>
        <v>1912.9599999999998</v>
      </c>
      <c r="U238" s="343">
        <v>180.96</v>
      </c>
      <c r="V238" s="341">
        <v>57260</v>
      </c>
      <c r="W238" s="342">
        <v>25.85</v>
      </c>
      <c r="X238" s="340" t="s">
        <v>574</v>
      </c>
      <c r="Y238" s="340"/>
      <c r="Z238" s="340" t="s">
        <v>1546</v>
      </c>
      <c r="AA238" s="340"/>
      <c r="AB238" s="340" t="s">
        <v>571</v>
      </c>
      <c r="AC238" s="340" t="s">
        <v>570</v>
      </c>
      <c r="AD238" s="341" t="s">
        <v>569</v>
      </c>
      <c r="AE238" s="340"/>
      <c r="AF238" s="341" t="s">
        <v>568</v>
      </c>
      <c r="AG238" s="340">
        <v>0</v>
      </c>
      <c r="AH238" s="340">
        <v>0</v>
      </c>
      <c r="AI238" s="377"/>
      <c r="AK238" s="493">
        <f t="shared" si="34"/>
        <v>10</v>
      </c>
      <c r="AL238" s="493">
        <f t="shared" si="35"/>
        <v>2019</v>
      </c>
      <c r="AM238" s="493">
        <f t="shared" si="36"/>
        <v>2029</v>
      </c>
      <c r="AN238" s="494">
        <f t="shared" si="37"/>
        <v>2029.8333333333333</v>
      </c>
      <c r="AO238" s="505">
        <f t="shared" si="38"/>
        <v>25.85083333333333</v>
      </c>
      <c r="AP238" s="505">
        <f t="shared" si="39"/>
        <v>310.20999999999998</v>
      </c>
      <c r="AQ238" s="505">
        <f t="shared" si="40"/>
        <v>310.20999999999998</v>
      </c>
      <c r="AR238" s="505">
        <f t="shared" si="41"/>
        <v>878.92833333338058</v>
      </c>
      <c r="AS238" s="505">
        <f t="shared" si="42"/>
        <v>1189.1383333333806</v>
      </c>
      <c r="AT238" s="506">
        <f t="shared" si="43"/>
        <v>1912.9616666666193</v>
      </c>
    </row>
    <row r="239" spans="1:46">
      <c r="A239" s="341">
        <v>2112</v>
      </c>
      <c r="B239" s="345">
        <v>220970</v>
      </c>
      <c r="C239" s="341">
        <v>218615</v>
      </c>
      <c r="D239" s="340" t="s">
        <v>1545</v>
      </c>
      <c r="E239" s="341"/>
      <c r="F239" s="340"/>
      <c r="G239" s="340"/>
      <c r="H239" s="340">
        <v>0</v>
      </c>
      <c r="I239" s="340" t="s">
        <v>1544</v>
      </c>
      <c r="J239" s="340"/>
      <c r="K239" s="340"/>
      <c r="L239" s="344">
        <v>43708</v>
      </c>
      <c r="M239" s="344">
        <v>43708</v>
      </c>
      <c r="N239" s="340" t="s">
        <v>1529</v>
      </c>
      <c r="O239" s="341">
        <v>1000</v>
      </c>
      <c r="P239" s="341">
        <v>14090</v>
      </c>
      <c r="Q239" s="342">
        <v>-2588.4</v>
      </c>
      <c r="R239" s="341">
        <v>14096</v>
      </c>
      <c r="S239" s="342">
        <v>-1013.79</v>
      </c>
      <c r="T239" s="342">
        <f t="shared" si="44"/>
        <v>-1574.6100000000001</v>
      </c>
      <c r="U239" s="343">
        <v>-150.99</v>
      </c>
      <c r="V239" s="341">
        <v>57260</v>
      </c>
      <c r="W239" s="342">
        <v>-21.57</v>
      </c>
      <c r="X239" s="340" t="s">
        <v>574</v>
      </c>
      <c r="Y239" s="340"/>
      <c r="Z239" s="340" t="s">
        <v>1543</v>
      </c>
      <c r="AA239" s="340"/>
      <c r="AB239" s="340" t="s">
        <v>571</v>
      </c>
      <c r="AC239" s="340" t="s">
        <v>570</v>
      </c>
      <c r="AD239" s="341" t="s">
        <v>569</v>
      </c>
      <c r="AE239" s="340"/>
      <c r="AF239" s="341" t="s">
        <v>568</v>
      </c>
      <c r="AG239" s="340">
        <v>0</v>
      </c>
      <c r="AH239" s="340">
        <v>0</v>
      </c>
      <c r="AI239" s="377"/>
      <c r="AK239" s="493">
        <f t="shared" si="34"/>
        <v>8</v>
      </c>
      <c r="AL239" s="493">
        <f t="shared" si="35"/>
        <v>2019</v>
      </c>
      <c r="AM239" s="493">
        <f t="shared" si="36"/>
        <v>2029</v>
      </c>
      <c r="AN239" s="494">
        <f t="shared" si="37"/>
        <v>2029.6666666666667</v>
      </c>
      <c r="AO239" s="505">
        <f t="shared" si="38"/>
        <v>-21.570000000000004</v>
      </c>
      <c r="AP239" s="505">
        <f t="shared" si="39"/>
        <v>-258.84000000000003</v>
      </c>
      <c r="AQ239" s="505">
        <f t="shared" si="40"/>
        <v>-258.84000000000003</v>
      </c>
      <c r="AR239" s="505">
        <f t="shared" si="41"/>
        <v>-776.51999999999975</v>
      </c>
      <c r="AS239" s="505">
        <f t="shared" si="42"/>
        <v>-1035.3599999999997</v>
      </c>
      <c r="AT239" s="506">
        <f t="shared" si="43"/>
        <v>-1553.0400000000004</v>
      </c>
    </row>
    <row r="240" spans="1:46">
      <c r="A240" s="341">
        <v>2112</v>
      </c>
      <c r="B240" s="345">
        <v>220969</v>
      </c>
      <c r="C240" s="341">
        <v>218615</v>
      </c>
      <c r="D240" s="340" t="s">
        <v>1542</v>
      </c>
      <c r="E240" s="341"/>
      <c r="F240" s="340"/>
      <c r="G240" s="340"/>
      <c r="H240" s="340">
        <v>0</v>
      </c>
      <c r="I240" s="340" t="s">
        <v>1541</v>
      </c>
      <c r="J240" s="340"/>
      <c r="K240" s="340"/>
      <c r="L240" s="344">
        <v>43708</v>
      </c>
      <c r="M240" s="344">
        <v>43708</v>
      </c>
      <c r="N240" s="340" t="s">
        <v>1529</v>
      </c>
      <c r="O240" s="341">
        <v>1000</v>
      </c>
      <c r="P240" s="341">
        <v>14090</v>
      </c>
      <c r="Q240" s="342">
        <v>-1626.33</v>
      </c>
      <c r="R240" s="341">
        <v>14096</v>
      </c>
      <c r="S240" s="342">
        <v>-636.97</v>
      </c>
      <c r="T240" s="342">
        <f t="shared" si="44"/>
        <v>-989.3599999999999</v>
      </c>
      <c r="U240" s="343">
        <v>-94.87</v>
      </c>
      <c r="V240" s="341">
        <v>57260</v>
      </c>
      <c r="W240" s="342">
        <v>-13.55</v>
      </c>
      <c r="X240" s="340" t="s">
        <v>574</v>
      </c>
      <c r="Y240" s="340"/>
      <c r="Z240" s="340" t="s">
        <v>1540</v>
      </c>
      <c r="AA240" s="340"/>
      <c r="AB240" s="340" t="s">
        <v>571</v>
      </c>
      <c r="AC240" s="340" t="s">
        <v>570</v>
      </c>
      <c r="AD240" s="341" t="s">
        <v>569</v>
      </c>
      <c r="AE240" s="340"/>
      <c r="AF240" s="341" t="s">
        <v>568</v>
      </c>
      <c r="AG240" s="340">
        <v>0</v>
      </c>
      <c r="AH240" s="340">
        <v>0</v>
      </c>
      <c r="AI240" s="377"/>
      <c r="AK240" s="493">
        <f t="shared" si="34"/>
        <v>8</v>
      </c>
      <c r="AL240" s="493">
        <f t="shared" si="35"/>
        <v>2019</v>
      </c>
      <c r="AM240" s="493">
        <f t="shared" si="36"/>
        <v>2029</v>
      </c>
      <c r="AN240" s="494">
        <f t="shared" si="37"/>
        <v>2029.6666666666667</v>
      </c>
      <c r="AO240" s="505">
        <f t="shared" si="38"/>
        <v>-13.552749999999998</v>
      </c>
      <c r="AP240" s="505">
        <f t="shared" si="39"/>
        <v>-162.63299999999998</v>
      </c>
      <c r="AQ240" s="505">
        <f t="shared" si="40"/>
        <v>-162.63299999999998</v>
      </c>
      <c r="AR240" s="505">
        <f t="shared" si="41"/>
        <v>-487.89900000000011</v>
      </c>
      <c r="AS240" s="505">
        <f t="shared" si="42"/>
        <v>-650.53200000000015</v>
      </c>
      <c r="AT240" s="506">
        <f t="shared" si="43"/>
        <v>-975.79799999999977</v>
      </c>
    </row>
    <row r="241" spans="1:46">
      <c r="A241" s="341">
        <v>2112</v>
      </c>
      <c r="B241" s="345">
        <v>219749</v>
      </c>
      <c r="C241" s="341" t="s">
        <v>574</v>
      </c>
      <c r="D241" s="340" t="s">
        <v>1536</v>
      </c>
      <c r="E241" s="341"/>
      <c r="F241" s="340" t="s">
        <v>1539</v>
      </c>
      <c r="G241" s="340" t="s">
        <v>1538</v>
      </c>
      <c r="H241" s="340">
        <v>2020</v>
      </c>
      <c r="I241" s="340" t="s">
        <v>1533</v>
      </c>
      <c r="J241" s="340" t="s">
        <v>855</v>
      </c>
      <c r="K241" s="340" t="s">
        <v>757</v>
      </c>
      <c r="L241" s="344">
        <v>43724</v>
      </c>
      <c r="M241" s="344">
        <v>43724</v>
      </c>
      <c r="N241" s="340" t="s">
        <v>1537</v>
      </c>
      <c r="O241" s="341">
        <v>1000</v>
      </c>
      <c r="P241" s="341">
        <v>14040</v>
      </c>
      <c r="Q241" s="342">
        <v>185828.24</v>
      </c>
      <c r="R241" s="341">
        <v>14046</v>
      </c>
      <c r="S241" s="342">
        <v>71234.149999999994</v>
      </c>
      <c r="T241" s="342">
        <f t="shared" si="44"/>
        <v>114594.09</v>
      </c>
      <c r="U241" s="343">
        <v>10839.98</v>
      </c>
      <c r="V241" s="341">
        <v>51260</v>
      </c>
      <c r="W241" s="342">
        <v>1548.57</v>
      </c>
      <c r="X241" s="340" t="s">
        <v>574</v>
      </c>
      <c r="Y241" s="340"/>
      <c r="Z241" s="340"/>
      <c r="AA241" s="340">
        <v>994</v>
      </c>
      <c r="AB241" s="340" t="s">
        <v>571</v>
      </c>
      <c r="AC241" s="340" t="s">
        <v>570</v>
      </c>
      <c r="AD241" s="341" t="s">
        <v>569</v>
      </c>
      <c r="AE241" s="340"/>
      <c r="AF241" s="341" t="s">
        <v>568</v>
      </c>
      <c r="AG241" s="340">
        <v>0</v>
      </c>
      <c r="AH241" s="340">
        <v>0</v>
      </c>
      <c r="AI241" s="377"/>
      <c r="AK241" s="493">
        <f t="shared" si="34"/>
        <v>9</v>
      </c>
      <c r="AL241" s="493">
        <f t="shared" si="35"/>
        <v>2019</v>
      </c>
      <c r="AM241" s="493">
        <f t="shared" si="36"/>
        <v>2029</v>
      </c>
      <c r="AN241" s="494">
        <f t="shared" si="37"/>
        <v>2029.75</v>
      </c>
      <c r="AO241" s="505">
        <f t="shared" si="38"/>
        <v>1548.5686666666668</v>
      </c>
      <c r="AP241" s="505">
        <f t="shared" si="39"/>
        <v>18582.824000000001</v>
      </c>
      <c r="AQ241" s="505">
        <f t="shared" si="40"/>
        <v>18582.824000000001</v>
      </c>
      <c r="AR241" s="505">
        <f t="shared" si="41"/>
        <v>54199.903333334718</v>
      </c>
      <c r="AS241" s="505">
        <f t="shared" si="42"/>
        <v>72782.727333334711</v>
      </c>
      <c r="AT241" s="506">
        <f t="shared" si="43"/>
        <v>113045.51266666528</v>
      </c>
    </row>
    <row r="242" spans="1:46">
      <c r="A242" s="341">
        <v>2112</v>
      </c>
      <c r="B242" s="345">
        <v>219748</v>
      </c>
      <c r="C242" s="341" t="s">
        <v>574</v>
      </c>
      <c r="D242" s="340" t="s">
        <v>1536</v>
      </c>
      <c r="E242" s="341"/>
      <c r="F242" s="340" t="s">
        <v>1535</v>
      </c>
      <c r="G242" s="340" t="s">
        <v>1534</v>
      </c>
      <c r="H242" s="340">
        <v>2020</v>
      </c>
      <c r="I242" s="340" t="s">
        <v>1533</v>
      </c>
      <c r="J242" s="340" t="s">
        <v>855</v>
      </c>
      <c r="K242" s="340" t="s">
        <v>757</v>
      </c>
      <c r="L242" s="344">
        <v>43724</v>
      </c>
      <c r="M242" s="344">
        <v>43724</v>
      </c>
      <c r="N242" s="340" t="s">
        <v>1532</v>
      </c>
      <c r="O242" s="341">
        <v>1000</v>
      </c>
      <c r="P242" s="341">
        <v>14040</v>
      </c>
      <c r="Q242" s="342">
        <v>185828.24</v>
      </c>
      <c r="R242" s="341">
        <v>14046</v>
      </c>
      <c r="S242" s="342">
        <v>71234.149999999994</v>
      </c>
      <c r="T242" s="342">
        <f t="shared" si="44"/>
        <v>114594.09</v>
      </c>
      <c r="U242" s="343">
        <v>10839.98</v>
      </c>
      <c r="V242" s="341">
        <v>51260</v>
      </c>
      <c r="W242" s="342">
        <v>1548.57</v>
      </c>
      <c r="X242" s="340" t="s">
        <v>574</v>
      </c>
      <c r="Y242" s="340"/>
      <c r="Z242" s="340"/>
      <c r="AA242" s="340">
        <v>993</v>
      </c>
      <c r="AB242" s="340" t="s">
        <v>571</v>
      </c>
      <c r="AC242" s="340" t="s">
        <v>570</v>
      </c>
      <c r="AD242" s="341" t="s">
        <v>569</v>
      </c>
      <c r="AE242" s="340"/>
      <c r="AF242" s="341" t="s">
        <v>568</v>
      </c>
      <c r="AG242" s="340">
        <v>0</v>
      </c>
      <c r="AH242" s="340">
        <v>0</v>
      </c>
      <c r="AI242" s="377"/>
      <c r="AK242" s="493">
        <f t="shared" si="34"/>
        <v>9</v>
      </c>
      <c r="AL242" s="493">
        <f t="shared" si="35"/>
        <v>2019</v>
      </c>
      <c r="AM242" s="493">
        <f t="shared" si="36"/>
        <v>2029</v>
      </c>
      <c r="AN242" s="494">
        <f t="shared" si="37"/>
        <v>2029.75</v>
      </c>
      <c r="AO242" s="505">
        <f t="shared" si="38"/>
        <v>1548.5686666666668</v>
      </c>
      <c r="AP242" s="505">
        <f t="shared" si="39"/>
        <v>18582.824000000001</v>
      </c>
      <c r="AQ242" s="505">
        <f t="shared" si="40"/>
        <v>18582.824000000001</v>
      </c>
      <c r="AR242" s="505">
        <f t="shared" si="41"/>
        <v>54199.903333334718</v>
      </c>
      <c r="AS242" s="505">
        <f t="shared" si="42"/>
        <v>72782.727333334711</v>
      </c>
      <c r="AT242" s="506">
        <f t="shared" si="43"/>
        <v>113045.51266666528</v>
      </c>
    </row>
    <row r="243" spans="1:46">
      <c r="A243" s="341">
        <v>2112</v>
      </c>
      <c r="B243" s="345">
        <v>218617</v>
      </c>
      <c r="C243" s="341" t="s">
        <v>574</v>
      </c>
      <c r="D243" s="340" t="s">
        <v>481</v>
      </c>
      <c r="E243" s="341"/>
      <c r="F243" s="340"/>
      <c r="G243" s="340"/>
      <c r="H243" s="340">
        <v>0</v>
      </c>
      <c r="I243" s="340"/>
      <c r="J243" s="340"/>
      <c r="K243" s="340"/>
      <c r="L243" s="344">
        <v>43708</v>
      </c>
      <c r="M243" s="344">
        <v>43708</v>
      </c>
      <c r="N243" s="340" t="s">
        <v>1531</v>
      </c>
      <c r="O243" s="341">
        <v>300</v>
      </c>
      <c r="P243" s="341">
        <v>14110</v>
      </c>
      <c r="Q243" s="342">
        <v>23188.7</v>
      </c>
      <c r="R243" s="341">
        <v>14116</v>
      </c>
      <c r="S243" s="342">
        <v>23188.7</v>
      </c>
      <c r="T243" s="342">
        <f t="shared" si="44"/>
        <v>0</v>
      </c>
      <c r="U243" s="343">
        <v>0</v>
      </c>
      <c r="V243" s="341">
        <v>70260</v>
      </c>
      <c r="W243" s="342">
        <v>0</v>
      </c>
      <c r="X243" s="340" t="s">
        <v>574</v>
      </c>
      <c r="Y243" s="340"/>
      <c r="Z243" s="340"/>
      <c r="AA243" s="340"/>
      <c r="AB243" s="340" t="s">
        <v>571</v>
      </c>
      <c r="AC243" s="340" t="s">
        <v>570</v>
      </c>
      <c r="AD243" s="341" t="s">
        <v>569</v>
      </c>
      <c r="AE243" s="340"/>
      <c r="AF243" s="341" t="s">
        <v>568</v>
      </c>
      <c r="AG243" s="340">
        <v>0</v>
      </c>
      <c r="AH243" s="340">
        <v>0</v>
      </c>
      <c r="AI243" s="377"/>
      <c r="AK243" s="493">
        <f t="shared" si="34"/>
        <v>8</v>
      </c>
      <c r="AL243" s="493">
        <f t="shared" si="35"/>
        <v>2019</v>
      </c>
      <c r="AM243" s="493">
        <f t="shared" si="36"/>
        <v>2022</v>
      </c>
      <c r="AN243" s="494">
        <f t="shared" si="37"/>
        <v>2022.6666666666667</v>
      </c>
      <c r="AO243" s="505">
        <f t="shared" si="38"/>
        <v>644.13055555555559</v>
      </c>
      <c r="AP243" s="505">
        <f t="shared" si="39"/>
        <v>7729.5666666666675</v>
      </c>
      <c r="AQ243" s="505">
        <f t="shared" si="40"/>
        <v>0</v>
      </c>
      <c r="AR243" s="505">
        <f t="shared" si="41"/>
        <v>23188.7</v>
      </c>
      <c r="AS243" s="505">
        <f t="shared" si="42"/>
        <v>23188.7</v>
      </c>
      <c r="AT243" s="506">
        <f t="shared" si="43"/>
        <v>0</v>
      </c>
    </row>
    <row r="244" spans="1:46">
      <c r="A244" s="341">
        <v>2112</v>
      </c>
      <c r="B244" s="345">
        <v>218616</v>
      </c>
      <c r="C244" s="341" t="s">
        <v>574</v>
      </c>
      <c r="D244" s="340" t="s">
        <v>484</v>
      </c>
      <c r="E244" s="341"/>
      <c r="F244" s="340"/>
      <c r="G244" s="340"/>
      <c r="H244" s="340">
        <v>0</v>
      </c>
      <c r="I244" s="340"/>
      <c r="J244" s="340"/>
      <c r="K244" s="340"/>
      <c r="L244" s="344">
        <v>43708</v>
      </c>
      <c r="M244" s="344">
        <v>43708</v>
      </c>
      <c r="N244" s="340" t="s">
        <v>1530</v>
      </c>
      <c r="O244" s="341">
        <v>1000</v>
      </c>
      <c r="P244" s="341">
        <v>14100</v>
      </c>
      <c r="Q244" s="342">
        <v>19784.97</v>
      </c>
      <c r="R244" s="341">
        <v>14106</v>
      </c>
      <c r="S244" s="342">
        <v>7749.13</v>
      </c>
      <c r="T244" s="342">
        <f t="shared" si="44"/>
        <v>12035.84</v>
      </c>
      <c r="U244" s="343">
        <v>1154.1300000000001</v>
      </c>
      <c r="V244" s="341">
        <v>70260</v>
      </c>
      <c r="W244" s="342">
        <v>164.88</v>
      </c>
      <c r="X244" s="340" t="s">
        <v>574</v>
      </c>
      <c r="Y244" s="340"/>
      <c r="Z244" s="340"/>
      <c r="AA244" s="340"/>
      <c r="AB244" s="340" t="s">
        <v>571</v>
      </c>
      <c r="AC244" s="340" t="s">
        <v>570</v>
      </c>
      <c r="AD244" s="341" t="s">
        <v>569</v>
      </c>
      <c r="AE244" s="340"/>
      <c r="AF244" s="341" t="s">
        <v>568</v>
      </c>
      <c r="AG244" s="340">
        <v>0</v>
      </c>
      <c r="AH244" s="340">
        <v>0</v>
      </c>
      <c r="AI244" s="377"/>
      <c r="AK244" s="493">
        <f t="shared" si="34"/>
        <v>8</v>
      </c>
      <c r="AL244" s="493">
        <f t="shared" si="35"/>
        <v>2019</v>
      </c>
      <c r="AM244" s="493">
        <f t="shared" si="36"/>
        <v>2029</v>
      </c>
      <c r="AN244" s="494">
        <f t="shared" si="37"/>
        <v>2029.6666666666667</v>
      </c>
      <c r="AO244" s="505">
        <f t="shared" si="38"/>
        <v>164.87475000000001</v>
      </c>
      <c r="AP244" s="505">
        <f t="shared" si="39"/>
        <v>1978.4970000000001</v>
      </c>
      <c r="AQ244" s="505">
        <f t="shared" si="40"/>
        <v>1978.4970000000001</v>
      </c>
      <c r="AR244" s="505">
        <f t="shared" si="41"/>
        <v>5935.491</v>
      </c>
      <c r="AS244" s="505">
        <f t="shared" si="42"/>
        <v>7913.9880000000003</v>
      </c>
      <c r="AT244" s="506">
        <f t="shared" si="43"/>
        <v>11870.982</v>
      </c>
    </row>
    <row r="245" spans="1:46">
      <c r="A245" s="341">
        <v>2112</v>
      </c>
      <c r="B245" s="345">
        <v>218615</v>
      </c>
      <c r="C245" s="341" t="s">
        <v>574</v>
      </c>
      <c r="D245" s="340" t="s">
        <v>482</v>
      </c>
      <c r="E245" s="341"/>
      <c r="F245" s="340"/>
      <c r="G245" s="340"/>
      <c r="H245" s="340">
        <v>0</v>
      </c>
      <c r="I245" s="340"/>
      <c r="J245" s="340"/>
      <c r="K245" s="340"/>
      <c r="L245" s="344">
        <v>43708</v>
      </c>
      <c r="M245" s="344">
        <v>43708</v>
      </c>
      <c r="N245" s="340" t="s">
        <v>1529</v>
      </c>
      <c r="O245" s="341">
        <v>1000</v>
      </c>
      <c r="P245" s="341">
        <v>14090</v>
      </c>
      <c r="Q245" s="342">
        <v>1971280.37</v>
      </c>
      <c r="R245" s="341">
        <v>14096</v>
      </c>
      <c r="S245" s="342">
        <v>772084.83</v>
      </c>
      <c r="T245" s="342">
        <f t="shared" si="44"/>
        <v>1199195.54</v>
      </c>
      <c r="U245" s="343">
        <v>114991.36</v>
      </c>
      <c r="V245" s="341">
        <v>57260</v>
      </c>
      <c r="W245" s="342">
        <v>16427.34</v>
      </c>
      <c r="X245" s="340" t="s">
        <v>574</v>
      </c>
      <c r="Y245" s="340"/>
      <c r="Z245" s="340"/>
      <c r="AA245" s="340"/>
      <c r="AB245" s="340" t="s">
        <v>571</v>
      </c>
      <c r="AC245" s="340" t="s">
        <v>570</v>
      </c>
      <c r="AD245" s="341" t="s">
        <v>569</v>
      </c>
      <c r="AE245" s="340"/>
      <c r="AF245" s="341" t="s">
        <v>568</v>
      </c>
      <c r="AG245" s="340">
        <v>0</v>
      </c>
      <c r="AH245" s="340">
        <v>0</v>
      </c>
      <c r="AI245" s="377"/>
      <c r="AK245" s="493">
        <f t="shared" si="34"/>
        <v>8</v>
      </c>
      <c r="AL245" s="493">
        <f t="shared" si="35"/>
        <v>2019</v>
      </c>
      <c r="AM245" s="493">
        <f t="shared" si="36"/>
        <v>2029</v>
      </c>
      <c r="AN245" s="494">
        <f t="shared" si="37"/>
        <v>2029.6666666666667</v>
      </c>
      <c r="AO245" s="505">
        <f t="shared" si="38"/>
        <v>16427.336416666669</v>
      </c>
      <c r="AP245" s="505">
        <f t="shared" si="39"/>
        <v>197128.03700000001</v>
      </c>
      <c r="AQ245" s="505">
        <f t="shared" si="40"/>
        <v>197128.03700000001</v>
      </c>
      <c r="AR245" s="505">
        <f t="shared" si="41"/>
        <v>591384.11100000003</v>
      </c>
      <c r="AS245" s="505">
        <f t="shared" si="42"/>
        <v>788512.14800000004</v>
      </c>
      <c r="AT245" s="506">
        <f t="shared" si="43"/>
        <v>1182768.2220000001</v>
      </c>
    </row>
    <row r="246" spans="1:46">
      <c r="A246" s="341">
        <v>2112</v>
      </c>
      <c r="B246" s="345">
        <v>218614</v>
      </c>
      <c r="C246" s="341" t="s">
        <v>574</v>
      </c>
      <c r="D246" s="340" t="s">
        <v>1528</v>
      </c>
      <c r="E246" s="341"/>
      <c r="F246" s="340"/>
      <c r="G246" s="340"/>
      <c r="H246" s="340">
        <v>0</v>
      </c>
      <c r="I246" s="340"/>
      <c r="J246" s="340"/>
      <c r="K246" s="340"/>
      <c r="L246" s="344">
        <v>43708</v>
      </c>
      <c r="M246" s="344">
        <v>43708</v>
      </c>
      <c r="N246" s="340" t="s">
        <v>1527</v>
      </c>
      <c r="O246" s="341">
        <v>1000</v>
      </c>
      <c r="P246" s="341">
        <v>14090</v>
      </c>
      <c r="Q246" s="342">
        <v>456068.78</v>
      </c>
      <c r="R246" s="341">
        <v>14096</v>
      </c>
      <c r="S246" s="342">
        <v>178626.94</v>
      </c>
      <c r="T246" s="342">
        <f t="shared" si="44"/>
        <v>277441.84000000003</v>
      </c>
      <c r="U246" s="343">
        <v>26604.01</v>
      </c>
      <c r="V246" s="341">
        <v>57260</v>
      </c>
      <c r="W246" s="342">
        <v>3800.57</v>
      </c>
      <c r="X246" s="340" t="s">
        <v>574</v>
      </c>
      <c r="Y246" s="340"/>
      <c r="Z246" s="340"/>
      <c r="AA246" s="340"/>
      <c r="AB246" s="340" t="s">
        <v>571</v>
      </c>
      <c r="AC246" s="340" t="s">
        <v>570</v>
      </c>
      <c r="AD246" s="341" t="s">
        <v>569</v>
      </c>
      <c r="AE246" s="340"/>
      <c r="AF246" s="341" t="s">
        <v>568</v>
      </c>
      <c r="AG246" s="340">
        <v>0</v>
      </c>
      <c r="AH246" s="340">
        <v>0</v>
      </c>
      <c r="AI246" s="377"/>
      <c r="AK246" s="493">
        <f t="shared" si="34"/>
        <v>8</v>
      </c>
      <c r="AL246" s="493">
        <f t="shared" si="35"/>
        <v>2019</v>
      </c>
      <c r="AM246" s="493">
        <f t="shared" si="36"/>
        <v>2029</v>
      </c>
      <c r="AN246" s="494">
        <f t="shared" si="37"/>
        <v>2029.6666666666667</v>
      </c>
      <c r="AO246" s="505">
        <f t="shared" si="38"/>
        <v>3800.573166666667</v>
      </c>
      <c r="AP246" s="505">
        <f t="shared" si="39"/>
        <v>45606.878000000004</v>
      </c>
      <c r="AQ246" s="505">
        <f t="shared" si="40"/>
        <v>45606.878000000004</v>
      </c>
      <c r="AR246" s="505">
        <f t="shared" si="41"/>
        <v>136820.63400000002</v>
      </c>
      <c r="AS246" s="505">
        <f t="shared" si="42"/>
        <v>182427.51200000002</v>
      </c>
      <c r="AT246" s="506">
        <f t="shared" si="43"/>
        <v>273641.26800000004</v>
      </c>
    </row>
    <row r="247" spans="1:46">
      <c r="A247" s="341">
        <v>2112</v>
      </c>
      <c r="B247" s="345">
        <v>217462</v>
      </c>
      <c r="C247" s="341" t="s">
        <v>574</v>
      </c>
      <c r="D247" s="340" t="s">
        <v>1526</v>
      </c>
      <c r="E247" s="341"/>
      <c r="F247" s="340" t="s">
        <v>1525</v>
      </c>
      <c r="G247" s="340" t="s">
        <v>1524</v>
      </c>
      <c r="H247" s="340">
        <v>2019</v>
      </c>
      <c r="I247" s="340" t="s">
        <v>998</v>
      </c>
      <c r="J247" s="340" t="s">
        <v>1371</v>
      </c>
      <c r="K247" s="340" t="s">
        <v>699</v>
      </c>
      <c r="L247" s="344">
        <v>43646</v>
      </c>
      <c r="M247" s="344">
        <v>43646</v>
      </c>
      <c r="N247" s="340" t="s">
        <v>1523</v>
      </c>
      <c r="O247" s="341">
        <v>1000</v>
      </c>
      <c r="P247" s="341">
        <v>14040</v>
      </c>
      <c r="Q247" s="342">
        <v>245096.07</v>
      </c>
      <c r="R247" s="341">
        <v>14046</v>
      </c>
      <c r="S247" s="342">
        <v>100080.9</v>
      </c>
      <c r="T247" s="342">
        <f t="shared" si="44"/>
        <v>145015.17000000001</v>
      </c>
      <c r="U247" s="343">
        <v>14297.27</v>
      </c>
      <c r="V247" s="341">
        <v>51260</v>
      </c>
      <c r="W247" s="342">
        <v>2042.46</v>
      </c>
      <c r="X247" s="340" t="s">
        <v>574</v>
      </c>
      <c r="Y247" s="340"/>
      <c r="Z247" s="340"/>
      <c r="AA247" s="340">
        <v>445</v>
      </c>
      <c r="AB247" s="340" t="s">
        <v>571</v>
      </c>
      <c r="AC247" s="340" t="s">
        <v>570</v>
      </c>
      <c r="AD247" s="341" t="s">
        <v>569</v>
      </c>
      <c r="AE247" s="340"/>
      <c r="AF247" s="341" t="s">
        <v>568</v>
      </c>
      <c r="AG247" s="340">
        <v>0</v>
      </c>
      <c r="AH247" s="340">
        <v>0</v>
      </c>
      <c r="AI247" s="377"/>
      <c r="AK247" s="493">
        <f t="shared" si="34"/>
        <v>6</v>
      </c>
      <c r="AL247" s="493">
        <f t="shared" si="35"/>
        <v>2019</v>
      </c>
      <c r="AM247" s="493">
        <f t="shared" si="36"/>
        <v>2029</v>
      </c>
      <c r="AN247" s="494">
        <f t="shared" si="37"/>
        <v>2029.5</v>
      </c>
      <c r="AO247" s="505">
        <f t="shared" si="38"/>
        <v>2042.4672499999999</v>
      </c>
      <c r="AP247" s="505">
        <f t="shared" si="39"/>
        <v>24509.607</v>
      </c>
      <c r="AQ247" s="505">
        <f t="shared" si="40"/>
        <v>24509.607</v>
      </c>
      <c r="AR247" s="505">
        <f t="shared" si="41"/>
        <v>77613.755500001862</v>
      </c>
      <c r="AS247" s="505">
        <f t="shared" si="42"/>
        <v>102123.36250000187</v>
      </c>
      <c r="AT247" s="506">
        <f t="shared" si="43"/>
        <v>142972.70749999816</v>
      </c>
    </row>
    <row r="248" spans="1:46">
      <c r="A248" s="341">
        <v>2112</v>
      </c>
      <c r="B248" s="345">
        <v>216316</v>
      </c>
      <c r="C248" s="341" t="s">
        <v>574</v>
      </c>
      <c r="D248" s="340" t="s">
        <v>1522</v>
      </c>
      <c r="E248" s="341">
        <v>4</v>
      </c>
      <c r="F248" s="340"/>
      <c r="G248" s="340"/>
      <c r="H248" s="340">
        <v>0</v>
      </c>
      <c r="I248" s="340" t="s">
        <v>1497</v>
      </c>
      <c r="J248" s="340"/>
      <c r="K248" s="340" t="s">
        <v>722</v>
      </c>
      <c r="L248" s="344">
        <v>43630</v>
      </c>
      <c r="M248" s="344">
        <v>43630</v>
      </c>
      <c r="N248" s="340" t="s">
        <v>1521</v>
      </c>
      <c r="O248" s="341">
        <v>1200</v>
      </c>
      <c r="P248" s="341">
        <v>14050</v>
      </c>
      <c r="Q248" s="342">
        <v>30976</v>
      </c>
      <c r="R248" s="341">
        <v>14056</v>
      </c>
      <c r="S248" s="342">
        <v>10755.55</v>
      </c>
      <c r="T248" s="342">
        <f t="shared" si="44"/>
        <v>20220.45</v>
      </c>
      <c r="U248" s="343">
        <v>1505.78</v>
      </c>
      <c r="V248" s="341">
        <v>54260</v>
      </c>
      <c r="W248" s="342">
        <v>215.11</v>
      </c>
      <c r="X248" s="340" t="s">
        <v>574</v>
      </c>
      <c r="Y248" s="340"/>
      <c r="Z248" s="340" t="s">
        <v>1518</v>
      </c>
      <c r="AA248" s="340"/>
      <c r="AB248" s="340" t="s">
        <v>571</v>
      </c>
      <c r="AC248" s="340" t="s">
        <v>570</v>
      </c>
      <c r="AD248" s="341" t="s">
        <v>569</v>
      </c>
      <c r="AE248" s="340"/>
      <c r="AF248" s="341" t="s">
        <v>568</v>
      </c>
      <c r="AG248" s="340">
        <v>0</v>
      </c>
      <c r="AH248" s="340">
        <v>0</v>
      </c>
      <c r="AI248" s="377"/>
      <c r="AK248" s="493">
        <f t="shared" si="34"/>
        <v>6</v>
      </c>
      <c r="AL248" s="493">
        <f t="shared" si="35"/>
        <v>2019</v>
      </c>
      <c r="AM248" s="493">
        <f t="shared" si="36"/>
        <v>2031</v>
      </c>
      <c r="AN248" s="494">
        <f t="shared" si="37"/>
        <v>2031.5</v>
      </c>
      <c r="AO248" s="505">
        <f t="shared" si="38"/>
        <v>215.11111111111111</v>
      </c>
      <c r="AP248" s="505">
        <f t="shared" si="39"/>
        <v>2581.3333333333335</v>
      </c>
      <c r="AQ248" s="505">
        <f t="shared" si="40"/>
        <v>2581.3333333333335</v>
      </c>
      <c r="AR248" s="505">
        <f t="shared" si="41"/>
        <v>8174.2222222224191</v>
      </c>
      <c r="AS248" s="505">
        <f t="shared" si="42"/>
        <v>10755.555555555753</v>
      </c>
      <c r="AT248" s="506">
        <f t="shared" si="43"/>
        <v>20220.444444444249</v>
      </c>
    </row>
    <row r="249" spans="1:46">
      <c r="A249" s="341">
        <v>2112</v>
      </c>
      <c r="B249" s="345">
        <v>216315</v>
      </c>
      <c r="C249" s="341" t="s">
        <v>574</v>
      </c>
      <c r="D249" s="340" t="s">
        <v>1520</v>
      </c>
      <c r="E249" s="341">
        <v>4</v>
      </c>
      <c r="F249" s="340"/>
      <c r="G249" s="340"/>
      <c r="H249" s="340">
        <v>0</v>
      </c>
      <c r="I249" s="340" t="s">
        <v>1497</v>
      </c>
      <c r="J249" s="340"/>
      <c r="K249" s="340" t="s">
        <v>575</v>
      </c>
      <c r="L249" s="344">
        <v>43630</v>
      </c>
      <c r="M249" s="344">
        <v>43630</v>
      </c>
      <c r="N249" s="340" t="s">
        <v>1519</v>
      </c>
      <c r="O249" s="341">
        <v>1200</v>
      </c>
      <c r="P249" s="341">
        <v>14050</v>
      </c>
      <c r="Q249" s="342">
        <v>27936</v>
      </c>
      <c r="R249" s="341">
        <v>14056</v>
      </c>
      <c r="S249" s="342">
        <v>9700</v>
      </c>
      <c r="T249" s="342">
        <f t="shared" si="44"/>
        <v>18236</v>
      </c>
      <c r="U249" s="343">
        <v>1358</v>
      </c>
      <c r="V249" s="341">
        <v>54260</v>
      </c>
      <c r="W249" s="342">
        <v>194</v>
      </c>
      <c r="X249" s="340" t="s">
        <v>574</v>
      </c>
      <c r="Y249" s="340"/>
      <c r="Z249" s="340" t="s">
        <v>1518</v>
      </c>
      <c r="AA249" s="340"/>
      <c r="AB249" s="340" t="s">
        <v>571</v>
      </c>
      <c r="AC249" s="340" t="s">
        <v>570</v>
      </c>
      <c r="AD249" s="341" t="s">
        <v>569</v>
      </c>
      <c r="AE249" s="340"/>
      <c r="AF249" s="341" t="s">
        <v>568</v>
      </c>
      <c r="AG249" s="340">
        <v>0</v>
      </c>
      <c r="AH249" s="340">
        <v>0</v>
      </c>
      <c r="AI249" s="377"/>
      <c r="AK249" s="493">
        <f t="shared" si="34"/>
        <v>6</v>
      </c>
      <c r="AL249" s="493">
        <f t="shared" si="35"/>
        <v>2019</v>
      </c>
      <c r="AM249" s="493">
        <f t="shared" si="36"/>
        <v>2031</v>
      </c>
      <c r="AN249" s="494">
        <f t="shared" si="37"/>
        <v>2031.5</v>
      </c>
      <c r="AO249" s="505">
        <f t="shared" si="38"/>
        <v>194</v>
      </c>
      <c r="AP249" s="505">
        <f t="shared" si="39"/>
        <v>2328</v>
      </c>
      <c r="AQ249" s="505">
        <f t="shared" si="40"/>
        <v>2328</v>
      </c>
      <c r="AR249" s="505">
        <f t="shared" si="41"/>
        <v>7372.0000000001746</v>
      </c>
      <c r="AS249" s="505">
        <f t="shared" si="42"/>
        <v>9700.0000000001746</v>
      </c>
      <c r="AT249" s="506">
        <f t="shared" si="43"/>
        <v>18235.999999999825</v>
      </c>
    </row>
    <row r="250" spans="1:46">
      <c r="A250" s="341">
        <v>2112</v>
      </c>
      <c r="B250" s="345">
        <v>215133</v>
      </c>
      <c r="C250" s="341" t="s">
        <v>574</v>
      </c>
      <c r="D250" s="340" t="s">
        <v>1517</v>
      </c>
      <c r="E250" s="341">
        <v>980</v>
      </c>
      <c r="F250" s="340"/>
      <c r="G250" s="340"/>
      <c r="H250" s="340">
        <v>0</v>
      </c>
      <c r="I250" s="340" t="s">
        <v>886</v>
      </c>
      <c r="J250" s="340"/>
      <c r="K250" s="340"/>
      <c r="L250" s="344">
        <v>43614</v>
      </c>
      <c r="M250" s="344">
        <v>43614</v>
      </c>
      <c r="N250" s="340" t="s">
        <v>1516</v>
      </c>
      <c r="O250" s="341">
        <v>700</v>
      </c>
      <c r="P250" s="341">
        <v>14050</v>
      </c>
      <c r="Q250" s="342">
        <v>8772.23</v>
      </c>
      <c r="R250" s="341">
        <v>14056</v>
      </c>
      <c r="S250" s="342">
        <v>5221.58</v>
      </c>
      <c r="T250" s="342">
        <f t="shared" si="44"/>
        <v>3550.6499999999996</v>
      </c>
      <c r="U250" s="343">
        <v>731.02</v>
      </c>
      <c r="V250" s="341">
        <v>54260</v>
      </c>
      <c r="W250" s="342">
        <v>104.43</v>
      </c>
      <c r="X250" s="340" t="s">
        <v>574</v>
      </c>
      <c r="Y250" s="340"/>
      <c r="Z250" s="340">
        <v>29776</v>
      </c>
      <c r="AA250" s="340"/>
      <c r="AB250" s="340" t="s">
        <v>571</v>
      </c>
      <c r="AC250" s="340" t="s">
        <v>570</v>
      </c>
      <c r="AD250" s="341" t="s">
        <v>569</v>
      </c>
      <c r="AE250" s="340"/>
      <c r="AF250" s="341" t="s">
        <v>568</v>
      </c>
      <c r="AG250" s="340">
        <v>0</v>
      </c>
      <c r="AH250" s="340">
        <v>0</v>
      </c>
      <c r="AI250" s="377"/>
      <c r="AK250" s="493">
        <f t="shared" si="34"/>
        <v>5</v>
      </c>
      <c r="AL250" s="493">
        <f t="shared" si="35"/>
        <v>2019</v>
      </c>
      <c r="AM250" s="493">
        <f t="shared" si="36"/>
        <v>2026</v>
      </c>
      <c r="AN250" s="494">
        <f t="shared" si="37"/>
        <v>2026.4166666666667</v>
      </c>
      <c r="AO250" s="505">
        <f t="shared" si="38"/>
        <v>104.43130952380953</v>
      </c>
      <c r="AP250" s="505">
        <f t="shared" si="39"/>
        <v>1253.1757142857143</v>
      </c>
      <c r="AQ250" s="505">
        <f t="shared" si="40"/>
        <v>1253.1757142857143</v>
      </c>
      <c r="AR250" s="505">
        <f t="shared" si="41"/>
        <v>4072.8210714285706</v>
      </c>
      <c r="AS250" s="505">
        <f t="shared" si="42"/>
        <v>5325.9967857142847</v>
      </c>
      <c r="AT250" s="506">
        <f t="shared" si="43"/>
        <v>3446.2332142857149</v>
      </c>
    </row>
    <row r="251" spans="1:46">
      <c r="A251" s="341">
        <v>2112</v>
      </c>
      <c r="B251" s="345">
        <v>212890</v>
      </c>
      <c r="C251" s="341" t="s">
        <v>574</v>
      </c>
      <c r="D251" s="340" t="s">
        <v>485</v>
      </c>
      <c r="E251" s="341"/>
      <c r="F251" s="340"/>
      <c r="G251" s="340"/>
      <c r="H251" s="340">
        <v>0</v>
      </c>
      <c r="I251" s="340" t="s">
        <v>831</v>
      </c>
      <c r="J251" s="340"/>
      <c r="K251" s="340"/>
      <c r="L251" s="344">
        <v>43585</v>
      </c>
      <c r="M251" s="344">
        <v>43585</v>
      </c>
      <c r="N251" s="340" t="s">
        <v>1515</v>
      </c>
      <c r="O251" s="341">
        <v>300</v>
      </c>
      <c r="P251" s="341">
        <v>14110</v>
      </c>
      <c r="Q251" s="342">
        <v>1728.93</v>
      </c>
      <c r="R251" s="341">
        <v>14116</v>
      </c>
      <c r="S251" s="342">
        <v>1728.93</v>
      </c>
      <c r="T251" s="342">
        <f t="shared" si="44"/>
        <v>0</v>
      </c>
      <c r="U251" s="343">
        <v>0</v>
      </c>
      <c r="V251" s="341">
        <v>70260</v>
      </c>
      <c r="W251" s="342">
        <v>0</v>
      </c>
      <c r="X251" s="340" t="s">
        <v>574</v>
      </c>
      <c r="Y251" s="340"/>
      <c r="Z251" s="340" t="s">
        <v>1514</v>
      </c>
      <c r="AA251" s="340"/>
      <c r="AB251" s="340" t="s">
        <v>571</v>
      </c>
      <c r="AC251" s="340" t="s">
        <v>570</v>
      </c>
      <c r="AD251" s="341" t="s">
        <v>569</v>
      </c>
      <c r="AE251" s="340"/>
      <c r="AF251" s="341" t="s">
        <v>568</v>
      </c>
      <c r="AG251" s="340">
        <v>0</v>
      </c>
      <c r="AH251" s="340">
        <v>0</v>
      </c>
      <c r="AI251" s="377"/>
      <c r="AK251" s="493">
        <f t="shared" si="34"/>
        <v>4</v>
      </c>
      <c r="AL251" s="493">
        <f t="shared" si="35"/>
        <v>2019</v>
      </c>
      <c r="AM251" s="493">
        <f t="shared" si="36"/>
        <v>2022</v>
      </c>
      <c r="AN251" s="494">
        <f t="shared" si="37"/>
        <v>2022.3333333333333</v>
      </c>
      <c r="AO251" s="505">
        <f t="shared" si="38"/>
        <v>48.025833333333338</v>
      </c>
      <c r="AP251" s="505">
        <f t="shared" si="39"/>
        <v>576.31000000000006</v>
      </c>
      <c r="AQ251" s="505">
        <f t="shared" si="40"/>
        <v>0</v>
      </c>
      <c r="AR251" s="505">
        <f t="shared" si="41"/>
        <v>1728.93</v>
      </c>
      <c r="AS251" s="505">
        <f t="shared" si="42"/>
        <v>1728.93</v>
      </c>
      <c r="AT251" s="506">
        <f t="shared" si="43"/>
        <v>0</v>
      </c>
    </row>
    <row r="252" spans="1:46">
      <c r="A252" s="341">
        <v>2112</v>
      </c>
      <c r="B252" s="345">
        <v>212681</v>
      </c>
      <c r="C252" s="341" t="s">
        <v>574</v>
      </c>
      <c r="D252" s="340" t="s">
        <v>460</v>
      </c>
      <c r="E252" s="341">
        <v>588</v>
      </c>
      <c r="F252" s="340"/>
      <c r="G252" s="340"/>
      <c r="H252" s="340">
        <v>0</v>
      </c>
      <c r="I252" s="340" t="s">
        <v>1512</v>
      </c>
      <c r="J252" s="340"/>
      <c r="K252" s="340"/>
      <c r="L252" s="344">
        <v>43581</v>
      </c>
      <c r="M252" s="344">
        <v>43581</v>
      </c>
      <c r="N252" s="340" t="s">
        <v>1513</v>
      </c>
      <c r="O252" s="341">
        <v>700</v>
      </c>
      <c r="P252" s="341">
        <v>14050</v>
      </c>
      <c r="Q252" s="342">
        <v>24978</v>
      </c>
      <c r="R252" s="341">
        <v>14056</v>
      </c>
      <c r="S252" s="342">
        <v>15165.23</v>
      </c>
      <c r="T252" s="342">
        <f t="shared" si="44"/>
        <v>9812.77</v>
      </c>
      <c r="U252" s="343">
        <v>2081.5</v>
      </c>
      <c r="V252" s="341">
        <v>54260</v>
      </c>
      <c r="W252" s="342">
        <v>297.35000000000002</v>
      </c>
      <c r="X252" s="340" t="s">
        <v>574</v>
      </c>
      <c r="Y252" s="340"/>
      <c r="Z252" s="340">
        <v>65589196</v>
      </c>
      <c r="AA252" s="340"/>
      <c r="AB252" s="340" t="s">
        <v>571</v>
      </c>
      <c r="AC252" s="340" t="s">
        <v>570</v>
      </c>
      <c r="AD252" s="341" t="s">
        <v>569</v>
      </c>
      <c r="AE252" s="340"/>
      <c r="AF252" s="341" t="s">
        <v>568</v>
      </c>
      <c r="AG252" s="340">
        <v>0</v>
      </c>
      <c r="AH252" s="340">
        <v>0</v>
      </c>
      <c r="AI252" s="377"/>
      <c r="AK252" s="493">
        <f t="shared" si="34"/>
        <v>4</v>
      </c>
      <c r="AL252" s="493">
        <f t="shared" si="35"/>
        <v>2019</v>
      </c>
      <c r="AM252" s="493">
        <f t="shared" si="36"/>
        <v>2026</v>
      </c>
      <c r="AN252" s="494">
        <f t="shared" si="37"/>
        <v>2026.3333333333333</v>
      </c>
      <c r="AO252" s="505">
        <f t="shared" si="38"/>
        <v>297.35714285714283</v>
      </c>
      <c r="AP252" s="505">
        <f t="shared" si="39"/>
        <v>3568.2857142857138</v>
      </c>
      <c r="AQ252" s="505">
        <f t="shared" si="40"/>
        <v>3568.2857142857138</v>
      </c>
      <c r="AR252" s="505">
        <f t="shared" si="41"/>
        <v>11894.285714286256</v>
      </c>
      <c r="AS252" s="505">
        <f t="shared" si="42"/>
        <v>15462.57142857197</v>
      </c>
      <c r="AT252" s="506">
        <f t="shared" si="43"/>
        <v>9515.4285714280304</v>
      </c>
    </row>
    <row r="253" spans="1:46">
      <c r="A253" s="341">
        <v>2112</v>
      </c>
      <c r="B253" s="345">
        <v>212680</v>
      </c>
      <c r="C253" s="341" t="s">
        <v>574</v>
      </c>
      <c r="D253" s="340" t="s">
        <v>346</v>
      </c>
      <c r="E253" s="341">
        <v>300</v>
      </c>
      <c r="F253" s="340"/>
      <c r="G253" s="340"/>
      <c r="H253" s="340">
        <v>0</v>
      </c>
      <c r="I253" s="340" t="s">
        <v>1512</v>
      </c>
      <c r="J253" s="340"/>
      <c r="K253" s="340"/>
      <c r="L253" s="344">
        <v>43581</v>
      </c>
      <c r="M253" s="344">
        <v>43581</v>
      </c>
      <c r="N253" s="340" t="s">
        <v>1511</v>
      </c>
      <c r="O253" s="341">
        <v>700</v>
      </c>
      <c r="P253" s="341">
        <v>14050</v>
      </c>
      <c r="Q253" s="342">
        <v>11165.88</v>
      </c>
      <c r="R253" s="341">
        <v>14056</v>
      </c>
      <c r="S253" s="342">
        <v>6779.3</v>
      </c>
      <c r="T253" s="342">
        <f t="shared" si="44"/>
        <v>4386.579999999999</v>
      </c>
      <c r="U253" s="343">
        <v>930.49</v>
      </c>
      <c r="V253" s="341">
        <v>54260</v>
      </c>
      <c r="W253" s="342">
        <v>132.91999999999999</v>
      </c>
      <c r="X253" s="340" t="s">
        <v>574</v>
      </c>
      <c r="Y253" s="340"/>
      <c r="Z253" s="340">
        <v>65589196</v>
      </c>
      <c r="AA253" s="340"/>
      <c r="AB253" s="340" t="s">
        <v>571</v>
      </c>
      <c r="AC253" s="340" t="s">
        <v>570</v>
      </c>
      <c r="AD253" s="341" t="s">
        <v>569</v>
      </c>
      <c r="AE253" s="340"/>
      <c r="AF253" s="341" t="s">
        <v>568</v>
      </c>
      <c r="AG253" s="340">
        <v>0</v>
      </c>
      <c r="AH253" s="340">
        <v>0</v>
      </c>
      <c r="AI253" s="377"/>
      <c r="AK253" s="493">
        <f t="shared" si="34"/>
        <v>4</v>
      </c>
      <c r="AL253" s="493">
        <f t="shared" si="35"/>
        <v>2019</v>
      </c>
      <c r="AM253" s="493">
        <f t="shared" si="36"/>
        <v>2026</v>
      </c>
      <c r="AN253" s="494">
        <f t="shared" si="37"/>
        <v>2026.3333333333333</v>
      </c>
      <c r="AO253" s="505">
        <f t="shared" si="38"/>
        <v>132.92714285714285</v>
      </c>
      <c r="AP253" s="505">
        <f t="shared" si="39"/>
        <v>1595.1257142857144</v>
      </c>
      <c r="AQ253" s="505">
        <f t="shared" si="40"/>
        <v>1595.1257142857144</v>
      </c>
      <c r="AR253" s="505">
        <f t="shared" si="41"/>
        <v>5317.085714285955</v>
      </c>
      <c r="AS253" s="505">
        <f t="shared" si="42"/>
        <v>6912.2114285716689</v>
      </c>
      <c r="AT253" s="506">
        <f t="shared" si="43"/>
        <v>4253.6685714283303</v>
      </c>
    </row>
    <row r="254" spans="1:46">
      <c r="A254" s="341">
        <v>2112</v>
      </c>
      <c r="B254" s="345">
        <v>212679</v>
      </c>
      <c r="C254" s="341" t="s">
        <v>574</v>
      </c>
      <c r="D254" s="340" t="s">
        <v>1510</v>
      </c>
      <c r="E254" s="341">
        <v>7</v>
      </c>
      <c r="F254" s="340"/>
      <c r="G254" s="340"/>
      <c r="H254" s="340">
        <v>0</v>
      </c>
      <c r="I254" s="340" t="s">
        <v>1497</v>
      </c>
      <c r="J254" s="340"/>
      <c r="K254" s="340" t="s">
        <v>673</v>
      </c>
      <c r="L254" s="344">
        <v>43581</v>
      </c>
      <c r="M254" s="344">
        <v>43581</v>
      </c>
      <c r="N254" s="340" t="s">
        <v>1509</v>
      </c>
      <c r="O254" s="341">
        <v>1200</v>
      </c>
      <c r="P254" s="341">
        <v>14050</v>
      </c>
      <c r="Q254" s="342">
        <v>6443.18</v>
      </c>
      <c r="R254" s="341">
        <v>14056</v>
      </c>
      <c r="S254" s="342">
        <v>2281.92</v>
      </c>
      <c r="T254" s="342">
        <f t="shared" si="44"/>
        <v>4161.26</v>
      </c>
      <c r="U254" s="343">
        <v>313.20999999999998</v>
      </c>
      <c r="V254" s="341">
        <v>54260</v>
      </c>
      <c r="W254" s="342">
        <v>44.74</v>
      </c>
      <c r="X254" s="340" t="s">
        <v>574</v>
      </c>
      <c r="Y254" s="340"/>
      <c r="Z254" s="340" t="s">
        <v>1495</v>
      </c>
      <c r="AA254" s="340"/>
      <c r="AB254" s="340" t="s">
        <v>571</v>
      </c>
      <c r="AC254" s="340" t="s">
        <v>570</v>
      </c>
      <c r="AD254" s="341" t="s">
        <v>569</v>
      </c>
      <c r="AE254" s="340"/>
      <c r="AF254" s="341" t="s">
        <v>568</v>
      </c>
      <c r="AG254" s="340">
        <v>0</v>
      </c>
      <c r="AH254" s="340">
        <v>0</v>
      </c>
      <c r="AI254" s="377"/>
      <c r="AK254" s="493">
        <f t="shared" si="34"/>
        <v>4</v>
      </c>
      <c r="AL254" s="493">
        <f t="shared" si="35"/>
        <v>2019</v>
      </c>
      <c r="AM254" s="493">
        <f t="shared" si="36"/>
        <v>2031</v>
      </c>
      <c r="AN254" s="494">
        <f t="shared" si="37"/>
        <v>2031.3333333333333</v>
      </c>
      <c r="AO254" s="505">
        <f t="shared" si="38"/>
        <v>44.744305555555563</v>
      </c>
      <c r="AP254" s="505">
        <f t="shared" si="39"/>
        <v>536.93166666666673</v>
      </c>
      <c r="AQ254" s="505">
        <f t="shared" si="40"/>
        <v>536.93166666666673</v>
      </c>
      <c r="AR254" s="505">
        <f t="shared" si="41"/>
        <v>1789.7722222223028</v>
      </c>
      <c r="AS254" s="505">
        <f t="shared" si="42"/>
        <v>2326.7038888889697</v>
      </c>
      <c r="AT254" s="506">
        <f t="shared" si="43"/>
        <v>4116.4761111110311</v>
      </c>
    </row>
    <row r="255" spans="1:46">
      <c r="A255" s="341">
        <v>2112</v>
      </c>
      <c r="B255" s="345">
        <v>212678</v>
      </c>
      <c r="C255" s="341" t="s">
        <v>574</v>
      </c>
      <c r="D255" s="340" t="s">
        <v>1508</v>
      </c>
      <c r="E255" s="341">
        <v>15</v>
      </c>
      <c r="F255" s="340"/>
      <c r="G255" s="340"/>
      <c r="H255" s="340">
        <v>0</v>
      </c>
      <c r="I255" s="340" t="s">
        <v>1497</v>
      </c>
      <c r="J255" s="340"/>
      <c r="K255" s="340" t="s">
        <v>782</v>
      </c>
      <c r="L255" s="344">
        <v>43581</v>
      </c>
      <c r="M255" s="344">
        <v>43581</v>
      </c>
      <c r="N255" s="340" t="s">
        <v>1507</v>
      </c>
      <c r="O255" s="341">
        <v>1200</v>
      </c>
      <c r="P255" s="341">
        <v>14050</v>
      </c>
      <c r="Q255" s="342">
        <v>11041.43</v>
      </c>
      <c r="R255" s="341">
        <v>14056</v>
      </c>
      <c r="S255" s="342">
        <v>3910.51</v>
      </c>
      <c r="T255" s="342">
        <f t="shared" si="44"/>
        <v>7130.92</v>
      </c>
      <c r="U255" s="343">
        <v>536.74</v>
      </c>
      <c r="V255" s="341">
        <v>54260</v>
      </c>
      <c r="W255" s="342">
        <v>76.680000000000007</v>
      </c>
      <c r="X255" s="340" t="s">
        <v>574</v>
      </c>
      <c r="Y255" s="340"/>
      <c r="Z255" s="340" t="s">
        <v>1495</v>
      </c>
      <c r="AA255" s="340"/>
      <c r="AB255" s="340" t="s">
        <v>571</v>
      </c>
      <c r="AC255" s="340" t="s">
        <v>570</v>
      </c>
      <c r="AD255" s="341" t="s">
        <v>569</v>
      </c>
      <c r="AE255" s="340"/>
      <c r="AF255" s="341" t="s">
        <v>568</v>
      </c>
      <c r="AG255" s="340">
        <v>0</v>
      </c>
      <c r="AH255" s="340">
        <v>0</v>
      </c>
      <c r="AI255" s="377"/>
      <c r="AK255" s="493">
        <f t="shared" si="34"/>
        <v>4</v>
      </c>
      <c r="AL255" s="493">
        <f t="shared" si="35"/>
        <v>2019</v>
      </c>
      <c r="AM255" s="493">
        <f t="shared" si="36"/>
        <v>2031</v>
      </c>
      <c r="AN255" s="494">
        <f t="shared" si="37"/>
        <v>2031.3333333333333</v>
      </c>
      <c r="AO255" s="505">
        <f t="shared" si="38"/>
        <v>76.676597222222227</v>
      </c>
      <c r="AP255" s="505">
        <f t="shared" si="39"/>
        <v>920.11916666666673</v>
      </c>
      <c r="AQ255" s="505">
        <f t="shared" si="40"/>
        <v>920.11916666666673</v>
      </c>
      <c r="AR255" s="505">
        <f t="shared" si="41"/>
        <v>3067.063888889028</v>
      </c>
      <c r="AS255" s="505">
        <f t="shared" si="42"/>
        <v>3987.1830555556949</v>
      </c>
      <c r="AT255" s="506">
        <f t="shared" si="43"/>
        <v>7054.246944444305</v>
      </c>
    </row>
    <row r="256" spans="1:46">
      <c r="A256" s="341">
        <v>2112</v>
      </c>
      <c r="B256" s="345">
        <v>212677</v>
      </c>
      <c r="C256" s="341" t="s">
        <v>574</v>
      </c>
      <c r="D256" s="340" t="s">
        <v>1506</v>
      </c>
      <c r="E256" s="341">
        <v>15</v>
      </c>
      <c r="F256" s="340"/>
      <c r="G256" s="340"/>
      <c r="H256" s="340">
        <v>0</v>
      </c>
      <c r="I256" s="340" t="s">
        <v>1497</v>
      </c>
      <c r="J256" s="340"/>
      <c r="K256" s="340" t="s">
        <v>636</v>
      </c>
      <c r="L256" s="344">
        <v>43581</v>
      </c>
      <c r="M256" s="344">
        <v>43581</v>
      </c>
      <c r="N256" s="340" t="s">
        <v>1505</v>
      </c>
      <c r="O256" s="341">
        <v>1200</v>
      </c>
      <c r="P256" s="341">
        <v>14050</v>
      </c>
      <c r="Q256" s="342">
        <v>10162.58</v>
      </c>
      <c r="R256" s="341">
        <v>14056</v>
      </c>
      <c r="S256" s="342">
        <v>3599.24</v>
      </c>
      <c r="T256" s="342">
        <f t="shared" si="44"/>
        <v>6563.34</v>
      </c>
      <c r="U256" s="343">
        <v>494.01</v>
      </c>
      <c r="V256" s="341">
        <v>54260</v>
      </c>
      <c r="W256" s="342">
        <v>70.569999999999993</v>
      </c>
      <c r="X256" s="340" t="s">
        <v>574</v>
      </c>
      <c r="Y256" s="340"/>
      <c r="Z256" s="340" t="s">
        <v>1495</v>
      </c>
      <c r="AA256" s="340"/>
      <c r="AB256" s="340" t="s">
        <v>571</v>
      </c>
      <c r="AC256" s="340" t="s">
        <v>570</v>
      </c>
      <c r="AD256" s="341" t="s">
        <v>569</v>
      </c>
      <c r="AE256" s="340"/>
      <c r="AF256" s="341" t="s">
        <v>568</v>
      </c>
      <c r="AG256" s="340">
        <v>0</v>
      </c>
      <c r="AH256" s="340">
        <v>0</v>
      </c>
      <c r="AI256" s="377"/>
      <c r="AK256" s="493">
        <f t="shared" si="34"/>
        <v>4</v>
      </c>
      <c r="AL256" s="493">
        <f t="shared" si="35"/>
        <v>2019</v>
      </c>
      <c r="AM256" s="493">
        <f t="shared" si="36"/>
        <v>2031</v>
      </c>
      <c r="AN256" s="494">
        <f t="shared" si="37"/>
        <v>2031.3333333333333</v>
      </c>
      <c r="AO256" s="505">
        <f t="shared" si="38"/>
        <v>70.573472222222222</v>
      </c>
      <c r="AP256" s="505">
        <f t="shared" si="39"/>
        <v>846.88166666666666</v>
      </c>
      <c r="AQ256" s="505">
        <f t="shared" si="40"/>
        <v>846.88166666666666</v>
      </c>
      <c r="AR256" s="505">
        <f t="shared" si="41"/>
        <v>2822.9388888890171</v>
      </c>
      <c r="AS256" s="505">
        <f t="shared" si="42"/>
        <v>3669.8205555556838</v>
      </c>
      <c r="AT256" s="506">
        <f t="shared" si="43"/>
        <v>6492.7594444443166</v>
      </c>
    </row>
    <row r="257" spans="1:46">
      <c r="A257" s="341">
        <v>2112</v>
      </c>
      <c r="B257" s="345">
        <v>212676</v>
      </c>
      <c r="C257" s="341" t="s">
        <v>574</v>
      </c>
      <c r="D257" s="340" t="s">
        <v>1504</v>
      </c>
      <c r="E257" s="341">
        <v>15</v>
      </c>
      <c r="F257" s="340"/>
      <c r="G257" s="340"/>
      <c r="H257" s="340">
        <v>0</v>
      </c>
      <c r="I257" s="340" t="s">
        <v>1497</v>
      </c>
      <c r="J257" s="340"/>
      <c r="K257" s="340" t="s">
        <v>671</v>
      </c>
      <c r="L257" s="344">
        <v>43581</v>
      </c>
      <c r="M257" s="344">
        <v>43581</v>
      </c>
      <c r="N257" s="340" t="s">
        <v>1503</v>
      </c>
      <c r="O257" s="341">
        <v>1200</v>
      </c>
      <c r="P257" s="341">
        <v>14050</v>
      </c>
      <c r="Q257" s="342">
        <v>9153.5300000000007</v>
      </c>
      <c r="R257" s="341">
        <v>14056</v>
      </c>
      <c r="S257" s="342">
        <v>3241.9</v>
      </c>
      <c r="T257" s="342">
        <f t="shared" si="44"/>
        <v>5911.630000000001</v>
      </c>
      <c r="U257" s="343">
        <v>444.97</v>
      </c>
      <c r="V257" s="341">
        <v>54260</v>
      </c>
      <c r="W257" s="342">
        <v>63.57</v>
      </c>
      <c r="X257" s="340" t="s">
        <v>574</v>
      </c>
      <c r="Y257" s="340"/>
      <c r="Z257" s="340" t="s">
        <v>1495</v>
      </c>
      <c r="AA257" s="340"/>
      <c r="AB257" s="340" t="s">
        <v>571</v>
      </c>
      <c r="AC257" s="340" t="s">
        <v>570</v>
      </c>
      <c r="AD257" s="341" t="s">
        <v>569</v>
      </c>
      <c r="AE257" s="340"/>
      <c r="AF257" s="341" t="s">
        <v>568</v>
      </c>
      <c r="AG257" s="340">
        <v>0</v>
      </c>
      <c r="AH257" s="340">
        <v>0</v>
      </c>
      <c r="AI257" s="377"/>
      <c r="AK257" s="493">
        <f t="shared" si="34"/>
        <v>4</v>
      </c>
      <c r="AL257" s="493">
        <f t="shared" si="35"/>
        <v>2019</v>
      </c>
      <c r="AM257" s="493">
        <f t="shared" si="36"/>
        <v>2031</v>
      </c>
      <c r="AN257" s="494">
        <f t="shared" si="37"/>
        <v>2031.3333333333333</v>
      </c>
      <c r="AO257" s="505">
        <f t="shared" si="38"/>
        <v>63.566180555555555</v>
      </c>
      <c r="AP257" s="505">
        <f t="shared" si="39"/>
        <v>762.79416666666668</v>
      </c>
      <c r="AQ257" s="505">
        <f t="shared" si="40"/>
        <v>762.79416666666668</v>
      </c>
      <c r="AR257" s="505">
        <f t="shared" si="41"/>
        <v>2542.6472222223383</v>
      </c>
      <c r="AS257" s="505">
        <f t="shared" si="42"/>
        <v>3305.4413888890049</v>
      </c>
      <c r="AT257" s="506">
        <f t="shared" si="43"/>
        <v>5848.0886111109958</v>
      </c>
    </row>
    <row r="258" spans="1:46">
      <c r="A258" s="341">
        <v>2112</v>
      </c>
      <c r="B258" s="345">
        <v>212675</v>
      </c>
      <c r="C258" s="341" t="s">
        <v>574</v>
      </c>
      <c r="D258" s="340" t="s">
        <v>1502</v>
      </c>
      <c r="E258" s="341">
        <v>12</v>
      </c>
      <c r="F258" s="340"/>
      <c r="G258" s="340"/>
      <c r="H258" s="340">
        <v>0</v>
      </c>
      <c r="I258" s="340" t="s">
        <v>1497</v>
      </c>
      <c r="J258" s="340"/>
      <c r="K258" s="340" t="s">
        <v>578</v>
      </c>
      <c r="L258" s="344">
        <v>43581</v>
      </c>
      <c r="M258" s="344">
        <v>43581</v>
      </c>
      <c r="N258" s="340" t="s">
        <v>1501</v>
      </c>
      <c r="O258" s="341">
        <v>1200</v>
      </c>
      <c r="P258" s="341">
        <v>14050</v>
      </c>
      <c r="Q258" s="342">
        <v>6305.4</v>
      </c>
      <c r="R258" s="341">
        <v>14056</v>
      </c>
      <c r="S258" s="342">
        <v>2233.16</v>
      </c>
      <c r="T258" s="342">
        <f t="shared" si="44"/>
        <v>4072.24</v>
      </c>
      <c r="U258" s="343">
        <v>306.51</v>
      </c>
      <c r="V258" s="341">
        <v>54260</v>
      </c>
      <c r="W258" s="342">
        <v>43.78</v>
      </c>
      <c r="X258" s="340" t="s">
        <v>574</v>
      </c>
      <c r="Y258" s="340"/>
      <c r="Z258" s="340" t="s">
        <v>1495</v>
      </c>
      <c r="AA258" s="340"/>
      <c r="AB258" s="340" t="s">
        <v>571</v>
      </c>
      <c r="AC258" s="340" t="s">
        <v>570</v>
      </c>
      <c r="AD258" s="341" t="s">
        <v>569</v>
      </c>
      <c r="AE258" s="340"/>
      <c r="AF258" s="341" t="s">
        <v>568</v>
      </c>
      <c r="AG258" s="340">
        <v>0</v>
      </c>
      <c r="AH258" s="340">
        <v>0</v>
      </c>
      <c r="AI258" s="377"/>
      <c r="AK258" s="493">
        <f t="shared" si="34"/>
        <v>4</v>
      </c>
      <c r="AL258" s="493">
        <f t="shared" si="35"/>
        <v>2019</v>
      </c>
      <c r="AM258" s="493">
        <f t="shared" si="36"/>
        <v>2031</v>
      </c>
      <c r="AN258" s="494">
        <f t="shared" si="37"/>
        <v>2031.3333333333333</v>
      </c>
      <c r="AO258" s="505">
        <f t="shared" si="38"/>
        <v>43.787499999999994</v>
      </c>
      <c r="AP258" s="505">
        <f t="shared" si="39"/>
        <v>525.44999999999993</v>
      </c>
      <c r="AQ258" s="505">
        <f t="shared" si="40"/>
        <v>525.44999999999993</v>
      </c>
      <c r="AR258" s="505">
        <f t="shared" si="41"/>
        <v>1751.50000000008</v>
      </c>
      <c r="AS258" s="505">
        <f t="shared" si="42"/>
        <v>2276.9500000000799</v>
      </c>
      <c r="AT258" s="506">
        <f t="shared" si="43"/>
        <v>4028.4499999999198</v>
      </c>
    </row>
    <row r="259" spans="1:46">
      <c r="A259" s="341">
        <v>2112</v>
      </c>
      <c r="B259" s="345">
        <v>212674</v>
      </c>
      <c r="C259" s="341" t="s">
        <v>574</v>
      </c>
      <c r="D259" s="340" t="s">
        <v>1500</v>
      </c>
      <c r="E259" s="341">
        <v>10</v>
      </c>
      <c r="F259" s="340"/>
      <c r="G259" s="340"/>
      <c r="H259" s="340">
        <v>0</v>
      </c>
      <c r="I259" s="340" t="s">
        <v>1497</v>
      </c>
      <c r="J259" s="340"/>
      <c r="K259" s="340" t="s">
        <v>671</v>
      </c>
      <c r="L259" s="344">
        <v>43581</v>
      </c>
      <c r="M259" s="344">
        <v>43581</v>
      </c>
      <c r="N259" s="340" t="s">
        <v>1499</v>
      </c>
      <c r="O259" s="341">
        <v>1200</v>
      </c>
      <c r="P259" s="341">
        <v>14050</v>
      </c>
      <c r="Q259" s="342">
        <v>6348.8</v>
      </c>
      <c r="R259" s="341">
        <v>14056</v>
      </c>
      <c r="S259" s="342">
        <v>2248.54</v>
      </c>
      <c r="T259" s="342">
        <f t="shared" si="44"/>
        <v>4100.26</v>
      </c>
      <c r="U259" s="343">
        <v>308.62</v>
      </c>
      <c r="V259" s="341">
        <v>54260</v>
      </c>
      <c r="W259" s="342">
        <v>44.08</v>
      </c>
      <c r="X259" s="340" t="s">
        <v>574</v>
      </c>
      <c r="Y259" s="340"/>
      <c r="Z259" s="340" t="s">
        <v>1495</v>
      </c>
      <c r="AA259" s="340"/>
      <c r="AB259" s="340" t="s">
        <v>571</v>
      </c>
      <c r="AC259" s="340" t="s">
        <v>570</v>
      </c>
      <c r="AD259" s="341" t="s">
        <v>569</v>
      </c>
      <c r="AE259" s="340"/>
      <c r="AF259" s="341" t="s">
        <v>568</v>
      </c>
      <c r="AG259" s="340">
        <v>0</v>
      </c>
      <c r="AH259" s="340">
        <v>0</v>
      </c>
      <c r="AI259" s="377"/>
      <c r="AK259" s="493">
        <f t="shared" si="34"/>
        <v>4</v>
      </c>
      <c r="AL259" s="493">
        <f t="shared" si="35"/>
        <v>2019</v>
      </c>
      <c r="AM259" s="493">
        <f t="shared" si="36"/>
        <v>2031</v>
      </c>
      <c r="AN259" s="494">
        <f t="shared" si="37"/>
        <v>2031.3333333333333</v>
      </c>
      <c r="AO259" s="505">
        <f t="shared" si="38"/>
        <v>44.088888888888896</v>
      </c>
      <c r="AP259" s="505">
        <f t="shared" si="39"/>
        <v>529.06666666666672</v>
      </c>
      <c r="AQ259" s="505">
        <f t="shared" si="40"/>
        <v>529.06666666666672</v>
      </c>
      <c r="AR259" s="505">
        <f t="shared" si="41"/>
        <v>1763.5555555556348</v>
      </c>
      <c r="AS259" s="505">
        <f t="shared" si="42"/>
        <v>2292.6222222223014</v>
      </c>
      <c r="AT259" s="506">
        <f t="shared" si="43"/>
        <v>4056.1777777776988</v>
      </c>
    </row>
    <row r="260" spans="1:46">
      <c r="A260" s="341">
        <v>2112</v>
      </c>
      <c r="B260" s="345">
        <v>212673</v>
      </c>
      <c r="C260" s="341" t="s">
        <v>574</v>
      </c>
      <c r="D260" s="340" t="s">
        <v>1498</v>
      </c>
      <c r="E260" s="341">
        <v>15</v>
      </c>
      <c r="F260" s="340"/>
      <c r="G260" s="340"/>
      <c r="H260" s="340">
        <v>0</v>
      </c>
      <c r="I260" s="340" t="s">
        <v>1497</v>
      </c>
      <c r="J260" s="340"/>
      <c r="K260" s="340" t="s">
        <v>578</v>
      </c>
      <c r="L260" s="344">
        <v>43581</v>
      </c>
      <c r="M260" s="344">
        <v>43581</v>
      </c>
      <c r="N260" s="340" t="s">
        <v>1496</v>
      </c>
      <c r="O260" s="341">
        <v>1200</v>
      </c>
      <c r="P260" s="341">
        <v>14050</v>
      </c>
      <c r="Q260" s="342">
        <v>8030.55</v>
      </c>
      <c r="R260" s="341">
        <v>14056</v>
      </c>
      <c r="S260" s="342">
        <v>2844.14</v>
      </c>
      <c r="T260" s="342">
        <f t="shared" si="44"/>
        <v>5186.41</v>
      </c>
      <c r="U260" s="343">
        <v>390.37</v>
      </c>
      <c r="V260" s="341">
        <v>54260</v>
      </c>
      <c r="W260" s="342">
        <v>55.76</v>
      </c>
      <c r="X260" s="340" t="s">
        <v>574</v>
      </c>
      <c r="Y260" s="340"/>
      <c r="Z260" s="340" t="s">
        <v>1495</v>
      </c>
      <c r="AA260" s="340"/>
      <c r="AB260" s="340" t="s">
        <v>571</v>
      </c>
      <c r="AC260" s="340" t="s">
        <v>570</v>
      </c>
      <c r="AD260" s="341" t="s">
        <v>569</v>
      </c>
      <c r="AE260" s="340"/>
      <c r="AF260" s="341" t="s">
        <v>568</v>
      </c>
      <c r="AG260" s="340">
        <v>0</v>
      </c>
      <c r="AH260" s="340">
        <v>0</v>
      </c>
      <c r="AI260" s="377"/>
      <c r="AK260" s="493">
        <f t="shared" si="34"/>
        <v>4</v>
      </c>
      <c r="AL260" s="493">
        <f t="shared" si="35"/>
        <v>2019</v>
      </c>
      <c r="AM260" s="493">
        <f t="shared" si="36"/>
        <v>2031</v>
      </c>
      <c r="AN260" s="494">
        <f t="shared" si="37"/>
        <v>2031.3333333333333</v>
      </c>
      <c r="AO260" s="505">
        <f t="shared" si="38"/>
        <v>55.767708333333331</v>
      </c>
      <c r="AP260" s="505">
        <f t="shared" si="39"/>
        <v>669.21249999999998</v>
      </c>
      <c r="AQ260" s="505">
        <f t="shared" si="40"/>
        <v>669.21249999999998</v>
      </c>
      <c r="AR260" s="505">
        <f t="shared" si="41"/>
        <v>2230.7083333334349</v>
      </c>
      <c r="AS260" s="505">
        <f t="shared" si="42"/>
        <v>2899.920833333435</v>
      </c>
      <c r="AT260" s="506">
        <f t="shared" si="43"/>
        <v>5130.6291666665657</v>
      </c>
    </row>
    <row r="261" spans="1:46">
      <c r="A261" s="341">
        <v>2112</v>
      </c>
      <c r="B261" s="345">
        <v>210504</v>
      </c>
      <c r="C261" s="341" t="s">
        <v>574</v>
      </c>
      <c r="D261" s="340" t="s">
        <v>1494</v>
      </c>
      <c r="E261" s="341">
        <v>624</v>
      </c>
      <c r="F261" s="340"/>
      <c r="G261" s="340"/>
      <c r="H261" s="340">
        <v>0</v>
      </c>
      <c r="I261" s="340" t="s">
        <v>1493</v>
      </c>
      <c r="J261" s="340"/>
      <c r="K261" s="340"/>
      <c r="L261" s="344">
        <v>43491</v>
      </c>
      <c r="M261" s="344">
        <v>43491</v>
      </c>
      <c r="N261" s="340" t="s">
        <v>1492</v>
      </c>
      <c r="O261" s="341">
        <v>700</v>
      </c>
      <c r="P261" s="341">
        <v>14050</v>
      </c>
      <c r="Q261" s="342">
        <v>31533.31</v>
      </c>
      <c r="R261" s="341">
        <v>14056</v>
      </c>
      <c r="S261" s="342">
        <v>20271.419999999998</v>
      </c>
      <c r="T261" s="342">
        <f t="shared" si="44"/>
        <v>11261.890000000003</v>
      </c>
      <c r="U261" s="343">
        <v>2627.78</v>
      </c>
      <c r="V261" s="341">
        <v>54260</v>
      </c>
      <c r="W261" s="342">
        <v>375.4</v>
      </c>
      <c r="X261" s="340" t="s">
        <v>574</v>
      </c>
      <c r="Y261" s="340"/>
      <c r="Z261" s="340">
        <v>65574898</v>
      </c>
      <c r="AA261" s="340"/>
      <c r="AB261" s="340" t="s">
        <v>571</v>
      </c>
      <c r="AC261" s="340" t="s">
        <v>570</v>
      </c>
      <c r="AD261" s="341" t="s">
        <v>569</v>
      </c>
      <c r="AE261" s="340"/>
      <c r="AF261" s="341" t="s">
        <v>568</v>
      </c>
      <c r="AG261" s="340">
        <v>0</v>
      </c>
      <c r="AH261" s="340">
        <v>0</v>
      </c>
      <c r="AI261" s="377"/>
      <c r="AK261" s="493">
        <f t="shared" si="34"/>
        <v>1</v>
      </c>
      <c r="AL261" s="493">
        <f t="shared" si="35"/>
        <v>2019</v>
      </c>
      <c r="AM261" s="493">
        <f t="shared" si="36"/>
        <v>2026</v>
      </c>
      <c r="AN261" s="494">
        <f t="shared" si="37"/>
        <v>2026.0833333333333</v>
      </c>
      <c r="AO261" s="505">
        <f t="shared" si="38"/>
        <v>375.39654761904762</v>
      </c>
      <c r="AP261" s="505">
        <f t="shared" si="39"/>
        <v>4504.7585714285715</v>
      </c>
      <c r="AQ261" s="505">
        <f t="shared" si="40"/>
        <v>4504.7585714285715</v>
      </c>
      <c r="AR261" s="505">
        <f t="shared" si="41"/>
        <v>16142.051547619732</v>
      </c>
      <c r="AS261" s="505">
        <f t="shared" si="42"/>
        <v>20646.810119048303</v>
      </c>
      <c r="AT261" s="506">
        <f t="shared" si="43"/>
        <v>10886.499880951698</v>
      </c>
    </row>
    <row r="262" spans="1:46">
      <c r="A262" s="341">
        <v>2112</v>
      </c>
      <c r="B262" s="345">
        <v>209508</v>
      </c>
      <c r="C262" s="341" t="s">
        <v>574</v>
      </c>
      <c r="D262" s="340" t="s">
        <v>1491</v>
      </c>
      <c r="E262" s="341"/>
      <c r="F262" s="340"/>
      <c r="G262" s="340"/>
      <c r="H262" s="340">
        <v>0</v>
      </c>
      <c r="I262" s="340"/>
      <c r="J262" s="340"/>
      <c r="K262" s="340"/>
      <c r="L262" s="344">
        <v>43466</v>
      </c>
      <c r="M262" s="344">
        <v>43466</v>
      </c>
      <c r="N262" s="340" t="s">
        <v>1490</v>
      </c>
      <c r="O262" s="341">
        <v>500</v>
      </c>
      <c r="P262" s="341">
        <v>14070</v>
      </c>
      <c r="Q262" s="342">
        <v>10778.78</v>
      </c>
      <c r="R262" s="341">
        <v>14076</v>
      </c>
      <c r="S262" s="342">
        <v>9880.57</v>
      </c>
      <c r="T262" s="342">
        <f t="shared" si="44"/>
        <v>898.21000000000095</v>
      </c>
      <c r="U262" s="343">
        <v>1257.53</v>
      </c>
      <c r="V262" s="341">
        <v>51260</v>
      </c>
      <c r="W262" s="342">
        <v>179.65</v>
      </c>
      <c r="X262" s="340" t="s">
        <v>574</v>
      </c>
      <c r="Y262" s="340"/>
      <c r="Z262" s="340">
        <v>2214</v>
      </c>
      <c r="AA262" s="340"/>
      <c r="AB262" s="340" t="s">
        <v>571</v>
      </c>
      <c r="AC262" s="340" t="s">
        <v>570</v>
      </c>
      <c r="AD262" s="341" t="s">
        <v>569</v>
      </c>
      <c r="AE262" s="340"/>
      <c r="AF262" s="341" t="s">
        <v>568</v>
      </c>
      <c r="AG262" s="340">
        <v>0</v>
      </c>
      <c r="AH262" s="340">
        <v>0</v>
      </c>
      <c r="AI262" s="377"/>
      <c r="AK262" s="493">
        <f t="shared" si="34"/>
        <v>1</v>
      </c>
      <c r="AL262" s="493">
        <f t="shared" si="35"/>
        <v>2019</v>
      </c>
      <c r="AM262" s="493">
        <f t="shared" si="36"/>
        <v>2024</v>
      </c>
      <c r="AN262" s="494">
        <f t="shared" si="37"/>
        <v>2024.0833333333333</v>
      </c>
      <c r="AO262" s="505">
        <f t="shared" si="38"/>
        <v>179.64633333333336</v>
      </c>
      <c r="AP262" s="505">
        <f t="shared" si="39"/>
        <v>2155.7560000000003</v>
      </c>
      <c r="AQ262" s="505">
        <f t="shared" si="40"/>
        <v>2155.7560000000003</v>
      </c>
      <c r="AR262" s="505">
        <f t="shared" si="41"/>
        <v>7724.7923333336603</v>
      </c>
      <c r="AS262" s="505">
        <f t="shared" si="42"/>
        <v>9880.5483333336597</v>
      </c>
      <c r="AT262" s="506">
        <f t="shared" si="43"/>
        <v>898.23166666634097</v>
      </c>
    </row>
    <row r="263" spans="1:46">
      <c r="A263" s="341">
        <v>2112</v>
      </c>
      <c r="B263" s="345">
        <v>209507</v>
      </c>
      <c r="C263" s="341" t="s">
        <v>574</v>
      </c>
      <c r="D263" s="340" t="s">
        <v>479</v>
      </c>
      <c r="E263" s="341"/>
      <c r="F263" s="340"/>
      <c r="G263" s="340"/>
      <c r="H263" s="340">
        <v>0</v>
      </c>
      <c r="I263" s="340"/>
      <c r="J263" s="340"/>
      <c r="K263" s="340"/>
      <c r="L263" s="344">
        <v>43466</v>
      </c>
      <c r="M263" s="344">
        <v>43466</v>
      </c>
      <c r="N263" s="340" t="s">
        <v>1489</v>
      </c>
      <c r="O263" s="341">
        <v>500</v>
      </c>
      <c r="P263" s="341">
        <v>14070</v>
      </c>
      <c r="Q263" s="342">
        <v>16244.62</v>
      </c>
      <c r="R263" s="341">
        <v>14076</v>
      </c>
      <c r="S263" s="342">
        <v>14890.89</v>
      </c>
      <c r="T263" s="342">
        <f t="shared" si="44"/>
        <v>1353.7300000000014</v>
      </c>
      <c r="U263" s="343">
        <v>1895.21</v>
      </c>
      <c r="V263" s="341">
        <v>51260</v>
      </c>
      <c r="W263" s="342">
        <v>270.74</v>
      </c>
      <c r="X263" s="340" t="s">
        <v>574</v>
      </c>
      <c r="Y263" s="340"/>
      <c r="Z263" s="340">
        <v>2214</v>
      </c>
      <c r="AA263" s="340"/>
      <c r="AB263" s="340" t="s">
        <v>571</v>
      </c>
      <c r="AC263" s="340" t="s">
        <v>570</v>
      </c>
      <c r="AD263" s="341" t="s">
        <v>569</v>
      </c>
      <c r="AE263" s="340"/>
      <c r="AF263" s="341" t="s">
        <v>568</v>
      </c>
      <c r="AG263" s="340">
        <v>0</v>
      </c>
      <c r="AH263" s="340">
        <v>0</v>
      </c>
      <c r="AI263" s="377"/>
      <c r="AK263" s="493">
        <f t="shared" si="34"/>
        <v>1</v>
      </c>
      <c r="AL263" s="493">
        <f t="shared" si="35"/>
        <v>2019</v>
      </c>
      <c r="AM263" s="493">
        <f t="shared" si="36"/>
        <v>2024</v>
      </c>
      <c r="AN263" s="494">
        <f t="shared" si="37"/>
        <v>2024.0833333333333</v>
      </c>
      <c r="AO263" s="505">
        <f t="shared" si="38"/>
        <v>270.74366666666668</v>
      </c>
      <c r="AP263" s="505">
        <f t="shared" si="39"/>
        <v>3248.924</v>
      </c>
      <c r="AQ263" s="505">
        <f t="shared" si="40"/>
        <v>3248.924</v>
      </c>
      <c r="AR263" s="505">
        <f t="shared" si="41"/>
        <v>11641.977666667161</v>
      </c>
      <c r="AS263" s="505">
        <f t="shared" si="42"/>
        <v>14890.90166666716</v>
      </c>
      <c r="AT263" s="506">
        <f t="shared" si="43"/>
        <v>1353.7183333328412</v>
      </c>
    </row>
    <row r="264" spans="1:46">
      <c r="A264" s="341">
        <v>2112</v>
      </c>
      <c r="B264" s="345">
        <v>207702</v>
      </c>
      <c r="C264" s="341">
        <v>204184</v>
      </c>
      <c r="D264" s="340" t="s">
        <v>1488</v>
      </c>
      <c r="E264" s="341"/>
      <c r="F264" s="340"/>
      <c r="G264" s="340"/>
      <c r="H264" s="340">
        <v>0</v>
      </c>
      <c r="I264" s="340" t="s">
        <v>1486</v>
      </c>
      <c r="J264" s="340"/>
      <c r="K264" s="340" t="s">
        <v>572</v>
      </c>
      <c r="L264" s="344">
        <v>43389</v>
      </c>
      <c r="M264" s="344">
        <v>43389</v>
      </c>
      <c r="N264" s="340" t="s">
        <v>1468</v>
      </c>
      <c r="O264" s="341">
        <v>1000</v>
      </c>
      <c r="P264" s="341">
        <v>14040</v>
      </c>
      <c r="Q264" s="342">
        <v>973</v>
      </c>
      <c r="R264" s="341">
        <v>14046</v>
      </c>
      <c r="S264" s="342">
        <v>462.18</v>
      </c>
      <c r="T264" s="342">
        <f t="shared" si="44"/>
        <v>510.82</v>
      </c>
      <c r="U264" s="343">
        <v>56.76</v>
      </c>
      <c r="V264" s="341">
        <v>51260</v>
      </c>
      <c r="W264" s="342">
        <v>8.11</v>
      </c>
      <c r="X264" s="340" t="s">
        <v>574</v>
      </c>
      <c r="Y264" s="340"/>
      <c r="Z264" s="340">
        <v>71762</v>
      </c>
      <c r="AA264" s="340"/>
      <c r="AB264" s="340" t="s">
        <v>571</v>
      </c>
      <c r="AC264" s="340" t="s">
        <v>570</v>
      </c>
      <c r="AD264" s="341" t="s">
        <v>569</v>
      </c>
      <c r="AE264" s="340"/>
      <c r="AF264" s="341" t="s">
        <v>568</v>
      </c>
      <c r="AG264" s="340">
        <v>0</v>
      </c>
      <c r="AH264" s="340">
        <v>0</v>
      </c>
      <c r="AI264" s="377"/>
      <c r="AK264" s="493">
        <f t="shared" si="34"/>
        <v>10</v>
      </c>
      <c r="AL264" s="493">
        <f t="shared" si="35"/>
        <v>2018</v>
      </c>
      <c r="AM264" s="493">
        <f t="shared" si="36"/>
        <v>2028</v>
      </c>
      <c r="AN264" s="494">
        <f t="shared" si="37"/>
        <v>2028.8333333333333</v>
      </c>
      <c r="AO264" s="505">
        <f t="shared" si="38"/>
        <v>8.1083333333333325</v>
      </c>
      <c r="AP264" s="505">
        <f t="shared" si="39"/>
        <v>97.299999999999983</v>
      </c>
      <c r="AQ264" s="505">
        <f t="shared" si="40"/>
        <v>97.299999999999983</v>
      </c>
      <c r="AR264" s="505">
        <f t="shared" si="41"/>
        <v>372.98333333334813</v>
      </c>
      <c r="AS264" s="505">
        <f t="shared" si="42"/>
        <v>470.28333333334808</v>
      </c>
      <c r="AT264" s="506">
        <f t="shared" si="43"/>
        <v>502.71666666665192</v>
      </c>
    </row>
    <row r="265" spans="1:46">
      <c r="A265" s="341">
        <v>2112</v>
      </c>
      <c r="B265" s="345">
        <v>207701</v>
      </c>
      <c r="C265" s="341">
        <v>204187</v>
      </c>
      <c r="D265" s="340" t="s">
        <v>1487</v>
      </c>
      <c r="E265" s="341"/>
      <c r="F265" s="340"/>
      <c r="G265" s="340"/>
      <c r="H265" s="340">
        <v>0</v>
      </c>
      <c r="I265" s="340" t="s">
        <v>1486</v>
      </c>
      <c r="J265" s="340"/>
      <c r="K265" s="340" t="s">
        <v>572</v>
      </c>
      <c r="L265" s="344">
        <v>43389</v>
      </c>
      <c r="M265" s="344">
        <v>43389</v>
      </c>
      <c r="N265" s="340" t="s">
        <v>1471</v>
      </c>
      <c r="O265" s="341">
        <v>1000</v>
      </c>
      <c r="P265" s="341">
        <v>14040</v>
      </c>
      <c r="Q265" s="342">
        <v>973</v>
      </c>
      <c r="R265" s="341">
        <v>14046</v>
      </c>
      <c r="S265" s="342">
        <v>462.18</v>
      </c>
      <c r="T265" s="342">
        <f t="shared" si="44"/>
        <v>510.82</v>
      </c>
      <c r="U265" s="343">
        <v>56.76</v>
      </c>
      <c r="V265" s="341">
        <v>51260</v>
      </c>
      <c r="W265" s="342">
        <v>8.11</v>
      </c>
      <c r="X265" s="340" t="s">
        <v>574</v>
      </c>
      <c r="Y265" s="340"/>
      <c r="Z265" s="340">
        <v>71762</v>
      </c>
      <c r="AA265" s="340"/>
      <c r="AB265" s="340" t="s">
        <v>571</v>
      </c>
      <c r="AC265" s="340" t="s">
        <v>570</v>
      </c>
      <c r="AD265" s="341" t="s">
        <v>569</v>
      </c>
      <c r="AE265" s="340"/>
      <c r="AF265" s="341" t="s">
        <v>568</v>
      </c>
      <c r="AG265" s="340">
        <v>0</v>
      </c>
      <c r="AH265" s="340">
        <v>0</v>
      </c>
      <c r="AI265" s="377"/>
      <c r="AK265" s="493">
        <f t="shared" si="34"/>
        <v>10</v>
      </c>
      <c r="AL265" s="493">
        <f t="shared" si="35"/>
        <v>2018</v>
      </c>
      <c r="AM265" s="493">
        <f t="shared" si="36"/>
        <v>2028</v>
      </c>
      <c r="AN265" s="494">
        <f t="shared" si="37"/>
        <v>2028.8333333333333</v>
      </c>
      <c r="AO265" s="505">
        <f t="shared" si="38"/>
        <v>8.1083333333333325</v>
      </c>
      <c r="AP265" s="505">
        <f t="shared" si="39"/>
        <v>97.299999999999983</v>
      </c>
      <c r="AQ265" s="505">
        <f t="shared" si="40"/>
        <v>97.299999999999983</v>
      </c>
      <c r="AR265" s="505">
        <f t="shared" si="41"/>
        <v>372.98333333334813</v>
      </c>
      <c r="AS265" s="505">
        <f t="shared" si="42"/>
        <v>470.28333333334808</v>
      </c>
      <c r="AT265" s="506">
        <f t="shared" si="43"/>
        <v>502.71666666665192</v>
      </c>
    </row>
    <row r="266" spans="1:46">
      <c r="A266" s="341">
        <v>2112</v>
      </c>
      <c r="B266" s="345">
        <v>206228</v>
      </c>
      <c r="C266" s="341" t="s">
        <v>574</v>
      </c>
      <c r="D266" s="340" t="s">
        <v>1485</v>
      </c>
      <c r="E266" s="341"/>
      <c r="F266" s="340"/>
      <c r="G266" s="340"/>
      <c r="H266" s="340">
        <v>0</v>
      </c>
      <c r="I266" s="340" t="s">
        <v>1484</v>
      </c>
      <c r="J266" s="340"/>
      <c r="K266" s="340"/>
      <c r="L266" s="344">
        <v>43434</v>
      </c>
      <c r="M266" s="344">
        <v>43434</v>
      </c>
      <c r="N266" s="340" t="s">
        <v>1483</v>
      </c>
      <c r="O266" s="341">
        <v>500</v>
      </c>
      <c r="P266" s="341">
        <v>14070</v>
      </c>
      <c r="Q266" s="342">
        <v>4068.75</v>
      </c>
      <c r="R266" s="341">
        <v>14076</v>
      </c>
      <c r="S266" s="342">
        <v>3797.5</v>
      </c>
      <c r="T266" s="342">
        <f t="shared" si="44"/>
        <v>271.25</v>
      </c>
      <c r="U266" s="343">
        <v>474.69</v>
      </c>
      <c r="V266" s="341">
        <v>51260</v>
      </c>
      <c r="W266" s="342">
        <v>67.81</v>
      </c>
      <c r="X266" s="340" t="s">
        <v>574</v>
      </c>
      <c r="Y266" s="340"/>
      <c r="Z266" s="340" t="s">
        <v>1482</v>
      </c>
      <c r="AA266" s="340"/>
      <c r="AB266" s="340" t="s">
        <v>571</v>
      </c>
      <c r="AC266" s="340" t="s">
        <v>570</v>
      </c>
      <c r="AD266" s="341" t="s">
        <v>569</v>
      </c>
      <c r="AE266" s="340"/>
      <c r="AF266" s="341" t="s">
        <v>568</v>
      </c>
      <c r="AG266" s="340">
        <v>0</v>
      </c>
      <c r="AH266" s="340">
        <v>0</v>
      </c>
      <c r="AI266" s="377"/>
      <c r="AK266" s="493">
        <f t="shared" si="34"/>
        <v>11</v>
      </c>
      <c r="AL266" s="493">
        <f t="shared" si="35"/>
        <v>2018</v>
      </c>
      <c r="AM266" s="493">
        <f t="shared" si="36"/>
        <v>2023</v>
      </c>
      <c r="AN266" s="494">
        <f t="shared" si="37"/>
        <v>2023.9166666666667</v>
      </c>
      <c r="AO266" s="505">
        <f t="shared" si="38"/>
        <v>67.8125</v>
      </c>
      <c r="AP266" s="505">
        <f t="shared" si="39"/>
        <v>813.75</v>
      </c>
      <c r="AQ266" s="505">
        <f t="shared" si="40"/>
        <v>813.75</v>
      </c>
      <c r="AR266" s="505">
        <f t="shared" si="41"/>
        <v>3051.5625</v>
      </c>
      <c r="AS266" s="505">
        <f t="shared" si="42"/>
        <v>3865.3125</v>
      </c>
      <c r="AT266" s="506">
        <f t="shared" si="43"/>
        <v>203.4375</v>
      </c>
    </row>
    <row r="267" spans="1:46">
      <c r="A267" s="341">
        <v>2112</v>
      </c>
      <c r="B267" s="345">
        <v>204803</v>
      </c>
      <c r="C267" s="341" t="s">
        <v>574</v>
      </c>
      <c r="D267" s="340" t="s">
        <v>1481</v>
      </c>
      <c r="E267" s="341">
        <v>850</v>
      </c>
      <c r="F267" s="340"/>
      <c r="G267" s="340"/>
      <c r="H267" s="340">
        <v>0</v>
      </c>
      <c r="I267" s="340" t="s">
        <v>886</v>
      </c>
      <c r="J267" s="340"/>
      <c r="K267" s="340"/>
      <c r="L267" s="344">
        <v>43321</v>
      </c>
      <c r="M267" s="344">
        <v>43321</v>
      </c>
      <c r="N267" s="340" t="s">
        <v>1480</v>
      </c>
      <c r="O267" s="341">
        <v>500</v>
      </c>
      <c r="P267" s="341">
        <v>14050</v>
      </c>
      <c r="Q267" s="342">
        <v>7590.12</v>
      </c>
      <c r="R267" s="341">
        <v>14056</v>
      </c>
      <c r="S267" s="342">
        <v>7590.12</v>
      </c>
      <c r="T267" s="342">
        <f t="shared" si="44"/>
        <v>0</v>
      </c>
      <c r="U267" s="343">
        <v>885.53</v>
      </c>
      <c r="V267" s="341">
        <v>54260</v>
      </c>
      <c r="W267" s="342">
        <v>126.51</v>
      </c>
      <c r="X267" s="340" t="s">
        <v>574</v>
      </c>
      <c r="Y267" s="340"/>
      <c r="Z267" s="340">
        <v>28798</v>
      </c>
      <c r="AA267" s="340"/>
      <c r="AB267" s="340" t="s">
        <v>571</v>
      </c>
      <c r="AC267" s="340" t="s">
        <v>570</v>
      </c>
      <c r="AD267" s="341" t="s">
        <v>569</v>
      </c>
      <c r="AE267" s="340"/>
      <c r="AF267" s="341" t="s">
        <v>568</v>
      </c>
      <c r="AG267" s="340">
        <v>0</v>
      </c>
      <c r="AH267" s="340">
        <v>0</v>
      </c>
      <c r="AI267" s="377"/>
      <c r="AK267" s="493">
        <f t="shared" si="34"/>
        <v>8</v>
      </c>
      <c r="AL267" s="493">
        <f t="shared" si="35"/>
        <v>2018</v>
      </c>
      <c r="AM267" s="493">
        <f t="shared" si="36"/>
        <v>2023</v>
      </c>
      <c r="AN267" s="494">
        <f t="shared" si="37"/>
        <v>2023.6666666666667</v>
      </c>
      <c r="AO267" s="505">
        <f t="shared" si="38"/>
        <v>126.502</v>
      </c>
      <c r="AP267" s="505">
        <f t="shared" si="39"/>
        <v>1518.0239999999999</v>
      </c>
      <c r="AQ267" s="505">
        <f t="shared" si="40"/>
        <v>1518.0239999999999</v>
      </c>
      <c r="AR267" s="505">
        <f t="shared" si="41"/>
        <v>6072.0959999999995</v>
      </c>
      <c r="AS267" s="505">
        <f t="shared" si="42"/>
        <v>7590.119999999999</v>
      </c>
      <c r="AT267" s="506">
        <f t="shared" si="43"/>
        <v>0</v>
      </c>
    </row>
    <row r="268" spans="1:46">
      <c r="A268" s="341">
        <v>2112</v>
      </c>
      <c r="B268" s="345">
        <v>204562</v>
      </c>
      <c r="C268" s="341">
        <v>80055</v>
      </c>
      <c r="D268" s="340" t="s">
        <v>1479</v>
      </c>
      <c r="E268" s="341">
        <v>0</v>
      </c>
      <c r="F268" s="340"/>
      <c r="G268" s="340"/>
      <c r="H268" s="340">
        <v>0</v>
      </c>
      <c r="I268" s="340" t="s">
        <v>1478</v>
      </c>
      <c r="J268" s="340"/>
      <c r="K268" s="340" t="s">
        <v>572</v>
      </c>
      <c r="L268" s="344">
        <v>40744</v>
      </c>
      <c r="M268" s="344">
        <v>40744</v>
      </c>
      <c r="N268" s="340" t="s">
        <v>1475</v>
      </c>
      <c r="O268" s="341">
        <v>300</v>
      </c>
      <c r="P268" s="341">
        <v>14030</v>
      </c>
      <c r="Q268" s="342">
        <v>12854.35</v>
      </c>
      <c r="R268" s="341">
        <v>14036</v>
      </c>
      <c r="S268" s="342">
        <v>12854.35</v>
      </c>
      <c r="T268" s="342">
        <f t="shared" si="44"/>
        <v>0</v>
      </c>
      <c r="U268" s="343">
        <v>0</v>
      </c>
      <c r="V268" s="341">
        <v>51260</v>
      </c>
      <c r="W268" s="342">
        <v>0</v>
      </c>
      <c r="X268" s="340" t="s">
        <v>574</v>
      </c>
      <c r="Y268" s="340"/>
      <c r="Z268" s="340">
        <v>2555</v>
      </c>
      <c r="AA268" s="340"/>
      <c r="AB268" s="340" t="s">
        <v>571</v>
      </c>
      <c r="AC268" s="340" t="s">
        <v>570</v>
      </c>
      <c r="AD268" s="341" t="s">
        <v>569</v>
      </c>
      <c r="AE268" s="346">
        <v>43373</v>
      </c>
      <c r="AF268" s="341" t="s">
        <v>568</v>
      </c>
      <c r="AG268" s="340">
        <v>0</v>
      </c>
      <c r="AH268" s="340">
        <v>12854.35</v>
      </c>
      <c r="AI268" s="377"/>
      <c r="AK268" s="493">
        <f t="shared" si="34"/>
        <v>7</v>
      </c>
      <c r="AL268" s="493">
        <f t="shared" si="35"/>
        <v>2011</v>
      </c>
      <c r="AM268" s="493">
        <f t="shared" si="36"/>
        <v>2014</v>
      </c>
      <c r="AN268" s="494">
        <f t="shared" si="37"/>
        <v>2014.5833333333333</v>
      </c>
      <c r="AO268" s="505">
        <f t="shared" si="38"/>
        <v>357.06527777777779</v>
      </c>
      <c r="AP268" s="505">
        <f t="shared" si="39"/>
        <v>4284.7833333333338</v>
      </c>
      <c r="AQ268" s="505">
        <f t="shared" si="40"/>
        <v>0</v>
      </c>
      <c r="AR268" s="505">
        <f t="shared" si="41"/>
        <v>12854.35</v>
      </c>
      <c r="AS268" s="505">
        <f t="shared" si="42"/>
        <v>12854.35</v>
      </c>
      <c r="AT268" s="506">
        <f t="shared" si="43"/>
        <v>0</v>
      </c>
    </row>
    <row r="269" spans="1:46">
      <c r="A269" s="341">
        <v>2112</v>
      </c>
      <c r="B269" s="345">
        <v>204561</v>
      </c>
      <c r="C269" s="341">
        <v>80055</v>
      </c>
      <c r="D269" s="340" t="s">
        <v>1477</v>
      </c>
      <c r="E269" s="341">
        <v>0</v>
      </c>
      <c r="F269" s="340"/>
      <c r="G269" s="340"/>
      <c r="H269" s="340">
        <v>0</v>
      </c>
      <c r="I269" s="340" t="s">
        <v>1476</v>
      </c>
      <c r="J269" s="340"/>
      <c r="K269" s="340" t="s">
        <v>572</v>
      </c>
      <c r="L269" s="344">
        <v>40744</v>
      </c>
      <c r="M269" s="344">
        <v>40744</v>
      </c>
      <c r="N269" s="340" t="s">
        <v>1475</v>
      </c>
      <c r="O269" s="341">
        <v>300</v>
      </c>
      <c r="P269" s="341">
        <v>14030</v>
      </c>
      <c r="Q269" s="342">
        <v>4246.0200000000004</v>
      </c>
      <c r="R269" s="341">
        <v>14036</v>
      </c>
      <c r="S269" s="342">
        <v>4246.0200000000004</v>
      </c>
      <c r="T269" s="342">
        <f t="shared" si="44"/>
        <v>0</v>
      </c>
      <c r="U269" s="343">
        <v>0</v>
      </c>
      <c r="V269" s="341">
        <v>51260</v>
      </c>
      <c r="W269" s="342">
        <v>0</v>
      </c>
      <c r="X269" s="340" t="s">
        <v>574</v>
      </c>
      <c r="Y269" s="340"/>
      <c r="Z269" s="340" t="s">
        <v>1474</v>
      </c>
      <c r="AA269" s="340"/>
      <c r="AB269" s="340" t="s">
        <v>571</v>
      </c>
      <c r="AC269" s="340" t="s">
        <v>570</v>
      </c>
      <c r="AD269" s="341" t="s">
        <v>569</v>
      </c>
      <c r="AE269" s="346">
        <v>43373</v>
      </c>
      <c r="AF269" s="341" t="s">
        <v>568</v>
      </c>
      <c r="AG269" s="340">
        <v>0</v>
      </c>
      <c r="AH269" s="340">
        <v>4246.0200000000004</v>
      </c>
      <c r="AI269" s="377"/>
      <c r="AK269" s="493">
        <f t="shared" si="34"/>
        <v>7</v>
      </c>
      <c r="AL269" s="493">
        <f t="shared" si="35"/>
        <v>2011</v>
      </c>
      <c r="AM269" s="493">
        <f t="shared" si="36"/>
        <v>2014</v>
      </c>
      <c r="AN269" s="494">
        <f t="shared" si="37"/>
        <v>2014.5833333333333</v>
      </c>
      <c r="AO269" s="505">
        <f t="shared" si="38"/>
        <v>117.94500000000001</v>
      </c>
      <c r="AP269" s="505">
        <f t="shared" si="39"/>
        <v>1415.3400000000001</v>
      </c>
      <c r="AQ269" s="505">
        <f t="shared" si="40"/>
        <v>0</v>
      </c>
      <c r="AR269" s="505">
        <f t="shared" si="41"/>
        <v>4246.0200000000004</v>
      </c>
      <c r="AS269" s="505">
        <f t="shared" si="42"/>
        <v>4246.0200000000004</v>
      </c>
      <c r="AT269" s="506">
        <f t="shared" si="43"/>
        <v>0</v>
      </c>
    </row>
    <row r="270" spans="1:46">
      <c r="A270" s="341">
        <v>2112</v>
      </c>
      <c r="B270" s="345">
        <v>204187</v>
      </c>
      <c r="C270" s="341" t="s">
        <v>574</v>
      </c>
      <c r="D270" s="340" t="s">
        <v>436</v>
      </c>
      <c r="E270" s="341"/>
      <c r="F270" s="340" t="s">
        <v>1473</v>
      </c>
      <c r="G270" s="340" t="s">
        <v>1472</v>
      </c>
      <c r="H270" s="340">
        <v>2019</v>
      </c>
      <c r="I270" s="340" t="s">
        <v>1382</v>
      </c>
      <c r="J270" s="340" t="s">
        <v>855</v>
      </c>
      <c r="K270" s="340" t="s">
        <v>767</v>
      </c>
      <c r="L270" s="344">
        <v>43389</v>
      </c>
      <c r="M270" s="344">
        <v>43389</v>
      </c>
      <c r="N270" s="340" t="s">
        <v>1471</v>
      </c>
      <c r="O270" s="341">
        <v>1000</v>
      </c>
      <c r="P270" s="341">
        <v>14040</v>
      </c>
      <c r="Q270" s="342">
        <v>345399.69</v>
      </c>
      <c r="R270" s="341">
        <v>14046</v>
      </c>
      <c r="S270" s="342">
        <v>164064.85999999999</v>
      </c>
      <c r="T270" s="342">
        <f t="shared" si="44"/>
        <v>181334.83000000002</v>
      </c>
      <c r="U270" s="343">
        <v>20148.32</v>
      </c>
      <c r="V270" s="341">
        <v>51260</v>
      </c>
      <c r="W270" s="342">
        <v>2878.33</v>
      </c>
      <c r="X270" s="340" t="s">
        <v>574</v>
      </c>
      <c r="Y270" s="340"/>
      <c r="Z270" s="340">
        <v>9934</v>
      </c>
      <c r="AA270" s="340">
        <v>890</v>
      </c>
      <c r="AB270" s="340" t="s">
        <v>571</v>
      </c>
      <c r="AC270" s="340" t="s">
        <v>570</v>
      </c>
      <c r="AD270" s="341" t="s">
        <v>569</v>
      </c>
      <c r="AE270" s="340"/>
      <c r="AF270" s="341" t="s">
        <v>568</v>
      </c>
      <c r="AG270" s="340">
        <v>0</v>
      </c>
      <c r="AH270" s="340">
        <v>0</v>
      </c>
      <c r="AI270" s="377"/>
      <c r="AK270" s="493">
        <f t="shared" ref="AK270:AK333" si="45">MONTH($L270)</f>
        <v>10</v>
      </c>
      <c r="AL270" s="493">
        <f t="shared" ref="AL270:AL333" si="46">YEAR($L270)</f>
        <v>2018</v>
      </c>
      <c r="AM270" s="493">
        <f t="shared" ref="AM270:AM333" si="47">$AL270+($O270/100)</f>
        <v>2028</v>
      </c>
      <c r="AN270" s="494">
        <f t="shared" ref="AN270:AN333" si="48">$AM270+($AK270/12)</f>
        <v>2028.8333333333333</v>
      </c>
      <c r="AO270" s="505">
        <f t="shared" ref="AO270:AO333" si="49">IFERROR($Q270/($O270/100)/12,0)</f>
        <v>2878.3307499999996</v>
      </c>
      <c r="AP270" s="505">
        <f t="shared" ref="AP270:AP333" si="50">$AO270*12</f>
        <v>34539.968999999997</v>
      </c>
      <c r="AQ270" s="505">
        <f t="shared" ref="AQ270:AQ333" si="51">+IF(AN270&lt;=$AI$9,0,AP270)</f>
        <v>34539.968999999997</v>
      </c>
      <c r="AR270" s="505">
        <f t="shared" ref="AR270:AR333" si="52">+IF(AN270&lt;=$AI$10,Q270,IF((AL270+(AK270/12))&gt;=$AI$10,0,((Q270-((AN270-$AI$10)*12)*AO270))))</f>
        <v>132403.21450000527</v>
      </c>
      <c r="AS270" s="505">
        <f t="shared" ref="AS270:AS333" si="53">+IF(AN270&lt;$AI$9,Q270,AQ270+AR270)</f>
        <v>166943.18350000528</v>
      </c>
      <c r="AT270" s="506">
        <f t="shared" ref="AT270:AT333" si="54">$Q270-$AS270</f>
        <v>178456.50649999472</v>
      </c>
    </row>
    <row r="271" spans="1:46">
      <c r="A271" s="341">
        <v>2112</v>
      </c>
      <c r="B271" s="345">
        <v>204184</v>
      </c>
      <c r="C271" s="341" t="s">
        <v>574</v>
      </c>
      <c r="D271" s="340" t="s">
        <v>436</v>
      </c>
      <c r="E271" s="341"/>
      <c r="F271" s="340" t="s">
        <v>1470</v>
      </c>
      <c r="G271" s="340" t="s">
        <v>1469</v>
      </c>
      <c r="H271" s="340">
        <v>2019</v>
      </c>
      <c r="I271" s="340" t="s">
        <v>1382</v>
      </c>
      <c r="J271" s="340" t="s">
        <v>855</v>
      </c>
      <c r="K271" s="340" t="s">
        <v>767</v>
      </c>
      <c r="L271" s="344">
        <v>43389</v>
      </c>
      <c r="M271" s="344">
        <v>43389</v>
      </c>
      <c r="N271" s="340" t="s">
        <v>1468</v>
      </c>
      <c r="O271" s="341">
        <v>1000</v>
      </c>
      <c r="P271" s="341">
        <v>14040</v>
      </c>
      <c r="Q271" s="342">
        <v>345399.69</v>
      </c>
      <c r="R271" s="341">
        <v>14046</v>
      </c>
      <c r="S271" s="342">
        <v>164064.85999999999</v>
      </c>
      <c r="T271" s="342">
        <f t="shared" si="44"/>
        <v>181334.83000000002</v>
      </c>
      <c r="U271" s="343">
        <v>20148.32</v>
      </c>
      <c r="V271" s="341">
        <v>51260</v>
      </c>
      <c r="W271" s="342">
        <v>2878.33</v>
      </c>
      <c r="X271" s="340" t="s">
        <v>574</v>
      </c>
      <c r="Y271" s="340"/>
      <c r="Z271" s="340">
        <v>9934</v>
      </c>
      <c r="AA271" s="340">
        <v>889</v>
      </c>
      <c r="AB271" s="340" t="s">
        <v>571</v>
      </c>
      <c r="AC271" s="340" t="s">
        <v>570</v>
      </c>
      <c r="AD271" s="341" t="s">
        <v>569</v>
      </c>
      <c r="AE271" s="340"/>
      <c r="AF271" s="341" t="s">
        <v>568</v>
      </c>
      <c r="AG271" s="340">
        <v>0</v>
      </c>
      <c r="AH271" s="340">
        <v>0</v>
      </c>
      <c r="AI271" s="377"/>
      <c r="AK271" s="493">
        <f t="shared" si="45"/>
        <v>10</v>
      </c>
      <c r="AL271" s="493">
        <f t="shared" si="46"/>
        <v>2018</v>
      </c>
      <c r="AM271" s="493">
        <f t="shared" si="47"/>
        <v>2028</v>
      </c>
      <c r="AN271" s="494">
        <f t="shared" si="48"/>
        <v>2028.8333333333333</v>
      </c>
      <c r="AO271" s="505">
        <f t="shared" si="49"/>
        <v>2878.3307499999996</v>
      </c>
      <c r="AP271" s="505">
        <f t="shared" si="50"/>
        <v>34539.968999999997</v>
      </c>
      <c r="AQ271" s="505">
        <f t="shared" si="51"/>
        <v>34539.968999999997</v>
      </c>
      <c r="AR271" s="505">
        <f t="shared" si="52"/>
        <v>132403.21450000527</v>
      </c>
      <c r="AS271" s="505">
        <f t="shared" si="53"/>
        <v>166943.18350000528</v>
      </c>
      <c r="AT271" s="506">
        <f t="shared" si="54"/>
        <v>178456.50649999472</v>
      </c>
    </row>
    <row r="272" spans="1:46">
      <c r="A272" s="341">
        <v>2112</v>
      </c>
      <c r="B272" s="345">
        <v>203680</v>
      </c>
      <c r="C272" s="341">
        <v>197793</v>
      </c>
      <c r="D272" s="340" t="s">
        <v>1467</v>
      </c>
      <c r="E272" s="341"/>
      <c r="F272" s="340" t="s">
        <v>1433</v>
      </c>
      <c r="G272" s="340"/>
      <c r="H272" s="340">
        <v>2018</v>
      </c>
      <c r="I272" s="340" t="s">
        <v>1431</v>
      </c>
      <c r="J272" s="340" t="s">
        <v>1430</v>
      </c>
      <c r="K272" s="340" t="s">
        <v>572</v>
      </c>
      <c r="L272" s="344">
        <v>43266</v>
      </c>
      <c r="M272" s="344">
        <v>43266</v>
      </c>
      <c r="N272" s="340" t="s">
        <v>1428</v>
      </c>
      <c r="O272" s="341">
        <v>1000</v>
      </c>
      <c r="P272" s="341">
        <v>14040</v>
      </c>
      <c r="Q272" s="342">
        <v>2806.82</v>
      </c>
      <c r="R272" s="341">
        <v>14046</v>
      </c>
      <c r="S272" s="342">
        <v>1450.18</v>
      </c>
      <c r="T272" s="342">
        <f t="shared" si="44"/>
        <v>1356.64</v>
      </c>
      <c r="U272" s="343">
        <v>163.72999999999999</v>
      </c>
      <c r="V272" s="341">
        <v>51260</v>
      </c>
      <c r="W272" s="342">
        <v>23.39</v>
      </c>
      <c r="X272" s="340" t="s">
        <v>574</v>
      </c>
      <c r="Y272" s="340"/>
      <c r="Z272" s="340" t="s">
        <v>1466</v>
      </c>
      <c r="AA272" s="340"/>
      <c r="AB272" s="340" t="s">
        <v>571</v>
      </c>
      <c r="AC272" s="340" t="s">
        <v>570</v>
      </c>
      <c r="AD272" s="341" t="s">
        <v>569</v>
      </c>
      <c r="AE272" s="340"/>
      <c r="AF272" s="341" t="s">
        <v>568</v>
      </c>
      <c r="AG272" s="340">
        <v>0</v>
      </c>
      <c r="AH272" s="340">
        <v>0</v>
      </c>
      <c r="AI272" s="377"/>
      <c r="AK272" s="493">
        <f t="shared" si="45"/>
        <v>6</v>
      </c>
      <c r="AL272" s="493">
        <f t="shared" si="46"/>
        <v>2018</v>
      </c>
      <c r="AM272" s="493">
        <f t="shared" si="47"/>
        <v>2028</v>
      </c>
      <c r="AN272" s="494">
        <f t="shared" si="48"/>
        <v>2028.5</v>
      </c>
      <c r="AO272" s="505">
        <f t="shared" si="49"/>
        <v>23.390166666666669</v>
      </c>
      <c r="AP272" s="505">
        <f t="shared" si="50"/>
        <v>280.68200000000002</v>
      </c>
      <c r="AQ272" s="505">
        <f t="shared" si="51"/>
        <v>280.68200000000002</v>
      </c>
      <c r="AR272" s="505">
        <f t="shared" si="52"/>
        <v>1169.5083333333546</v>
      </c>
      <c r="AS272" s="505">
        <f t="shared" si="53"/>
        <v>1450.1903333333546</v>
      </c>
      <c r="AT272" s="506">
        <f t="shared" si="54"/>
        <v>1356.6296666666456</v>
      </c>
    </row>
    <row r="273" spans="1:46">
      <c r="A273" s="341">
        <v>2112</v>
      </c>
      <c r="B273" s="345">
        <v>203609</v>
      </c>
      <c r="C273" s="341" t="s">
        <v>574</v>
      </c>
      <c r="D273" s="340" t="s">
        <v>1465</v>
      </c>
      <c r="E273" s="341">
        <v>864</v>
      </c>
      <c r="F273" s="340"/>
      <c r="G273" s="340"/>
      <c r="H273" s="340">
        <v>0</v>
      </c>
      <c r="I273" s="340" t="s">
        <v>1443</v>
      </c>
      <c r="J273" s="340"/>
      <c r="K273" s="340"/>
      <c r="L273" s="344">
        <v>43337</v>
      </c>
      <c r="M273" s="344">
        <v>43337</v>
      </c>
      <c r="N273" s="340" t="s">
        <v>1464</v>
      </c>
      <c r="O273" s="341">
        <v>700</v>
      </c>
      <c r="P273" s="341">
        <v>14050</v>
      </c>
      <c r="Q273" s="342">
        <v>39724.550000000003</v>
      </c>
      <c r="R273" s="341">
        <v>14056</v>
      </c>
      <c r="S273" s="342">
        <v>27901.79</v>
      </c>
      <c r="T273" s="342">
        <f t="shared" si="44"/>
        <v>11822.760000000002</v>
      </c>
      <c r="U273" s="343">
        <v>3310.38</v>
      </c>
      <c r="V273" s="341">
        <v>54260</v>
      </c>
      <c r="W273" s="342">
        <v>472.91</v>
      </c>
      <c r="X273" s="340" t="s">
        <v>574</v>
      </c>
      <c r="Y273" s="340"/>
      <c r="Z273" s="340">
        <v>65551310</v>
      </c>
      <c r="AA273" s="340"/>
      <c r="AB273" s="340" t="s">
        <v>571</v>
      </c>
      <c r="AC273" s="340" t="s">
        <v>570</v>
      </c>
      <c r="AD273" s="341" t="s">
        <v>569</v>
      </c>
      <c r="AE273" s="340"/>
      <c r="AF273" s="341" t="s">
        <v>568</v>
      </c>
      <c r="AG273" s="340">
        <v>0</v>
      </c>
      <c r="AH273" s="340">
        <v>0</v>
      </c>
      <c r="AI273" s="377"/>
      <c r="AK273" s="493">
        <f t="shared" si="45"/>
        <v>8</v>
      </c>
      <c r="AL273" s="493">
        <f t="shared" si="46"/>
        <v>2018</v>
      </c>
      <c r="AM273" s="493">
        <f t="shared" si="47"/>
        <v>2025</v>
      </c>
      <c r="AN273" s="494">
        <f t="shared" si="48"/>
        <v>2025.6666666666667</v>
      </c>
      <c r="AO273" s="505">
        <f t="shared" si="49"/>
        <v>472.91130952380951</v>
      </c>
      <c r="AP273" s="505">
        <f t="shared" si="50"/>
        <v>5674.9357142857143</v>
      </c>
      <c r="AQ273" s="505">
        <f t="shared" si="51"/>
        <v>5674.9357142857143</v>
      </c>
      <c r="AR273" s="505">
        <f t="shared" si="52"/>
        <v>22699.742857142861</v>
      </c>
      <c r="AS273" s="505">
        <f t="shared" si="53"/>
        <v>28374.678571428576</v>
      </c>
      <c r="AT273" s="506">
        <f t="shared" si="54"/>
        <v>11349.871428571427</v>
      </c>
    </row>
    <row r="274" spans="1:46">
      <c r="A274" s="341">
        <v>2112</v>
      </c>
      <c r="B274" s="345">
        <v>203588</v>
      </c>
      <c r="C274" s="341">
        <v>197793</v>
      </c>
      <c r="D274" s="340" t="s">
        <v>1463</v>
      </c>
      <c r="E274" s="341"/>
      <c r="F274" s="340"/>
      <c r="G274" s="340"/>
      <c r="H274" s="340">
        <v>0</v>
      </c>
      <c r="I274" s="340" t="s">
        <v>1431</v>
      </c>
      <c r="J274" s="340"/>
      <c r="K274" s="340" t="s">
        <v>572</v>
      </c>
      <c r="L274" s="344">
        <v>43266</v>
      </c>
      <c r="M274" s="344">
        <v>43266</v>
      </c>
      <c r="N274" s="340" t="s">
        <v>1428</v>
      </c>
      <c r="O274" s="341">
        <v>300</v>
      </c>
      <c r="P274" s="341">
        <v>14040</v>
      </c>
      <c r="Q274" s="342">
        <v>557.66</v>
      </c>
      <c r="R274" s="341">
        <v>14046</v>
      </c>
      <c r="S274" s="342">
        <v>557.66</v>
      </c>
      <c r="T274" s="342">
        <f t="shared" si="44"/>
        <v>0</v>
      </c>
      <c r="U274" s="343">
        <v>0</v>
      </c>
      <c r="V274" s="341">
        <v>51260</v>
      </c>
      <c r="W274" s="342">
        <v>0</v>
      </c>
      <c r="X274" s="340" t="s">
        <v>574</v>
      </c>
      <c r="Y274" s="340"/>
      <c r="Z274" s="340">
        <v>80025303</v>
      </c>
      <c r="AA274" s="340"/>
      <c r="AB274" s="340" t="s">
        <v>571</v>
      </c>
      <c r="AC274" s="340" t="s">
        <v>570</v>
      </c>
      <c r="AD274" s="341" t="s">
        <v>569</v>
      </c>
      <c r="AE274" s="340"/>
      <c r="AF274" s="341" t="s">
        <v>568</v>
      </c>
      <c r="AG274" s="340">
        <v>0</v>
      </c>
      <c r="AH274" s="340">
        <v>0</v>
      </c>
      <c r="AI274" s="377"/>
      <c r="AK274" s="493">
        <f t="shared" si="45"/>
        <v>6</v>
      </c>
      <c r="AL274" s="493">
        <f t="shared" si="46"/>
        <v>2018</v>
      </c>
      <c r="AM274" s="493">
        <f t="shared" si="47"/>
        <v>2021</v>
      </c>
      <c r="AN274" s="494">
        <f t="shared" si="48"/>
        <v>2021.5</v>
      </c>
      <c r="AO274" s="505">
        <f t="shared" si="49"/>
        <v>15.490555555555554</v>
      </c>
      <c r="AP274" s="505">
        <f t="shared" si="50"/>
        <v>185.88666666666666</v>
      </c>
      <c r="AQ274" s="505">
        <f t="shared" si="51"/>
        <v>0</v>
      </c>
      <c r="AR274" s="505">
        <f t="shared" si="52"/>
        <v>557.66</v>
      </c>
      <c r="AS274" s="505">
        <f t="shared" si="53"/>
        <v>557.66</v>
      </c>
      <c r="AT274" s="506">
        <f t="shared" si="54"/>
        <v>0</v>
      </c>
    </row>
    <row r="275" spans="1:46">
      <c r="A275" s="341">
        <v>2112</v>
      </c>
      <c r="B275" s="345">
        <v>203587</v>
      </c>
      <c r="C275" s="341">
        <v>197793</v>
      </c>
      <c r="D275" s="340" t="s">
        <v>1462</v>
      </c>
      <c r="E275" s="341"/>
      <c r="F275" s="340"/>
      <c r="G275" s="340"/>
      <c r="H275" s="340">
        <v>0</v>
      </c>
      <c r="I275" s="340" t="s">
        <v>1431</v>
      </c>
      <c r="J275" s="340"/>
      <c r="K275" s="340" t="s">
        <v>572</v>
      </c>
      <c r="L275" s="344">
        <v>43266</v>
      </c>
      <c r="M275" s="344">
        <v>43266</v>
      </c>
      <c r="N275" s="340" t="s">
        <v>1428</v>
      </c>
      <c r="O275" s="341">
        <v>300</v>
      </c>
      <c r="P275" s="341">
        <v>14040</v>
      </c>
      <c r="Q275" s="342">
        <v>2398.5</v>
      </c>
      <c r="R275" s="341">
        <v>14046</v>
      </c>
      <c r="S275" s="342">
        <v>2398.5</v>
      </c>
      <c r="T275" s="342">
        <f t="shared" si="44"/>
        <v>0</v>
      </c>
      <c r="U275" s="343">
        <v>0</v>
      </c>
      <c r="V275" s="341">
        <v>51260</v>
      </c>
      <c r="W275" s="342">
        <v>0</v>
      </c>
      <c r="X275" s="340" t="s">
        <v>574</v>
      </c>
      <c r="Y275" s="340"/>
      <c r="Z275" s="340" t="s">
        <v>1461</v>
      </c>
      <c r="AA275" s="340"/>
      <c r="AB275" s="340" t="s">
        <v>571</v>
      </c>
      <c r="AC275" s="340" t="s">
        <v>570</v>
      </c>
      <c r="AD275" s="341" t="s">
        <v>569</v>
      </c>
      <c r="AE275" s="340"/>
      <c r="AF275" s="341" t="s">
        <v>568</v>
      </c>
      <c r="AG275" s="340">
        <v>0</v>
      </c>
      <c r="AH275" s="340">
        <v>0</v>
      </c>
      <c r="AI275" s="377"/>
      <c r="AK275" s="493">
        <f t="shared" si="45"/>
        <v>6</v>
      </c>
      <c r="AL275" s="493">
        <f t="shared" si="46"/>
        <v>2018</v>
      </c>
      <c r="AM275" s="493">
        <f t="shared" si="47"/>
        <v>2021</v>
      </c>
      <c r="AN275" s="494">
        <f t="shared" si="48"/>
        <v>2021.5</v>
      </c>
      <c r="AO275" s="505">
        <f t="shared" si="49"/>
        <v>66.625</v>
      </c>
      <c r="AP275" s="505">
        <f t="shared" si="50"/>
        <v>799.5</v>
      </c>
      <c r="AQ275" s="505">
        <f t="shared" si="51"/>
        <v>0</v>
      </c>
      <c r="AR275" s="505">
        <f t="shared" si="52"/>
        <v>2398.5</v>
      </c>
      <c r="AS275" s="505">
        <f t="shared" si="53"/>
        <v>2398.5</v>
      </c>
      <c r="AT275" s="506">
        <f t="shared" si="54"/>
        <v>0</v>
      </c>
    </row>
    <row r="276" spans="1:46">
      <c r="A276" s="341">
        <v>2112</v>
      </c>
      <c r="B276" s="345">
        <v>203584</v>
      </c>
      <c r="C276" s="341" t="s">
        <v>574</v>
      </c>
      <c r="D276" s="340" t="s">
        <v>1460</v>
      </c>
      <c r="E276" s="341"/>
      <c r="F276" s="340" t="s">
        <v>1459</v>
      </c>
      <c r="G276" s="340"/>
      <c r="H276" s="340">
        <v>2013</v>
      </c>
      <c r="I276" s="340" t="s">
        <v>820</v>
      </c>
      <c r="J276" s="340" t="s">
        <v>820</v>
      </c>
      <c r="K276" s="340" t="s">
        <v>1151</v>
      </c>
      <c r="L276" s="344">
        <v>43326</v>
      </c>
      <c r="M276" s="344">
        <v>43326</v>
      </c>
      <c r="N276" s="340" t="s">
        <v>1458</v>
      </c>
      <c r="O276" s="341">
        <v>400</v>
      </c>
      <c r="P276" s="341">
        <v>14030</v>
      </c>
      <c r="Q276" s="342">
        <v>31165.759999999998</v>
      </c>
      <c r="R276" s="341">
        <v>14036</v>
      </c>
      <c r="S276" s="342">
        <v>31165.759999999998</v>
      </c>
      <c r="T276" s="342">
        <f t="shared" si="44"/>
        <v>0</v>
      </c>
      <c r="U276" s="343">
        <v>0</v>
      </c>
      <c r="V276" s="341">
        <v>51260</v>
      </c>
      <c r="W276" s="342">
        <v>0</v>
      </c>
      <c r="X276" s="340" t="s">
        <v>574</v>
      </c>
      <c r="Y276" s="340"/>
      <c r="Z276" s="340" t="s">
        <v>1457</v>
      </c>
      <c r="AA276" s="340" t="s">
        <v>1456</v>
      </c>
      <c r="AB276" s="340" t="s">
        <v>571</v>
      </c>
      <c r="AC276" s="340" t="s">
        <v>570</v>
      </c>
      <c r="AD276" s="341" t="s">
        <v>569</v>
      </c>
      <c r="AE276" s="340"/>
      <c r="AF276" s="341" t="s">
        <v>568</v>
      </c>
      <c r="AG276" s="340">
        <v>0</v>
      </c>
      <c r="AH276" s="340">
        <v>0</v>
      </c>
      <c r="AI276" s="377"/>
      <c r="AK276" s="493">
        <f t="shared" si="45"/>
        <v>8</v>
      </c>
      <c r="AL276" s="493">
        <f t="shared" si="46"/>
        <v>2018</v>
      </c>
      <c r="AM276" s="493">
        <f t="shared" si="47"/>
        <v>2022</v>
      </c>
      <c r="AN276" s="494">
        <f t="shared" si="48"/>
        <v>2022.6666666666667</v>
      </c>
      <c r="AO276" s="505">
        <f t="shared" si="49"/>
        <v>649.28666666666663</v>
      </c>
      <c r="AP276" s="505">
        <f t="shared" si="50"/>
        <v>7791.44</v>
      </c>
      <c r="AQ276" s="505">
        <f t="shared" si="51"/>
        <v>0</v>
      </c>
      <c r="AR276" s="505">
        <f t="shared" si="52"/>
        <v>31165.759999999998</v>
      </c>
      <c r="AS276" s="505">
        <f t="shared" si="53"/>
        <v>31165.759999999998</v>
      </c>
      <c r="AT276" s="506">
        <f t="shared" si="54"/>
        <v>0</v>
      </c>
    </row>
    <row r="277" spans="1:46">
      <c r="A277" s="341">
        <v>2112</v>
      </c>
      <c r="B277" s="345">
        <v>202995</v>
      </c>
      <c r="C277" s="341" t="s">
        <v>574</v>
      </c>
      <c r="D277" s="340" t="s">
        <v>1455</v>
      </c>
      <c r="E277" s="341"/>
      <c r="F277" s="340"/>
      <c r="G277" s="340"/>
      <c r="H277" s="340">
        <v>0</v>
      </c>
      <c r="I277" s="340" t="s">
        <v>861</v>
      </c>
      <c r="J277" s="340"/>
      <c r="K277" s="340"/>
      <c r="L277" s="344">
        <v>43281</v>
      </c>
      <c r="M277" s="344">
        <v>43281</v>
      </c>
      <c r="N277" s="340" t="s">
        <v>1454</v>
      </c>
      <c r="O277" s="341">
        <v>300</v>
      </c>
      <c r="P277" s="341">
        <v>14090</v>
      </c>
      <c r="Q277" s="342">
        <v>27671.439999999999</v>
      </c>
      <c r="R277" s="341">
        <v>14096</v>
      </c>
      <c r="S277" s="342">
        <v>27671.439999999999</v>
      </c>
      <c r="T277" s="342">
        <f t="shared" ref="T277:T340" si="55">Q277-S277</f>
        <v>0</v>
      </c>
      <c r="U277" s="343">
        <v>0</v>
      </c>
      <c r="V277" s="341">
        <v>57260</v>
      </c>
      <c r="W277" s="342">
        <v>0</v>
      </c>
      <c r="X277" s="340" t="s">
        <v>574</v>
      </c>
      <c r="Y277" s="340"/>
      <c r="Z277" s="340">
        <v>9</v>
      </c>
      <c r="AA277" s="340"/>
      <c r="AB277" s="340" t="s">
        <v>571</v>
      </c>
      <c r="AC277" s="340" t="s">
        <v>570</v>
      </c>
      <c r="AD277" s="341" t="s">
        <v>569</v>
      </c>
      <c r="AE277" s="340"/>
      <c r="AF277" s="341" t="s">
        <v>568</v>
      </c>
      <c r="AG277" s="340">
        <v>0</v>
      </c>
      <c r="AH277" s="340">
        <v>0</v>
      </c>
      <c r="AI277" s="377"/>
      <c r="AK277" s="493">
        <f t="shared" si="45"/>
        <v>6</v>
      </c>
      <c r="AL277" s="493">
        <f t="shared" si="46"/>
        <v>2018</v>
      </c>
      <c r="AM277" s="493">
        <f t="shared" si="47"/>
        <v>2021</v>
      </c>
      <c r="AN277" s="494">
        <f t="shared" si="48"/>
        <v>2021.5</v>
      </c>
      <c r="AO277" s="505">
        <f t="shared" si="49"/>
        <v>768.65111111111116</v>
      </c>
      <c r="AP277" s="505">
        <f t="shared" si="50"/>
        <v>9223.8133333333335</v>
      </c>
      <c r="AQ277" s="505">
        <f t="shared" si="51"/>
        <v>0</v>
      </c>
      <c r="AR277" s="505">
        <f t="shared" si="52"/>
        <v>27671.439999999999</v>
      </c>
      <c r="AS277" s="505">
        <f t="shared" si="53"/>
        <v>27671.439999999999</v>
      </c>
      <c r="AT277" s="506">
        <f t="shared" si="54"/>
        <v>0</v>
      </c>
    </row>
    <row r="278" spans="1:46">
      <c r="A278" s="341">
        <v>2112</v>
      </c>
      <c r="B278" s="345">
        <v>202834</v>
      </c>
      <c r="C278" s="341" t="s">
        <v>574</v>
      </c>
      <c r="D278" s="340" t="s">
        <v>436</v>
      </c>
      <c r="E278" s="341"/>
      <c r="F278" s="340" t="s">
        <v>1453</v>
      </c>
      <c r="G278" s="340" t="s">
        <v>1452</v>
      </c>
      <c r="H278" s="340">
        <v>2019</v>
      </c>
      <c r="I278" s="340" t="s">
        <v>1382</v>
      </c>
      <c r="J278" s="340" t="s">
        <v>855</v>
      </c>
      <c r="K278" s="340" t="s">
        <v>767</v>
      </c>
      <c r="L278" s="344">
        <v>43373</v>
      </c>
      <c r="M278" s="344">
        <v>43373</v>
      </c>
      <c r="N278" s="340" t="s">
        <v>1451</v>
      </c>
      <c r="O278" s="341">
        <v>1000</v>
      </c>
      <c r="P278" s="341">
        <v>14040</v>
      </c>
      <c r="Q278" s="342">
        <v>345671.26</v>
      </c>
      <c r="R278" s="341">
        <v>14046</v>
      </c>
      <c r="S278" s="342">
        <v>167074.41</v>
      </c>
      <c r="T278" s="342">
        <f t="shared" si="55"/>
        <v>178596.85</v>
      </c>
      <c r="U278" s="343">
        <v>20164.16</v>
      </c>
      <c r="V278" s="341">
        <v>51260</v>
      </c>
      <c r="W278" s="342">
        <v>2880.59</v>
      </c>
      <c r="X278" s="340" t="s">
        <v>574</v>
      </c>
      <c r="Y278" s="340"/>
      <c r="Z278" s="340">
        <v>9740</v>
      </c>
      <c r="AA278" s="340">
        <v>888</v>
      </c>
      <c r="AB278" s="340" t="s">
        <v>571</v>
      </c>
      <c r="AC278" s="340" t="s">
        <v>570</v>
      </c>
      <c r="AD278" s="341" t="s">
        <v>569</v>
      </c>
      <c r="AE278" s="340"/>
      <c r="AF278" s="341" t="s">
        <v>568</v>
      </c>
      <c r="AG278" s="340">
        <v>0</v>
      </c>
      <c r="AH278" s="340">
        <v>0</v>
      </c>
      <c r="AI278" s="377"/>
      <c r="AK278" s="493">
        <f t="shared" si="45"/>
        <v>9</v>
      </c>
      <c r="AL278" s="493">
        <f t="shared" si="46"/>
        <v>2018</v>
      </c>
      <c r="AM278" s="493">
        <f t="shared" si="47"/>
        <v>2028</v>
      </c>
      <c r="AN278" s="494">
        <f t="shared" si="48"/>
        <v>2028.75</v>
      </c>
      <c r="AO278" s="505">
        <f t="shared" si="49"/>
        <v>2880.5938333333338</v>
      </c>
      <c r="AP278" s="505">
        <f t="shared" si="50"/>
        <v>34567.126000000004</v>
      </c>
      <c r="AQ278" s="505">
        <f t="shared" si="51"/>
        <v>34567.126000000004</v>
      </c>
      <c r="AR278" s="505">
        <f t="shared" si="52"/>
        <v>135387.91016666926</v>
      </c>
      <c r="AS278" s="505">
        <f t="shared" si="53"/>
        <v>169955.03616666928</v>
      </c>
      <c r="AT278" s="506">
        <f t="shared" si="54"/>
        <v>175716.22383333073</v>
      </c>
    </row>
    <row r="279" spans="1:46">
      <c r="A279" s="341">
        <v>2112</v>
      </c>
      <c r="B279" s="345">
        <v>202084</v>
      </c>
      <c r="C279" s="341" t="s">
        <v>574</v>
      </c>
      <c r="D279" s="340" t="s">
        <v>1450</v>
      </c>
      <c r="E279" s="341"/>
      <c r="F279" s="340"/>
      <c r="G279" s="340"/>
      <c r="H279" s="340">
        <v>0</v>
      </c>
      <c r="I279" s="340"/>
      <c r="J279" s="340"/>
      <c r="K279" s="340"/>
      <c r="L279" s="344">
        <v>43292</v>
      </c>
      <c r="M279" s="344">
        <v>43292</v>
      </c>
      <c r="N279" s="340" t="s">
        <v>1413</v>
      </c>
      <c r="O279" s="341">
        <v>1000</v>
      </c>
      <c r="P279" s="341">
        <v>14010</v>
      </c>
      <c r="Q279" s="342">
        <v>172177.85</v>
      </c>
      <c r="R279" s="341">
        <v>14016</v>
      </c>
      <c r="S279" s="342">
        <v>87523.76</v>
      </c>
      <c r="T279" s="342">
        <f t="shared" si="55"/>
        <v>84654.090000000011</v>
      </c>
      <c r="U279" s="343">
        <v>10043.709999999999</v>
      </c>
      <c r="V279" s="341">
        <v>57260</v>
      </c>
      <c r="W279" s="342">
        <v>1434.81</v>
      </c>
      <c r="X279" s="340" t="s">
        <v>574</v>
      </c>
      <c r="Y279" s="340"/>
      <c r="Z279" s="340">
        <v>191716</v>
      </c>
      <c r="AA279" s="340"/>
      <c r="AB279" s="340" t="s">
        <v>571</v>
      </c>
      <c r="AC279" s="340" t="s">
        <v>570</v>
      </c>
      <c r="AD279" s="341" t="s">
        <v>569</v>
      </c>
      <c r="AE279" s="340"/>
      <c r="AF279" s="341" t="s">
        <v>568</v>
      </c>
      <c r="AG279" s="340">
        <v>0</v>
      </c>
      <c r="AH279" s="340">
        <v>0</v>
      </c>
      <c r="AI279" s="377"/>
      <c r="AK279" s="493">
        <f t="shared" si="45"/>
        <v>7</v>
      </c>
      <c r="AL279" s="493">
        <f t="shared" si="46"/>
        <v>2018</v>
      </c>
      <c r="AM279" s="493">
        <f t="shared" si="47"/>
        <v>2028</v>
      </c>
      <c r="AN279" s="494">
        <f t="shared" si="48"/>
        <v>2028.5833333333333</v>
      </c>
      <c r="AO279" s="505">
        <f t="shared" si="49"/>
        <v>1434.8154166666666</v>
      </c>
      <c r="AP279" s="505">
        <f t="shared" si="50"/>
        <v>17217.785</v>
      </c>
      <c r="AQ279" s="505">
        <f t="shared" si="51"/>
        <v>17217.785</v>
      </c>
      <c r="AR279" s="505">
        <f t="shared" si="52"/>
        <v>70305.955416669283</v>
      </c>
      <c r="AS279" s="505">
        <f t="shared" si="53"/>
        <v>87523.740416669287</v>
      </c>
      <c r="AT279" s="506">
        <f t="shared" si="54"/>
        <v>84654.109583330719</v>
      </c>
    </row>
    <row r="280" spans="1:46">
      <c r="A280" s="341">
        <v>2112</v>
      </c>
      <c r="B280" s="345">
        <v>201756</v>
      </c>
      <c r="C280" s="341" t="s">
        <v>574</v>
      </c>
      <c r="D280" s="340" t="s">
        <v>1449</v>
      </c>
      <c r="E280" s="341">
        <v>15</v>
      </c>
      <c r="F280" s="340"/>
      <c r="G280" s="340"/>
      <c r="H280" s="340">
        <v>0</v>
      </c>
      <c r="I280" s="340" t="s">
        <v>1361</v>
      </c>
      <c r="J280" s="340"/>
      <c r="K280" s="340" t="s">
        <v>782</v>
      </c>
      <c r="L280" s="344">
        <v>43196</v>
      </c>
      <c r="M280" s="344">
        <v>43196</v>
      </c>
      <c r="N280" s="340" t="s">
        <v>1444</v>
      </c>
      <c r="O280" s="341">
        <v>1200</v>
      </c>
      <c r="P280" s="341">
        <v>14050</v>
      </c>
      <c r="Q280" s="342">
        <v>9195.76</v>
      </c>
      <c r="R280" s="341">
        <v>14056</v>
      </c>
      <c r="S280" s="342">
        <v>4086.99</v>
      </c>
      <c r="T280" s="342">
        <f t="shared" si="55"/>
        <v>5108.7700000000004</v>
      </c>
      <c r="U280" s="343">
        <v>447.01</v>
      </c>
      <c r="V280" s="341">
        <v>54260</v>
      </c>
      <c r="W280" s="342">
        <v>63.85</v>
      </c>
      <c r="X280" s="340" t="s">
        <v>574</v>
      </c>
      <c r="Y280" s="340"/>
      <c r="Z280" s="340">
        <v>37216497</v>
      </c>
      <c r="AA280" s="340"/>
      <c r="AB280" s="340" t="s">
        <v>571</v>
      </c>
      <c r="AC280" s="340" t="s">
        <v>570</v>
      </c>
      <c r="AD280" s="341" t="s">
        <v>569</v>
      </c>
      <c r="AE280" s="340"/>
      <c r="AF280" s="341" t="s">
        <v>568</v>
      </c>
      <c r="AG280" s="340">
        <v>0</v>
      </c>
      <c r="AH280" s="340">
        <v>0</v>
      </c>
      <c r="AI280" s="377"/>
      <c r="AK280" s="493">
        <f t="shared" si="45"/>
        <v>4</v>
      </c>
      <c r="AL280" s="493">
        <f t="shared" si="46"/>
        <v>2018</v>
      </c>
      <c r="AM280" s="493">
        <f t="shared" si="47"/>
        <v>2030</v>
      </c>
      <c r="AN280" s="494">
        <f t="shared" si="48"/>
        <v>2030.3333333333333</v>
      </c>
      <c r="AO280" s="505">
        <f t="shared" si="49"/>
        <v>63.859444444444449</v>
      </c>
      <c r="AP280" s="505">
        <f t="shared" si="50"/>
        <v>766.31333333333339</v>
      </c>
      <c r="AQ280" s="505">
        <f t="shared" si="51"/>
        <v>766.31333333333339</v>
      </c>
      <c r="AR280" s="505">
        <f t="shared" si="52"/>
        <v>3320.6911111112267</v>
      </c>
      <c r="AS280" s="505">
        <f t="shared" si="53"/>
        <v>4087.0044444445602</v>
      </c>
      <c r="AT280" s="506">
        <f t="shared" si="54"/>
        <v>5108.75555555544</v>
      </c>
    </row>
    <row r="281" spans="1:46">
      <c r="A281" s="341">
        <v>2112</v>
      </c>
      <c r="B281" s="345">
        <v>201755</v>
      </c>
      <c r="C281" s="341" t="s">
        <v>574</v>
      </c>
      <c r="D281" s="340" t="s">
        <v>430</v>
      </c>
      <c r="E281" s="341">
        <v>23</v>
      </c>
      <c r="F281" s="340"/>
      <c r="G281" s="340"/>
      <c r="H281" s="340">
        <v>0</v>
      </c>
      <c r="I281" s="340" t="s">
        <v>1361</v>
      </c>
      <c r="J281" s="340"/>
      <c r="K281" s="340" t="s">
        <v>671</v>
      </c>
      <c r="L281" s="344">
        <v>43196</v>
      </c>
      <c r="M281" s="344">
        <v>43196</v>
      </c>
      <c r="N281" s="340" t="s">
        <v>1444</v>
      </c>
      <c r="O281" s="341">
        <v>1200</v>
      </c>
      <c r="P281" s="341">
        <v>14050</v>
      </c>
      <c r="Q281" s="342">
        <v>14724.04</v>
      </c>
      <c r="R281" s="341">
        <v>14056</v>
      </c>
      <c r="S281" s="342">
        <v>6544</v>
      </c>
      <c r="T281" s="342">
        <f t="shared" si="55"/>
        <v>8180.0400000000009</v>
      </c>
      <c r="U281" s="343">
        <v>715.75</v>
      </c>
      <c r="V281" s="341">
        <v>54260</v>
      </c>
      <c r="W281" s="342">
        <v>102.25</v>
      </c>
      <c r="X281" s="340" t="s">
        <v>574</v>
      </c>
      <c r="Y281" s="340"/>
      <c r="Z281" s="340">
        <v>37216497</v>
      </c>
      <c r="AA281" s="340"/>
      <c r="AB281" s="340" t="s">
        <v>571</v>
      </c>
      <c r="AC281" s="340" t="s">
        <v>570</v>
      </c>
      <c r="AD281" s="341" t="s">
        <v>569</v>
      </c>
      <c r="AE281" s="340"/>
      <c r="AF281" s="341" t="s">
        <v>568</v>
      </c>
      <c r="AG281" s="340">
        <v>0</v>
      </c>
      <c r="AH281" s="340">
        <v>0</v>
      </c>
      <c r="AI281" s="377"/>
      <c r="AK281" s="493">
        <f t="shared" si="45"/>
        <v>4</v>
      </c>
      <c r="AL281" s="493">
        <f t="shared" si="46"/>
        <v>2018</v>
      </c>
      <c r="AM281" s="493">
        <f t="shared" si="47"/>
        <v>2030</v>
      </c>
      <c r="AN281" s="494">
        <f t="shared" si="48"/>
        <v>2030.3333333333333</v>
      </c>
      <c r="AO281" s="505">
        <f t="shared" si="49"/>
        <v>102.25027777777778</v>
      </c>
      <c r="AP281" s="505">
        <f t="shared" si="50"/>
        <v>1227.0033333333333</v>
      </c>
      <c r="AQ281" s="505">
        <f t="shared" si="51"/>
        <v>1227.0033333333333</v>
      </c>
      <c r="AR281" s="505">
        <f t="shared" si="52"/>
        <v>5317.0144444446305</v>
      </c>
      <c r="AS281" s="505">
        <f t="shared" si="53"/>
        <v>6544.0177777779636</v>
      </c>
      <c r="AT281" s="506">
        <f t="shared" si="54"/>
        <v>8180.0222222220373</v>
      </c>
    </row>
    <row r="282" spans="1:46">
      <c r="A282" s="341">
        <v>2112</v>
      </c>
      <c r="B282" s="345">
        <v>201754</v>
      </c>
      <c r="C282" s="341" t="s">
        <v>574</v>
      </c>
      <c r="D282" s="340" t="s">
        <v>1448</v>
      </c>
      <c r="E282" s="341">
        <v>21</v>
      </c>
      <c r="F282" s="340"/>
      <c r="G282" s="340"/>
      <c r="H282" s="340">
        <v>0</v>
      </c>
      <c r="I282" s="340" t="s">
        <v>1361</v>
      </c>
      <c r="J282" s="340"/>
      <c r="K282" s="340" t="s">
        <v>706</v>
      </c>
      <c r="L282" s="344">
        <v>43196</v>
      </c>
      <c r="M282" s="344">
        <v>43196</v>
      </c>
      <c r="N282" s="340" t="s">
        <v>1444</v>
      </c>
      <c r="O282" s="341">
        <v>1200</v>
      </c>
      <c r="P282" s="341">
        <v>14050</v>
      </c>
      <c r="Q282" s="342">
        <v>11734.82</v>
      </c>
      <c r="R282" s="341">
        <v>14056</v>
      </c>
      <c r="S282" s="342">
        <v>5215.37</v>
      </c>
      <c r="T282" s="342">
        <f t="shared" si="55"/>
        <v>6519.45</v>
      </c>
      <c r="U282" s="343">
        <v>570.44000000000005</v>
      </c>
      <c r="V282" s="341">
        <v>54260</v>
      </c>
      <c r="W282" s="342">
        <v>81.489999999999995</v>
      </c>
      <c r="X282" s="340" t="s">
        <v>574</v>
      </c>
      <c r="Y282" s="340"/>
      <c r="Z282" s="340">
        <v>37216497</v>
      </c>
      <c r="AA282" s="340"/>
      <c r="AB282" s="340" t="s">
        <v>571</v>
      </c>
      <c r="AC282" s="340" t="s">
        <v>570</v>
      </c>
      <c r="AD282" s="341" t="s">
        <v>569</v>
      </c>
      <c r="AE282" s="340"/>
      <c r="AF282" s="341" t="s">
        <v>568</v>
      </c>
      <c r="AG282" s="340">
        <v>0</v>
      </c>
      <c r="AH282" s="340">
        <v>0</v>
      </c>
      <c r="AI282" s="377"/>
      <c r="AK282" s="493">
        <f t="shared" si="45"/>
        <v>4</v>
      </c>
      <c r="AL282" s="493">
        <f t="shared" si="46"/>
        <v>2018</v>
      </c>
      <c r="AM282" s="493">
        <f t="shared" si="47"/>
        <v>2030</v>
      </c>
      <c r="AN282" s="494">
        <f t="shared" si="48"/>
        <v>2030.3333333333333</v>
      </c>
      <c r="AO282" s="505">
        <f t="shared" si="49"/>
        <v>81.491805555555558</v>
      </c>
      <c r="AP282" s="505">
        <f t="shared" si="50"/>
        <v>977.90166666666664</v>
      </c>
      <c r="AQ282" s="505">
        <f t="shared" si="51"/>
        <v>977.90166666666664</v>
      </c>
      <c r="AR282" s="505">
        <f t="shared" si="52"/>
        <v>4237.5738888890364</v>
      </c>
      <c r="AS282" s="505">
        <f t="shared" si="53"/>
        <v>5215.4755555557031</v>
      </c>
      <c r="AT282" s="506">
        <f t="shared" si="54"/>
        <v>6519.3444444442966</v>
      </c>
    </row>
    <row r="283" spans="1:46">
      <c r="A283" s="341">
        <v>2112</v>
      </c>
      <c r="B283" s="345">
        <v>201753</v>
      </c>
      <c r="C283" s="341" t="s">
        <v>574</v>
      </c>
      <c r="D283" s="340" t="s">
        <v>1447</v>
      </c>
      <c r="E283" s="341">
        <v>24</v>
      </c>
      <c r="F283" s="340"/>
      <c r="G283" s="340"/>
      <c r="H283" s="340">
        <v>0</v>
      </c>
      <c r="I283" s="340" t="s">
        <v>1361</v>
      </c>
      <c r="J283" s="340"/>
      <c r="K283" s="340" t="s">
        <v>706</v>
      </c>
      <c r="L283" s="344">
        <v>43196</v>
      </c>
      <c r="M283" s="344">
        <v>43196</v>
      </c>
      <c r="N283" s="340" t="s">
        <v>1444</v>
      </c>
      <c r="O283" s="341">
        <v>1200</v>
      </c>
      <c r="P283" s="341">
        <v>14050</v>
      </c>
      <c r="Q283" s="342">
        <v>11770.7</v>
      </c>
      <c r="R283" s="341">
        <v>14056</v>
      </c>
      <c r="S283" s="342">
        <v>5231.18</v>
      </c>
      <c r="T283" s="342">
        <f t="shared" si="55"/>
        <v>6539.52</v>
      </c>
      <c r="U283" s="343">
        <v>572.17999999999995</v>
      </c>
      <c r="V283" s="341">
        <v>54260</v>
      </c>
      <c r="W283" s="342">
        <v>81.73</v>
      </c>
      <c r="X283" s="340" t="s">
        <v>574</v>
      </c>
      <c r="Y283" s="340"/>
      <c r="Z283" s="340">
        <v>37216497</v>
      </c>
      <c r="AA283" s="340"/>
      <c r="AB283" s="340" t="s">
        <v>571</v>
      </c>
      <c r="AC283" s="340" t="s">
        <v>570</v>
      </c>
      <c r="AD283" s="341" t="s">
        <v>569</v>
      </c>
      <c r="AE283" s="340"/>
      <c r="AF283" s="341" t="s">
        <v>568</v>
      </c>
      <c r="AG283" s="340">
        <v>0</v>
      </c>
      <c r="AH283" s="340">
        <v>0</v>
      </c>
      <c r="AI283" s="377"/>
      <c r="AK283" s="493">
        <f t="shared" si="45"/>
        <v>4</v>
      </c>
      <c r="AL283" s="493">
        <f t="shared" si="46"/>
        <v>2018</v>
      </c>
      <c r="AM283" s="493">
        <f t="shared" si="47"/>
        <v>2030</v>
      </c>
      <c r="AN283" s="494">
        <f t="shared" si="48"/>
        <v>2030.3333333333333</v>
      </c>
      <c r="AO283" s="505">
        <f t="shared" si="49"/>
        <v>81.740972222222226</v>
      </c>
      <c r="AP283" s="505">
        <f t="shared" si="50"/>
        <v>980.89166666666665</v>
      </c>
      <c r="AQ283" s="505">
        <f t="shared" si="51"/>
        <v>980.89166666666665</v>
      </c>
      <c r="AR283" s="505">
        <f t="shared" si="52"/>
        <v>4250.5305555557043</v>
      </c>
      <c r="AS283" s="505">
        <f t="shared" si="53"/>
        <v>5231.4222222223707</v>
      </c>
      <c r="AT283" s="506">
        <f t="shared" si="54"/>
        <v>6539.27777777763</v>
      </c>
    </row>
    <row r="284" spans="1:46">
      <c r="A284" s="341">
        <v>2112</v>
      </c>
      <c r="B284" s="345">
        <v>201752</v>
      </c>
      <c r="C284" s="341" t="s">
        <v>574</v>
      </c>
      <c r="D284" s="340" t="s">
        <v>1446</v>
      </c>
      <c r="E284" s="341">
        <v>30</v>
      </c>
      <c r="F284" s="340"/>
      <c r="G284" s="340"/>
      <c r="H284" s="340">
        <v>0</v>
      </c>
      <c r="I284" s="340" t="s">
        <v>1361</v>
      </c>
      <c r="J284" s="340"/>
      <c r="K284" s="340" t="s">
        <v>671</v>
      </c>
      <c r="L284" s="344">
        <v>43196</v>
      </c>
      <c r="M284" s="344">
        <v>43196</v>
      </c>
      <c r="N284" s="340" t="s">
        <v>1444</v>
      </c>
      <c r="O284" s="341">
        <v>1200</v>
      </c>
      <c r="P284" s="341">
        <v>14050</v>
      </c>
      <c r="Q284" s="342">
        <v>15038.88</v>
      </c>
      <c r="R284" s="341">
        <v>14056</v>
      </c>
      <c r="S284" s="342">
        <v>6683.95</v>
      </c>
      <c r="T284" s="342">
        <f t="shared" si="55"/>
        <v>8354.93</v>
      </c>
      <c r="U284" s="343">
        <v>731.06</v>
      </c>
      <c r="V284" s="341">
        <v>54260</v>
      </c>
      <c r="W284" s="342">
        <v>104.44</v>
      </c>
      <c r="X284" s="340" t="s">
        <v>574</v>
      </c>
      <c r="Y284" s="340"/>
      <c r="Z284" s="340">
        <v>37216497</v>
      </c>
      <c r="AA284" s="340"/>
      <c r="AB284" s="340" t="s">
        <v>571</v>
      </c>
      <c r="AC284" s="340" t="s">
        <v>570</v>
      </c>
      <c r="AD284" s="341" t="s">
        <v>569</v>
      </c>
      <c r="AE284" s="340"/>
      <c r="AF284" s="341" t="s">
        <v>568</v>
      </c>
      <c r="AG284" s="340">
        <v>0</v>
      </c>
      <c r="AH284" s="340">
        <v>0</v>
      </c>
      <c r="AI284" s="377"/>
      <c r="AK284" s="493">
        <f t="shared" si="45"/>
        <v>4</v>
      </c>
      <c r="AL284" s="493">
        <f t="shared" si="46"/>
        <v>2018</v>
      </c>
      <c r="AM284" s="493">
        <f t="shared" si="47"/>
        <v>2030</v>
      </c>
      <c r="AN284" s="494">
        <f t="shared" si="48"/>
        <v>2030.3333333333333</v>
      </c>
      <c r="AO284" s="505">
        <f t="shared" si="49"/>
        <v>104.43666666666667</v>
      </c>
      <c r="AP284" s="505">
        <f t="shared" si="50"/>
        <v>1253.24</v>
      </c>
      <c r="AQ284" s="505">
        <f t="shared" si="51"/>
        <v>1253.24</v>
      </c>
      <c r="AR284" s="505">
        <f t="shared" si="52"/>
        <v>5430.7066666668561</v>
      </c>
      <c r="AS284" s="505">
        <f t="shared" si="53"/>
        <v>6683.9466666668559</v>
      </c>
      <c r="AT284" s="506">
        <f t="shared" si="54"/>
        <v>8354.9333333331433</v>
      </c>
    </row>
    <row r="285" spans="1:46">
      <c r="A285" s="341">
        <v>2112</v>
      </c>
      <c r="B285" s="345">
        <v>201751</v>
      </c>
      <c r="C285" s="341" t="s">
        <v>574</v>
      </c>
      <c r="D285" s="340" t="s">
        <v>1445</v>
      </c>
      <c r="E285" s="341">
        <v>13</v>
      </c>
      <c r="F285" s="340"/>
      <c r="G285" s="340"/>
      <c r="H285" s="340">
        <v>0</v>
      </c>
      <c r="I285" s="340" t="s">
        <v>1361</v>
      </c>
      <c r="J285" s="340"/>
      <c r="K285" s="340" t="s">
        <v>673</v>
      </c>
      <c r="L285" s="344">
        <v>43196</v>
      </c>
      <c r="M285" s="344">
        <v>43196</v>
      </c>
      <c r="N285" s="340" t="s">
        <v>1444</v>
      </c>
      <c r="O285" s="341">
        <v>1200</v>
      </c>
      <c r="P285" s="341">
        <v>14050</v>
      </c>
      <c r="Q285" s="342">
        <v>10579.08</v>
      </c>
      <c r="R285" s="341">
        <v>14056</v>
      </c>
      <c r="S285" s="342">
        <v>4701.8100000000004</v>
      </c>
      <c r="T285" s="342">
        <f t="shared" si="55"/>
        <v>5877.2699999999995</v>
      </c>
      <c r="U285" s="343">
        <v>514.26</v>
      </c>
      <c r="V285" s="341">
        <v>54260</v>
      </c>
      <c r="W285" s="342">
        <v>73.459999999999994</v>
      </c>
      <c r="X285" s="340" t="s">
        <v>574</v>
      </c>
      <c r="Y285" s="340"/>
      <c r="Z285" s="340">
        <v>37216497</v>
      </c>
      <c r="AA285" s="340"/>
      <c r="AB285" s="340" t="s">
        <v>571</v>
      </c>
      <c r="AC285" s="340" t="s">
        <v>570</v>
      </c>
      <c r="AD285" s="341" t="s">
        <v>569</v>
      </c>
      <c r="AE285" s="340"/>
      <c r="AF285" s="341" t="s">
        <v>568</v>
      </c>
      <c r="AG285" s="340">
        <v>0</v>
      </c>
      <c r="AH285" s="340">
        <v>0</v>
      </c>
      <c r="AI285" s="377"/>
      <c r="AK285" s="493">
        <f t="shared" si="45"/>
        <v>4</v>
      </c>
      <c r="AL285" s="493">
        <f t="shared" si="46"/>
        <v>2018</v>
      </c>
      <c r="AM285" s="493">
        <f t="shared" si="47"/>
        <v>2030</v>
      </c>
      <c r="AN285" s="494">
        <f t="shared" si="48"/>
        <v>2030.3333333333333</v>
      </c>
      <c r="AO285" s="505">
        <f t="shared" si="49"/>
        <v>73.465833333333336</v>
      </c>
      <c r="AP285" s="505">
        <f t="shared" si="50"/>
        <v>881.59</v>
      </c>
      <c r="AQ285" s="505">
        <f t="shared" si="51"/>
        <v>881.59</v>
      </c>
      <c r="AR285" s="505">
        <f t="shared" si="52"/>
        <v>3820.2233333334671</v>
      </c>
      <c r="AS285" s="505">
        <f t="shared" si="53"/>
        <v>4701.8133333334672</v>
      </c>
      <c r="AT285" s="506">
        <f t="shared" si="54"/>
        <v>5877.2666666665327</v>
      </c>
    </row>
    <row r="286" spans="1:46">
      <c r="A286" s="341">
        <v>2112</v>
      </c>
      <c r="B286" s="345">
        <v>201020</v>
      </c>
      <c r="C286" s="341" t="s">
        <v>574</v>
      </c>
      <c r="D286" s="340" t="s">
        <v>418</v>
      </c>
      <c r="E286" s="341">
        <v>188</v>
      </c>
      <c r="F286" s="340"/>
      <c r="G286" s="340"/>
      <c r="H286" s="340">
        <v>0</v>
      </c>
      <c r="I286" s="340" t="s">
        <v>1443</v>
      </c>
      <c r="J286" s="340"/>
      <c r="K286" s="340"/>
      <c r="L286" s="344">
        <v>43191</v>
      </c>
      <c r="M286" s="344">
        <v>43191</v>
      </c>
      <c r="N286" s="340" t="s">
        <v>1442</v>
      </c>
      <c r="O286" s="341">
        <v>700</v>
      </c>
      <c r="P286" s="341">
        <v>14050</v>
      </c>
      <c r="Q286" s="342">
        <v>10037.219999999999</v>
      </c>
      <c r="R286" s="341">
        <v>14056</v>
      </c>
      <c r="S286" s="342">
        <v>7647.42</v>
      </c>
      <c r="T286" s="342">
        <f t="shared" si="55"/>
        <v>2389.7999999999993</v>
      </c>
      <c r="U286" s="343">
        <v>836.44</v>
      </c>
      <c r="V286" s="341">
        <v>54260</v>
      </c>
      <c r="W286" s="342">
        <v>119.49</v>
      </c>
      <c r="X286" s="340" t="s">
        <v>574</v>
      </c>
      <c r="Y286" s="340"/>
      <c r="Z286" s="340" t="s">
        <v>1441</v>
      </c>
      <c r="AA286" s="340"/>
      <c r="AB286" s="340" t="s">
        <v>571</v>
      </c>
      <c r="AC286" s="340" t="s">
        <v>570</v>
      </c>
      <c r="AD286" s="341" t="s">
        <v>569</v>
      </c>
      <c r="AE286" s="340"/>
      <c r="AF286" s="341" t="s">
        <v>568</v>
      </c>
      <c r="AG286" s="340">
        <v>0</v>
      </c>
      <c r="AH286" s="340">
        <v>0</v>
      </c>
      <c r="AI286" s="377"/>
      <c r="AK286" s="493">
        <f t="shared" si="45"/>
        <v>4</v>
      </c>
      <c r="AL286" s="493">
        <f t="shared" si="46"/>
        <v>2018</v>
      </c>
      <c r="AM286" s="493">
        <f t="shared" si="47"/>
        <v>2025</v>
      </c>
      <c r="AN286" s="494">
        <f t="shared" si="48"/>
        <v>2025.3333333333333</v>
      </c>
      <c r="AO286" s="505">
        <f t="shared" si="49"/>
        <v>119.49071428571428</v>
      </c>
      <c r="AP286" s="505">
        <f t="shared" si="50"/>
        <v>1433.8885714285714</v>
      </c>
      <c r="AQ286" s="505">
        <f t="shared" si="51"/>
        <v>1433.8885714285714</v>
      </c>
      <c r="AR286" s="505">
        <f t="shared" si="52"/>
        <v>6213.5171428573594</v>
      </c>
      <c r="AS286" s="505">
        <f t="shared" si="53"/>
        <v>7647.405714285931</v>
      </c>
      <c r="AT286" s="506">
        <f t="shared" si="54"/>
        <v>2389.8142857140683</v>
      </c>
    </row>
    <row r="287" spans="1:46">
      <c r="A287" s="341">
        <v>2112</v>
      </c>
      <c r="B287" s="345">
        <v>201019</v>
      </c>
      <c r="C287" s="341" t="s">
        <v>574</v>
      </c>
      <c r="D287" s="340" t="s">
        <v>417</v>
      </c>
      <c r="E287" s="341">
        <v>312</v>
      </c>
      <c r="F287" s="340"/>
      <c r="G287" s="340"/>
      <c r="H287" s="340">
        <v>0</v>
      </c>
      <c r="I287" s="340" t="s">
        <v>1443</v>
      </c>
      <c r="J287" s="340"/>
      <c r="K287" s="340"/>
      <c r="L287" s="344">
        <v>43191</v>
      </c>
      <c r="M287" s="344">
        <v>43191</v>
      </c>
      <c r="N287" s="340" t="s">
        <v>1442</v>
      </c>
      <c r="O287" s="341">
        <v>700</v>
      </c>
      <c r="P287" s="341">
        <v>14050</v>
      </c>
      <c r="Q287" s="342">
        <v>14797.35</v>
      </c>
      <c r="R287" s="341">
        <v>14056</v>
      </c>
      <c r="S287" s="342">
        <v>11274.18</v>
      </c>
      <c r="T287" s="342">
        <f t="shared" si="55"/>
        <v>3523.17</v>
      </c>
      <c r="U287" s="343">
        <v>1233.1099999999999</v>
      </c>
      <c r="V287" s="341">
        <v>54260</v>
      </c>
      <c r="W287" s="342">
        <v>176.15</v>
      </c>
      <c r="X287" s="340" t="s">
        <v>574</v>
      </c>
      <c r="Y287" s="340"/>
      <c r="Z287" s="340" t="s">
        <v>1441</v>
      </c>
      <c r="AA287" s="340"/>
      <c r="AB287" s="340" t="s">
        <v>571</v>
      </c>
      <c r="AC287" s="340" t="s">
        <v>570</v>
      </c>
      <c r="AD287" s="341" t="s">
        <v>569</v>
      </c>
      <c r="AE287" s="340"/>
      <c r="AF287" s="341" t="s">
        <v>568</v>
      </c>
      <c r="AG287" s="340">
        <v>0</v>
      </c>
      <c r="AH287" s="340">
        <v>0</v>
      </c>
      <c r="AI287" s="377"/>
      <c r="AK287" s="493">
        <f t="shared" si="45"/>
        <v>4</v>
      </c>
      <c r="AL287" s="493">
        <f t="shared" si="46"/>
        <v>2018</v>
      </c>
      <c r="AM287" s="493">
        <f t="shared" si="47"/>
        <v>2025</v>
      </c>
      <c r="AN287" s="494">
        <f t="shared" si="48"/>
        <v>2025.3333333333333</v>
      </c>
      <c r="AO287" s="505">
        <f t="shared" si="49"/>
        <v>176.15892857142856</v>
      </c>
      <c r="AP287" s="505">
        <f t="shared" si="50"/>
        <v>2113.9071428571428</v>
      </c>
      <c r="AQ287" s="505">
        <f t="shared" si="51"/>
        <v>2113.9071428571428</v>
      </c>
      <c r="AR287" s="505">
        <f t="shared" si="52"/>
        <v>9160.2642857146056</v>
      </c>
      <c r="AS287" s="505">
        <f t="shared" si="53"/>
        <v>11274.171428571748</v>
      </c>
      <c r="AT287" s="506">
        <f t="shared" si="54"/>
        <v>3523.1785714282523</v>
      </c>
    </row>
    <row r="288" spans="1:46">
      <c r="A288" s="341">
        <v>2112</v>
      </c>
      <c r="B288" s="345">
        <v>201018</v>
      </c>
      <c r="C288" s="341" t="s">
        <v>574</v>
      </c>
      <c r="D288" s="340" t="s">
        <v>416</v>
      </c>
      <c r="E288" s="341">
        <v>2000</v>
      </c>
      <c r="F288" s="340"/>
      <c r="G288" s="340"/>
      <c r="H288" s="340">
        <v>0</v>
      </c>
      <c r="I288" s="340" t="s">
        <v>1443</v>
      </c>
      <c r="J288" s="340"/>
      <c r="K288" s="340"/>
      <c r="L288" s="344">
        <v>43191</v>
      </c>
      <c r="M288" s="344">
        <v>43191</v>
      </c>
      <c r="N288" s="340" t="s">
        <v>1442</v>
      </c>
      <c r="O288" s="341">
        <v>700</v>
      </c>
      <c r="P288" s="341">
        <v>14050</v>
      </c>
      <c r="Q288" s="342">
        <v>81647.44</v>
      </c>
      <c r="R288" s="341">
        <v>14056</v>
      </c>
      <c r="S288" s="342">
        <v>62207.57</v>
      </c>
      <c r="T288" s="342">
        <f t="shared" si="55"/>
        <v>19439.870000000003</v>
      </c>
      <c r="U288" s="343">
        <v>6803.95</v>
      </c>
      <c r="V288" s="341">
        <v>54260</v>
      </c>
      <c r="W288" s="342">
        <v>971.99</v>
      </c>
      <c r="X288" s="340" t="s">
        <v>574</v>
      </c>
      <c r="Y288" s="340"/>
      <c r="Z288" s="340" t="s">
        <v>1441</v>
      </c>
      <c r="AA288" s="340"/>
      <c r="AB288" s="340" t="s">
        <v>571</v>
      </c>
      <c r="AC288" s="340" t="s">
        <v>570</v>
      </c>
      <c r="AD288" s="341" t="s">
        <v>569</v>
      </c>
      <c r="AE288" s="340"/>
      <c r="AF288" s="341" t="s">
        <v>568</v>
      </c>
      <c r="AG288" s="340">
        <v>0</v>
      </c>
      <c r="AH288" s="340">
        <v>0</v>
      </c>
      <c r="AI288" s="377"/>
      <c r="AK288" s="493">
        <f t="shared" si="45"/>
        <v>4</v>
      </c>
      <c r="AL288" s="493">
        <f t="shared" si="46"/>
        <v>2018</v>
      </c>
      <c r="AM288" s="493">
        <f t="shared" si="47"/>
        <v>2025</v>
      </c>
      <c r="AN288" s="494">
        <f t="shared" si="48"/>
        <v>2025.3333333333333</v>
      </c>
      <c r="AO288" s="505">
        <f t="shared" si="49"/>
        <v>971.99333333333334</v>
      </c>
      <c r="AP288" s="505">
        <f t="shared" si="50"/>
        <v>11663.92</v>
      </c>
      <c r="AQ288" s="505">
        <f t="shared" si="51"/>
        <v>11663.92</v>
      </c>
      <c r="AR288" s="505">
        <f t="shared" si="52"/>
        <v>50543.653333335104</v>
      </c>
      <c r="AS288" s="505">
        <f t="shared" si="53"/>
        <v>62207.573333335102</v>
      </c>
      <c r="AT288" s="506">
        <f t="shared" si="54"/>
        <v>19439.866666664901</v>
      </c>
    </row>
    <row r="289" spans="1:46">
      <c r="A289" s="341">
        <v>2112</v>
      </c>
      <c r="B289" s="345">
        <v>200628</v>
      </c>
      <c r="C289" s="341" t="s">
        <v>574</v>
      </c>
      <c r="D289" s="340" t="s">
        <v>420</v>
      </c>
      <c r="E289" s="341">
        <v>10</v>
      </c>
      <c r="F289" s="340"/>
      <c r="G289" s="340"/>
      <c r="H289" s="340">
        <v>0</v>
      </c>
      <c r="I289" s="340" t="s">
        <v>1361</v>
      </c>
      <c r="J289" s="340"/>
      <c r="K289" s="340" t="s">
        <v>722</v>
      </c>
      <c r="L289" s="344">
        <v>43252</v>
      </c>
      <c r="M289" s="344">
        <v>43252</v>
      </c>
      <c r="N289" s="340" t="s">
        <v>1440</v>
      </c>
      <c r="O289" s="341">
        <v>1200</v>
      </c>
      <c r="P289" s="341">
        <v>14050</v>
      </c>
      <c r="Q289" s="342">
        <v>45425</v>
      </c>
      <c r="R289" s="341">
        <v>14056</v>
      </c>
      <c r="S289" s="342">
        <v>19558</v>
      </c>
      <c r="T289" s="342">
        <f t="shared" si="55"/>
        <v>25867</v>
      </c>
      <c r="U289" s="343">
        <v>2208.16</v>
      </c>
      <c r="V289" s="341">
        <v>54260</v>
      </c>
      <c r="W289" s="342">
        <v>315.45</v>
      </c>
      <c r="X289" s="340" t="s">
        <v>574</v>
      </c>
      <c r="Y289" s="340"/>
      <c r="Z289" s="340">
        <v>37216929</v>
      </c>
      <c r="AA289" s="340"/>
      <c r="AB289" s="340" t="s">
        <v>571</v>
      </c>
      <c r="AC289" s="340" t="s">
        <v>570</v>
      </c>
      <c r="AD289" s="341" t="s">
        <v>569</v>
      </c>
      <c r="AE289" s="340"/>
      <c r="AF289" s="341" t="s">
        <v>568</v>
      </c>
      <c r="AG289" s="340">
        <v>0</v>
      </c>
      <c r="AH289" s="340">
        <v>0</v>
      </c>
      <c r="AI289" s="377"/>
      <c r="AK289" s="493">
        <f t="shared" si="45"/>
        <v>6</v>
      </c>
      <c r="AL289" s="493">
        <f t="shared" si="46"/>
        <v>2018</v>
      </c>
      <c r="AM289" s="493">
        <f t="shared" si="47"/>
        <v>2030</v>
      </c>
      <c r="AN289" s="494">
        <f t="shared" si="48"/>
        <v>2030.5</v>
      </c>
      <c r="AO289" s="505">
        <f t="shared" si="49"/>
        <v>315.45138888888886</v>
      </c>
      <c r="AP289" s="505">
        <f t="shared" si="50"/>
        <v>3785.4166666666661</v>
      </c>
      <c r="AQ289" s="505">
        <f t="shared" si="51"/>
        <v>3785.4166666666661</v>
      </c>
      <c r="AR289" s="505">
        <f t="shared" si="52"/>
        <v>15772.569444444733</v>
      </c>
      <c r="AS289" s="505">
        <f t="shared" si="53"/>
        <v>19557.986111111401</v>
      </c>
      <c r="AT289" s="506">
        <f t="shared" si="54"/>
        <v>25867.013888888599</v>
      </c>
    </row>
    <row r="290" spans="1:46">
      <c r="A290" s="341">
        <v>2112</v>
      </c>
      <c r="B290" s="345">
        <v>200627</v>
      </c>
      <c r="C290" s="341" t="s">
        <v>574</v>
      </c>
      <c r="D290" s="340" t="s">
        <v>419</v>
      </c>
      <c r="E290" s="341">
        <v>10</v>
      </c>
      <c r="F290" s="340"/>
      <c r="G290" s="340"/>
      <c r="H290" s="340">
        <v>0</v>
      </c>
      <c r="I290" s="340" t="s">
        <v>1361</v>
      </c>
      <c r="J290" s="340"/>
      <c r="K290" s="340" t="s">
        <v>575</v>
      </c>
      <c r="L290" s="344">
        <v>43196</v>
      </c>
      <c r="M290" s="344">
        <v>43196</v>
      </c>
      <c r="N290" s="340" t="s">
        <v>1439</v>
      </c>
      <c r="O290" s="341">
        <v>1200</v>
      </c>
      <c r="P290" s="341">
        <v>14050</v>
      </c>
      <c r="Q290" s="342">
        <v>39485</v>
      </c>
      <c r="R290" s="341">
        <v>14056</v>
      </c>
      <c r="S290" s="342">
        <v>17548.900000000001</v>
      </c>
      <c r="T290" s="342">
        <f t="shared" si="55"/>
        <v>21936.1</v>
      </c>
      <c r="U290" s="343">
        <v>1919.41</v>
      </c>
      <c r="V290" s="341">
        <v>54260</v>
      </c>
      <c r="W290" s="342">
        <v>274.2</v>
      </c>
      <c r="X290" s="340" t="s">
        <v>574</v>
      </c>
      <c r="Y290" s="340"/>
      <c r="Z290" s="340">
        <v>37216493</v>
      </c>
      <c r="AA290" s="340"/>
      <c r="AB290" s="340" t="s">
        <v>571</v>
      </c>
      <c r="AC290" s="340" t="s">
        <v>570</v>
      </c>
      <c r="AD290" s="341" t="s">
        <v>569</v>
      </c>
      <c r="AE290" s="340"/>
      <c r="AF290" s="341" t="s">
        <v>568</v>
      </c>
      <c r="AG290" s="340">
        <v>0</v>
      </c>
      <c r="AH290" s="340">
        <v>0</v>
      </c>
      <c r="AI290" s="377"/>
      <c r="AK290" s="493">
        <f t="shared" si="45"/>
        <v>4</v>
      </c>
      <c r="AL290" s="493">
        <f t="shared" si="46"/>
        <v>2018</v>
      </c>
      <c r="AM290" s="493">
        <f t="shared" si="47"/>
        <v>2030</v>
      </c>
      <c r="AN290" s="494">
        <f t="shared" si="48"/>
        <v>2030.3333333333333</v>
      </c>
      <c r="AO290" s="505">
        <f t="shared" si="49"/>
        <v>274.20138888888886</v>
      </c>
      <c r="AP290" s="505">
        <f t="shared" si="50"/>
        <v>3290.4166666666661</v>
      </c>
      <c r="AQ290" s="505">
        <f t="shared" si="51"/>
        <v>3290.4166666666661</v>
      </c>
      <c r="AR290" s="505">
        <f t="shared" si="52"/>
        <v>14258.472222222725</v>
      </c>
      <c r="AS290" s="505">
        <f t="shared" si="53"/>
        <v>17548.888888889393</v>
      </c>
      <c r="AT290" s="506">
        <f t="shared" si="54"/>
        <v>21936.111111110607</v>
      </c>
    </row>
    <row r="291" spans="1:46">
      <c r="A291" s="341">
        <v>2112</v>
      </c>
      <c r="B291" s="345">
        <v>197999</v>
      </c>
      <c r="C291" s="341" t="s">
        <v>574</v>
      </c>
      <c r="D291" s="340" t="s">
        <v>1438</v>
      </c>
      <c r="E291" s="341">
        <v>1</v>
      </c>
      <c r="F291" s="340"/>
      <c r="G291" s="340"/>
      <c r="H291" s="340">
        <v>0</v>
      </c>
      <c r="I291" s="340"/>
      <c r="J291" s="340"/>
      <c r="K291" s="340" t="s">
        <v>1437</v>
      </c>
      <c r="L291" s="344">
        <v>43252</v>
      </c>
      <c r="M291" s="344">
        <v>43252</v>
      </c>
      <c r="N291" s="340" t="s">
        <v>1434</v>
      </c>
      <c r="O291" s="341">
        <v>0</v>
      </c>
      <c r="P291" s="341">
        <v>14050</v>
      </c>
      <c r="Q291" s="342">
        <v>0</v>
      </c>
      <c r="R291" s="341">
        <v>14056</v>
      </c>
      <c r="S291" s="342">
        <v>0</v>
      </c>
      <c r="T291" s="342">
        <f t="shared" si="55"/>
        <v>0</v>
      </c>
      <c r="U291" s="343">
        <v>0</v>
      </c>
      <c r="V291" s="341">
        <v>54260</v>
      </c>
      <c r="W291" s="342">
        <v>0</v>
      </c>
      <c r="X291" s="340" t="s">
        <v>574</v>
      </c>
      <c r="Y291" s="340"/>
      <c r="Z291" s="340"/>
      <c r="AA291" s="340"/>
      <c r="AB291" s="340" t="s">
        <v>571</v>
      </c>
      <c r="AC291" s="340" t="s">
        <v>570</v>
      </c>
      <c r="AD291" s="341" t="s">
        <v>596</v>
      </c>
      <c r="AE291" s="340"/>
      <c r="AF291" s="341" t="s">
        <v>568</v>
      </c>
      <c r="AG291" s="340">
        <v>0</v>
      </c>
      <c r="AH291" s="340">
        <v>0</v>
      </c>
      <c r="AI291" s="377"/>
      <c r="AK291" s="493">
        <f t="shared" si="45"/>
        <v>6</v>
      </c>
      <c r="AL291" s="493">
        <f t="shared" si="46"/>
        <v>2018</v>
      </c>
      <c r="AM291" s="493">
        <f t="shared" si="47"/>
        <v>2018</v>
      </c>
      <c r="AN291" s="494">
        <f t="shared" si="48"/>
        <v>2018.5</v>
      </c>
      <c r="AO291" s="505">
        <f t="shared" si="49"/>
        <v>0</v>
      </c>
      <c r="AP291" s="505">
        <f t="shared" si="50"/>
        <v>0</v>
      </c>
      <c r="AQ291" s="505">
        <f t="shared" si="51"/>
        <v>0</v>
      </c>
      <c r="AR291" s="505">
        <f t="shared" si="52"/>
        <v>0</v>
      </c>
      <c r="AS291" s="505">
        <f t="shared" si="53"/>
        <v>0</v>
      </c>
      <c r="AT291" s="506">
        <f t="shared" si="54"/>
        <v>0</v>
      </c>
    </row>
    <row r="292" spans="1:46">
      <c r="A292" s="341">
        <v>2112</v>
      </c>
      <c r="B292" s="345">
        <v>197994</v>
      </c>
      <c r="C292" s="341" t="s">
        <v>574</v>
      </c>
      <c r="D292" s="340" t="s">
        <v>1436</v>
      </c>
      <c r="E292" s="341">
        <v>27</v>
      </c>
      <c r="F292" s="340"/>
      <c r="G292" s="340"/>
      <c r="H292" s="340">
        <v>0</v>
      </c>
      <c r="I292" s="340"/>
      <c r="J292" s="340"/>
      <c r="K292" s="340" t="s">
        <v>671</v>
      </c>
      <c r="L292" s="344">
        <v>43252</v>
      </c>
      <c r="M292" s="344">
        <v>43252</v>
      </c>
      <c r="N292" s="340" t="s">
        <v>1434</v>
      </c>
      <c r="O292" s="341">
        <v>0</v>
      </c>
      <c r="P292" s="341">
        <v>14050</v>
      </c>
      <c r="Q292" s="342">
        <v>0</v>
      </c>
      <c r="R292" s="341">
        <v>14056</v>
      </c>
      <c r="S292" s="342">
        <v>0</v>
      </c>
      <c r="T292" s="342">
        <f t="shared" si="55"/>
        <v>0</v>
      </c>
      <c r="U292" s="343">
        <v>0</v>
      </c>
      <c r="V292" s="341">
        <v>54260</v>
      </c>
      <c r="W292" s="342">
        <v>0</v>
      </c>
      <c r="X292" s="340" t="s">
        <v>574</v>
      </c>
      <c r="Y292" s="340"/>
      <c r="Z292" s="340"/>
      <c r="AA292" s="340"/>
      <c r="AB292" s="340" t="s">
        <v>571</v>
      </c>
      <c r="AC292" s="340" t="s">
        <v>570</v>
      </c>
      <c r="AD292" s="341" t="s">
        <v>596</v>
      </c>
      <c r="AE292" s="340"/>
      <c r="AF292" s="341" t="s">
        <v>568</v>
      </c>
      <c r="AG292" s="340">
        <v>0</v>
      </c>
      <c r="AH292" s="340">
        <v>0</v>
      </c>
      <c r="AI292" s="377"/>
      <c r="AK292" s="493">
        <f t="shared" si="45"/>
        <v>6</v>
      </c>
      <c r="AL292" s="493">
        <f t="shared" si="46"/>
        <v>2018</v>
      </c>
      <c r="AM292" s="493">
        <f t="shared" si="47"/>
        <v>2018</v>
      </c>
      <c r="AN292" s="494">
        <f t="shared" si="48"/>
        <v>2018.5</v>
      </c>
      <c r="AO292" s="505">
        <f t="shared" si="49"/>
        <v>0</v>
      </c>
      <c r="AP292" s="505">
        <f t="shared" si="50"/>
        <v>0</v>
      </c>
      <c r="AQ292" s="505">
        <f t="shared" si="51"/>
        <v>0</v>
      </c>
      <c r="AR292" s="505">
        <f t="shared" si="52"/>
        <v>0</v>
      </c>
      <c r="AS292" s="505">
        <f t="shared" si="53"/>
        <v>0</v>
      </c>
      <c r="AT292" s="506">
        <f t="shared" si="54"/>
        <v>0</v>
      </c>
    </row>
    <row r="293" spans="1:46">
      <c r="A293" s="341">
        <v>2112</v>
      </c>
      <c r="B293" s="345">
        <v>197993</v>
      </c>
      <c r="C293" s="341" t="s">
        <v>574</v>
      </c>
      <c r="D293" s="340" t="s">
        <v>1435</v>
      </c>
      <c r="E293" s="341">
        <v>28</v>
      </c>
      <c r="F293" s="340"/>
      <c r="G293" s="340"/>
      <c r="H293" s="340">
        <v>0</v>
      </c>
      <c r="I293" s="340"/>
      <c r="J293" s="340"/>
      <c r="K293" s="340" t="s">
        <v>706</v>
      </c>
      <c r="L293" s="344">
        <v>43252</v>
      </c>
      <c r="M293" s="344">
        <v>43252</v>
      </c>
      <c r="N293" s="340" t="s">
        <v>1434</v>
      </c>
      <c r="O293" s="341">
        <v>0</v>
      </c>
      <c r="P293" s="341">
        <v>14050</v>
      </c>
      <c r="Q293" s="342">
        <v>0</v>
      </c>
      <c r="R293" s="341">
        <v>14056</v>
      </c>
      <c r="S293" s="342">
        <v>0</v>
      </c>
      <c r="T293" s="342">
        <f t="shared" si="55"/>
        <v>0</v>
      </c>
      <c r="U293" s="343">
        <v>0</v>
      </c>
      <c r="V293" s="341">
        <v>54260</v>
      </c>
      <c r="W293" s="342">
        <v>0</v>
      </c>
      <c r="X293" s="340" t="s">
        <v>574</v>
      </c>
      <c r="Y293" s="340"/>
      <c r="Z293" s="340"/>
      <c r="AA293" s="340"/>
      <c r="AB293" s="340" t="s">
        <v>571</v>
      </c>
      <c r="AC293" s="340" t="s">
        <v>570</v>
      </c>
      <c r="AD293" s="341" t="s">
        <v>596</v>
      </c>
      <c r="AE293" s="340"/>
      <c r="AF293" s="341" t="s">
        <v>568</v>
      </c>
      <c r="AG293" s="340">
        <v>0</v>
      </c>
      <c r="AH293" s="340">
        <v>0</v>
      </c>
      <c r="AI293" s="377"/>
      <c r="AK293" s="493">
        <f t="shared" si="45"/>
        <v>6</v>
      </c>
      <c r="AL293" s="493">
        <f t="shared" si="46"/>
        <v>2018</v>
      </c>
      <c r="AM293" s="493">
        <f t="shared" si="47"/>
        <v>2018</v>
      </c>
      <c r="AN293" s="494">
        <f t="shared" si="48"/>
        <v>2018.5</v>
      </c>
      <c r="AO293" s="505">
        <f t="shared" si="49"/>
        <v>0</v>
      </c>
      <c r="AP293" s="505">
        <f t="shared" si="50"/>
        <v>0</v>
      </c>
      <c r="AQ293" s="505">
        <f t="shared" si="51"/>
        <v>0</v>
      </c>
      <c r="AR293" s="505">
        <f t="shared" si="52"/>
        <v>0</v>
      </c>
      <c r="AS293" s="505">
        <f t="shared" si="53"/>
        <v>0</v>
      </c>
      <c r="AT293" s="506">
        <f t="shared" si="54"/>
        <v>0</v>
      </c>
    </row>
    <row r="294" spans="1:46">
      <c r="A294" s="341">
        <v>2112</v>
      </c>
      <c r="B294" s="345">
        <v>197793</v>
      </c>
      <c r="C294" s="341" t="s">
        <v>574</v>
      </c>
      <c r="D294" s="340" t="s">
        <v>415</v>
      </c>
      <c r="E294" s="341"/>
      <c r="F294" s="340" t="s">
        <v>1433</v>
      </c>
      <c r="G294" s="340" t="s">
        <v>1432</v>
      </c>
      <c r="H294" s="340">
        <v>2018</v>
      </c>
      <c r="I294" s="340" t="s">
        <v>1431</v>
      </c>
      <c r="J294" s="340" t="s">
        <v>1430</v>
      </c>
      <c r="K294" s="340" t="s">
        <v>1429</v>
      </c>
      <c r="L294" s="344">
        <v>43266</v>
      </c>
      <c r="M294" s="344">
        <v>43266</v>
      </c>
      <c r="N294" s="340" t="s">
        <v>1428</v>
      </c>
      <c r="O294" s="341">
        <v>1000</v>
      </c>
      <c r="P294" s="341">
        <v>14040</v>
      </c>
      <c r="Q294" s="342">
        <v>48480.12</v>
      </c>
      <c r="R294" s="341">
        <v>14046</v>
      </c>
      <c r="S294" s="342">
        <v>25048.06</v>
      </c>
      <c r="T294" s="342">
        <f t="shared" si="55"/>
        <v>23432.06</v>
      </c>
      <c r="U294" s="343">
        <v>2828.01</v>
      </c>
      <c r="V294" s="341">
        <v>51260</v>
      </c>
      <c r="W294" s="342">
        <v>404</v>
      </c>
      <c r="X294" s="340" t="s">
        <v>574</v>
      </c>
      <c r="Y294" s="340"/>
      <c r="Z294" s="340">
        <v>307104</v>
      </c>
      <c r="AA294" s="340">
        <v>738</v>
      </c>
      <c r="AB294" s="340" t="s">
        <v>571</v>
      </c>
      <c r="AC294" s="340" t="s">
        <v>570</v>
      </c>
      <c r="AD294" s="341" t="s">
        <v>569</v>
      </c>
      <c r="AE294" s="340"/>
      <c r="AF294" s="341" t="s">
        <v>568</v>
      </c>
      <c r="AG294" s="340">
        <v>0</v>
      </c>
      <c r="AH294" s="340">
        <v>0</v>
      </c>
      <c r="AI294" s="377"/>
      <c r="AK294" s="493">
        <f t="shared" si="45"/>
        <v>6</v>
      </c>
      <c r="AL294" s="493">
        <f t="shared" si="46"/>
        <v>2018</v>
      </c>
      <c r="AM294" s="493">
        <f t="shared" si="47"/>
        <v>2028</v>
      </c>
      <c r="AN294" s="494">
        <f t="shared" si="48"/>
        <v>2028.5</v>
      </c>
      <c r="AO294" s="505">
        <f t="shared" si="49"/>
        <v>404.00100000000003</v>
      </c>
      <c r="AP294" s="505">
        <f t="shared" si="50"/>
        <v>4848.0120000000006</v>
      </c>
      <c r="AQ294" s="505">
        <f t="shared" si="51"/>
        <v>4848.0120000000006</v>
      </c>
      <c r="AR294" s="505">
        <f t="shared" si="52"/>
        <v>20200.050000000367</v>
      </c>
      <c r="AS294" s="505">
        <f t="shared" si="53"/>
        <v>25048.062000000369</v>
      </c>
      <c r="AT294" s="506">
        <f t="shared" si="54"/>
        <v>23432.057999999633</v>
      </c>
    </row>
    <row r="295" spans="1:46">
      <c r="A295" s="341">
        <v>2112</v>
      </c>
      <c r="B295" s="345">
        <v>196591</v>
      </c>
      <c r="C295" s="341" t="s">
        <v>574</v>
      </c>
      <c r="D295" s="340" t="s">
        <v>426</v>
      </c>
      <c r="E295" s="341"/>
      <c r="F295" s="340"/>
      <c r="G295" s="340" t="s">
        <v>1394</v>
      </c>
      <c r="H295" s="340">
        <v>0</v>
      </c>
      <c r="I295" s="340" t="s">
        <v>831</v>
      </c>
      <c r="J295" s="340"/>
      <c r="K295" s="340"/>
      <c r="L295" s="344">
        <v>43181</v>
      </c>
      <c r="M295" s="344">
        <v>43181</v>
      </c>
      <c r="N295" s="340" t="s">
        <v>1416</v>
      </c>
      <c r="O295" s="341">
        <v>300</v>
      </c>
      <c r="P295" s="341">
        <v>14110</v>
      </c>
      <c r="Q295" s="342">
        <v>76.3</v>
      </c>
      <c r="R295" s="341">
        <v>14116</v>
      </c>
      <c r="S295" s="342">
        <v>76.3</v>
      </c>
      <c r="T295" s="342">
        <f t="shared" si="55"/>
        <v>0</v>
      </c>
      <c r="U295" s="343">
        <v>0</v>
      </c>
      <c r="V295" s="341">
        <v>70260</v>
      </c>
      <c r="W295" s="342">
        <v>0</v>
      </c>
      <c r="X295" s="340" t="s">
        <v>574</v>
      </c>
      <c r="Y295" s="340"/>
      <c r="Z295" s="340" t="s">
        <v>1427</v>
      </c>
      <c r="AA295" s="340"/>
      <c r="AB295" s="340" t="s">
        <v>571</v>
      </c>
      <c r="AC295" s="340" t="s">
        <v>570</v>
      </c>
      <c r="AD295" s="341" t="s">
        <v>569</v>
      </c>
      <c r="AE295" s="340"/>
      <c r="AF295" s="341" t="s">
        <v>568</v>
      </c>
      <c r="AG295" s="340">
        <v>0</v>
      </c>
      <c r="AH295" s="340">
        <v>0</v>
      </c>
      <c r="AI295" s="377"/>
      <c r="AK295" s="493">
        <f t="shared" si="45"/>
        <v>3</v>
      </c>
      <c r="AL295" s="493">
        <f t="shared" si="46"/>
        <v>2018</v>
      </c>
      <c r="AM295" s="493">
        <f t="shared" si="47"/>
        <v>2021</v>
      </c>
      <c r="AN295" s="494">
        <f t="shared" si="48"/>
        <v>2021.25</v>
      </c>
      <c r="AO295" s="505">
        <f t="shared" si="49"/>
        <v>2.1194444444444445</v>
      </c>
      <c r="AP295" s="505">
        <f t="shared" si="50"/>
        <v>25.433333333333334</v>
      </c>
      <c r="AQ295" s="505">
        <f t="shared" si="51"/>
        <v>0</v>
      </c>
      <c r="AR295" s="505">
        <f t="shared" si="52"/>
        <v>76.3</v>
      </c>
      <c r="AS295" s="505">
        <f t="shared" si="53"/>
        <v>76.3</v>
      </c>
      <c r="AT295" s="506">
        <f t="shared" si="54"/>
        <v>0</v>
      </c>
    </row>
    <row r="296" spans="1:46">
      <c r="A296" s="341">
        <v>2112</v>
      </c>
      <c r="B296" s="345">
        <v>195618</v>
      </c>
      <c r="C296" s="341" t="s">
        <v>574</v>
      </c>
      <c r="D296" s="340" t="s">
        <v>414</v>
      </c>
      <c r="E296" s="341"/>
      <c r="F296" s="340" t="s">
        <v>1426</v>
      </c>
      <c r="G296" s="340" t="s">
        <v>1425</v>
      </c>
      <c r="H296" s="340">
        <v>2018</v>
      </c>
      <c r="I296" s="340" t="s">
        <v>1136</v>
      </c>
      <c r="J296" s="340" t="s">
        <v>1424</v>
      </c>
      <c r="K296" s="340" t="s">
        <v>1659</v>
      </c>
      <c r="L296" s="344">
        <v>43191</v>
      </c>
      <c r="M296" s="344">
        <v>43191</v>
      </c>
      <c r="N296" s="340" t="s">
        <v>1423</v>
      </c>
      <c r="O296" s="341">
        <v>700</v>
      </c>
      <c r="P296" s="341">
        <v>14040</v>
      </c>
      <c r="Q296" s="342">
        <v>123835.04</v>
      </c>
      <c r="R296" s="341">
        <v>14046</v>
      </c>
      <c r="S296" s="342">
        <v>94350.51</v>
      </c>
      <c r="T296" s="342">
        <f t="shared" si="55"/>
        <v>29484.53</v>
      </c>
      <c r="U296" s="343">
        <v>10319.59</v>
      </c>
      <c r="V296" s="341">
        <v>51260</v>
      </c>
      <c r="W296" s="342">
        <v>1474.23</v>
      </c>
      <c r="X296" s="340" t="s">
        <v>574</v>
      </c>
      <c r="Y296" s="340"/>
      <c r="Z296" s="340" t="s">
        <v>1422</v>
      </c>
      <c r="AA296" s="340" t="s">
        <v>1421</v>
      </c>
      <c r="AB296" s="340" t="s">
        <v>571</v>
      </c>
      <c r="AC296" s="340" t="s">
        <v>570</v>
      </c>
      <c r="AD296" s="341" t="s">
        <v>569</v>
      </c>
      <c r="AE296" s="340"/>
      <c r="AF296" s="341" t="s">
        <v>568</v>
      </c>
      <c r="AG296" s="340">
        <v>0</v>
      </c>
      <c r="AH296" s="340">
        <v>0</v>
      </c>
      <c r="AI296" s="377"/>
      <c r="AK296" s="493">
        <f t="shared" si="45"/>
        <v>4</v>
      </c>
      <c r="AL296" s="493">
        <f t="shared" si="46"/>
        <v>2018</v>
      </c>
      <c r="AM296" s="493">
        <f t="shared" si="47"/>
        <v>2025</v>
      </c>
      <c r="AN296" s="494">
        <f t="shared" si="48"/>
        <v>2025.3333333333333</v>
      </c>
      <c r="AO296" s="505">
        <f t="shared" si="49"/>
        <v>1474.2266666666665</v>
      </c>
      <c r="AP296" s="505">
        <f t="shared" si="50"/>
        <v>17690.719999999998</v>
      </c>
      <c r="AQ296" s="505">
        <f t="shared" si="51"/>
        <v>17690.719999999998</v>
      </c>
      <c r="AR296" s="505">
        <f t="shared" si="52"/>
        <v>76659.786666669359</v>
      </c>
      <c r="AS296" s="505">
        <f t="shared" si="53"/>
        <v>94350.50666666936</v>
      </c>
      <c r="AT296" s="506">
        <f t="shared" si="54"/>
        <v>29484.533333330633</v>
      </c>
    </row>
    <row r="297" spans="1:46">
      <c r="A297" s="341">
        <v>2112</v>
      </c>
      <c r="B297" s="345">
        <v>194954</v>
      </c>
      <c r="C297" s="341" t="s">
        <v>574</v>
      </c>
      <c r="D297" s="340" t="s">
        <v>425</v>
      </c>
      <c r="E297" s="341"/>
      <c r="F297" s="340"/>
      <c r="G297" s="340" t="s">
        <v>1394</v>
      </c>
      <c r="H297" s="340">
        <v>0</v>
      </c>
      <c r="I297" s="340" t="s">
        <v>1420</v>
      </c>
      <c r="J297" s="340"/>
      <c r="K297" s="340"/>
      <c r="L297" s="344">
        <v>43181</v>
      </c>
      <c r="M297" s="344">
        <v>43181</v>
      </c>
      <c r="N297" s="340" t="s">
        <v>1416</v>
      </c>
      <c r="O297" s="341">
        <v>300</v>
      </c>
      <c r="P297" s="341">
        <v>14110</v>
      </c>
      <c r="Q297" s="342">
        <v>935.1</v>
      </c>
      <c r="R297" s="341">
        <v>14116</v>
      </c>
      <c r="S297" s="342">
        <v>935.1</v>
      </c>
      <c r="T297" s="342">
        <f t="shared" si="55"/>
        <v>0</v>
      </c>
      <c r="U297" s="343">
        <v>0</v>
      </c>
      <c r="V297" s="341">
        <v>70260</v>
      </c>
      <c r="W297" s="342">
        <v>0</v>
      </c>
      <c r="X297" s="340" t="s">
        <v>574</v>
      </c>
      <c r="Y297" s="340"/>
      <c r="Z297" s="340" t="s">
        <v>1419</v>
      </c>
      <c r="AA297" s="340"/>
      <c r="AB297" s="340" t="s">
        <v>571</v>
      </c>
      <c r="AC297" s="340" t="s">
        <v>570</v>
      </c>
      <c r="AD297" s="341" t="s">
        <v>569</v>
      </c>
      <c r="AE297" s="340"/>
      <c r="AF297" s="341" t="s">
        <v>568</v>
      </c>
      <c r="AG297" s="340">
        <v>0</v>
      </c>
      <c r="AH297" s="340">
        <v>0</v>
      </c>
      <c r="AI297" s="377"/>
      <c r="AK297" s="493">
        <f t="shared" si="45"/>
        <v>3</v>
      </c>
      <c r="AL297" s="493">
        <f t="shared" si="46"/>
        <v>2018</v>
      </c>
      <c r="AM297" s="493">
        <f t="shared" si="47"/>
        <v>2021</v>
      </c>
      <c r="AN297" s="494">
        <f t="shared" si="48"/>
        <v>2021.25</v>
      </c>
      <c r="AO297" s="505">
        <f t="shared" si="49"/>
        <v>25.974999999999998</v>
      </c>
      <c r="AP297" s="505">
        <f t="shared" si="50"/>
        <v>311.7</v>
      </c>
      <c r="AQ297" s="505">
        <f t="shared" si="51"/>
        <v>0</v>
      </c>
      <c r="AR297" s="505">
        <f t="shared" si="52"/>
        <v>935.1</v>
      </c>
      <c r="AS297" s="505">
        <f t="shared" si="53"/>
        <v>935.1</v>
      </c>
      <c r="AT297" s="506">
        <f t="shared" si="54"/>
        <v>0</v>
      </c>
    </row>
    <row r="298" spans="1:46">
      <c r="A298" s="341">
        <v>2112</v>
      </c>
      <c r="B298" s="345">
        <v>194952</v>
      </c>
      <c r="C298" s="341" t="s">
        <v>574</v>
      </c>
      <c r="D298" s="340" t="s">
        <v>423</v>
      </c>
      <c r="E298" s="341"/>
      <c r="F298" s="340"/>
      <c r="G298" s="340" t="s">
        <v>1394</v>
      </c>
      <c r="H298" s="340">
        <v>0</v>
      </c>
      <c r="I298" s="340" t="s">
        <v>1418</v>
      </c>
      <c r="J298" s="340"/>
      <c r="K298" s="340"/>
      <c r="L298" s="344">
        <v>43101</v>
      </c>
      <c r="M298" s="344">
        <v>43101</v>
      </c>
      <c r="N298" s="340" t="s">
        <v>1409</v>
      </c>
      <c r="O298" s="341">
        <v>209</v>
      </c>
      <c r="P298" s="341">
        <v>14090</v>
      </c>
      <c r="Q298" s="342">
        <v>5129.8</v>
      </c>
      <c r="R298" s="341">
        <v>14096</v>
      </c>
      <c r="S298" s="342">
        <v>5129.8</v>
      </c>
      <c r="T298" s="342">
        <f t="shared" si="55"/>
        <v>0</v>
      </c>
      <c r="U298" s="343">
        <v>0</v>
      </c>
      <c r="V298" s="341">
        <v>57260</v>
      </c>
      <c r="W298" s="342">
        <v>0</v>
      </c>
      <c r="X298" s="340" t="s">
        <v>574</v>
      </c>
      <c r="Y298" s="340"/>
      <c r="Z298" s="340">
        <v>15814</v>
      </c>
      <c r="AA298" s="340"/>
      <c r="AB298" s="340" t="s">
        <v>571</v>
      </c>
      <c r="AC298" s="340" t="s">
        <v>570</v>
      </c>
      <c r="AD298" s="341" t="s">
        <v>569</v>
      </c>
      <c r="AE298" s="340"/>
      <c r="AF298" s="341" t="s">
        <v>568</v>
      </c>
      <c r="AG298" s="340">
        <v>0</v>
      </c>
      <c r="AH298" s="340">
        <v>0</v>
      </c>
      <c r="AI298" s="377"/>
      <c r="AK298" s="493">
        <f t="shared" si="45"/>
        <v>1</v>
      </c>
      <c r="AL298" s="493">
        <f t="shared" si="46"/>
        <v>2018</v>
      </c>
      <c r="AM298" s="493">
        <f t="shared" si="47"/>
        <v>2020.09</v>
      </c>
      <c r="AN298" s="494">
        <f t="shared" si="48"/>
        <v>2020.1733333333332</v>
      </c>
      <c r="AO298" s="505">
        <f t="shared" si="49"/>
        <v>204.53748006379587</v>
      </c>
      <c r="AP298" s="505">
        <f t="shared" si="50"/>
        <v>2454.4497607655503</v>
      </c>
      <c r="AQ298" s="505">
        <f t="shared" si="51"/>
        <v>0</v>
      </c>
      <c r="AR298" s="505">
        <f t="shared" si="52"/>
        <v>5129.8</v>
      </c>
      <c r="AS298" s="505">
        <f t="shared" si="53"/>
        <v>5129.8</v>
      </c>
      <c r="AT298" s="506">
        <f t="shared" si="54"/>
        <v>0</v>
      </c>
    </row>
    <row r="299" spans="1:46">
      <c r="A299" s="341">
        <v>2112</v>
      </c>
      <c r="B299" s="345">
        <v>194814</v>
      </c>
      <c r="C299" s="341" t="s">
        <v>574</v>
      </c>
      <c r="D299" s="340" t="s">
        <v>424</v>
      </c>
      <c r="E299" s="341"/>
      <c r="F299" s="340"/>
      <c r="G299" s="340" t="s">
        <v>1394</v>
      </c>
      <c r="H299" s="340">
        <v>0</v>
      </c>
      <c r="I299" s="340" t="s">
        <v>1417</v>
      </c>
      <c r="J299" s="340"/>
      <c r="K299" s="340"/>
      <c r="L299" s="344">
        <v>43179</v>
      </c>
      <c r="M299" s="344">
        <v>43179</v>
      </c>
      <c r="N299" s="340" t="s">
        <v>1416</v>
      </c>
      <c r="O299" s="341">
        <v>300</v>
      </c>
      <c r="P299" s="341">
        <v>14110</v>
      </c>
      <c r="Q299" s="342">
        <v>1118.2</v>
      </c>
      <c r="R299" s="341">
        <v>14116</v>
      </c>
      <c r="S299" s="342">
        <v>1118.2</v>
      </c>
      <c r="T299" s="342">
        <f t="shared" si="55"/>
        <v>0</v>
      </c>
      <c r="U299" s="343">
        <v>0</v>
      </c>
      <c r="V299" s="341">
        <v>70260</v>
      </c>
      <c r="W299" s="342">
        <v>0</v>
      </c>
      <c r="X299" s="340" t="s">
        <v>574</v>
      </c>
      <c r="Y299" s="340"/>
      <c r="Z299" s="340" t="s">
        <v>1415</v>
      </c>
      <c r="AA299" s="340"/>
      <c r="AB299" s="340" t="s">
        <v>571</v>
      </c>
      <c r="AC299" s="340" t="s">
        <v>570</v>
      </c>
      <c r="AD299" s="341" t="s">
        <v>569</v>
      </c>
      <c r="AE299" s="340"/>
      <c r="AF299" s="341" t="s">
        <v>568</v>
      </c>
      <c r="AG299" s="340">
        <v>0</v>
      </c>
      <c r="AH299" s="340">
        <v>0</v>
      </c>
      <c r="AI299" s="377"/>
      <c r="AK299" s="493">
        <f t="shared" si="45"/>
        <v>3</v>
      </c>
      <c r="AL299" s="493">
        <f t="shared" si="46"/>
        <v>2018</v>
      </c>
      <c r="AM299" s="493">
        <f t="shared" si="47"/>
        <v>2021</v>
      </c>
      <c r="AN299" s="494">
        <f t="shared" si="48"/>
        <v>2021.25</v>
      </c>
      <c r="AO299" s="505">
        <f t="shared" si="49"/>
        <v>31.061111111111114</v>
      </c>
      <c r="AP299" s="505">
        <f t="shared" si="50"/>
        <v>372.73333333333335</v>
      </c>
      <c r="AQ299" s="505">
        <f t="shared" si="51"/>
        <v>0</v>
      </c>
      <c r="AR299" s="505">
        <f t="shared" si="52"/>
        <v>1118.2</v>
      </c>
      <c r="AS299" s="505">
        <f t="shared" si="53"/>
        <v>1118.2</v>
      </c>
      <c r="AT299" s="506">
        <f t="shared" si="54"/>
        <v>0</v>
      </c>
    </row>
    <row r="300" spans="1:46">
      <c r="A300" s="341">
        <v>2112</v>
      </c>
      <c r="B300" s="345">
        <v>194634</v>
      </c>
      <c r="C300" s="341" t="s">
        <v>574</v>
      </c>
      <c r="D300" s="340" t="s">
        <v>422</v>
      </c>
      <c r="E300" s="341"/>
      <c r="F300" s="340"/>
      <c r="G300" s="340" t="s">
        <v>1394</v>
      </c>
      <c r="H300" s="340">
        <v>0</v>
      </c>
      <c r="I300" s="340" t="s">
        <v>861</v>
      </c>
      <c r="J300" s="340"/>
      <c r="K300" s="340"/>
      <c r="L300" s="344">
        <v>43101</v>
      </c>
      <c r="M300" s="344">
        <v>43101</v>
      </c>
      <c r="N300" s="340" t="s">
        <v>1414</v>
      </c>
      <c r="O300" s="341">
        <v>300</v>
      </c>
      <c r="P300" s="341">
        <v>14090</v>
      </c>
      <c r="Q300" s="342">
        <v>98486.82</v>
      </c>
      <c r="R300" s="341">
        <v>14096</v>
      </c>
      <c r="S300" s="342">
        <v>98486.82</v>
      </c>
      <c r="T300" s="342">
        <f t="shared" si="55"/>
        <v>0</v>
      </c>
      <c r="U300" s="343">
        <v>0</v>
      </c>
      <c r="V300" s="341">
        <v>57260</v>
      </c>
      <c r="W300" s="342">
        <v>0</v>
      </c>
      <c r="X300" s="340" t="s">
        <v>574</v>
      </c>
      <c r="Y300" s="340"/>
      <c r="Z300" s="340">
        <v>10</v>
      </c>
      <c r="AA300" s="340"/>
      <c r="AB300" s="340" t="s">
        <v>571</v>
      </c>
      <c r="AC300" s="340" t="s">
        <v>570</v>
      </c>
      <c r="AD300" s="341" t="s">
        <v>569</v>
      </c>
      <c r="AE300" s="340"/>
      <c r="AF300" s="341" t="s">
        <v>568</v>
      </c>
      <c r="AG300" s="340">
        <v>0</v>
      </c>
      <c r="AH300" s="340">
        <v>0</v>
      </c>
      <c r="AI300" s="377"/>
      <c r="AK300" s="493">
        <f t="shared" si="45"/>
        <v>1</v>
      </c>
      <c r="AL300" s="493">
        <f t="shared" si="46"/>
        <v>2018</v>
      </c>
      <c r="AM300" s="493">
        <f t="shared" si="47"/>
        <v>2021</v>
      </c>
      <c r="AN300" s="494">
        <f t="shared" si="48"/>
        <v>2021.0833333333333</v>
      </c>
      <c r="AO300" s="505">
        <f t="shared" si="49"/>
        <v>2735.7450000000003</v>
      </c>
      <c r="AP300" s="505">
        <f t="shared" si="50"/>
        <v>32828.94</v>
      </c>
      <c r="AQ300" s="505">
        <f t="shared" si="51"/>
        <v>0</v>
      </c>
      <c r="AR300" s="505">
        <f t="shared" si="52"/>
        <v>98486.82</v>
      </c>
      <c r="AS300" s="505">
        <f t="shared" si="53"/>
        <v>98486.82</v>
      </c>
      <c r="AT300" s="506">
        <f t="shared" si="54"/>
        <v>0</v>
      </c>
    </row>
    <row r="301" spans="1:46">
      <c r="A301" s="341">
        <v>2112</v>
      </c>
      <c r="B301" s="345">
        <v>190224</v>
      </c>
      <c r="C301" s="341" t="s">
        <v>574</v>
      </c>
      <c r="D301" s="340" t="s">
        <v>401</v>
      </c>
      <c r="E301" s="341"/>
      <c r="F301" s="340"/>
      <c r="G301" s="340"/>
      <c r="H301" s="340">
        <v>0</v>
      </c>
      <c r="I301" s="340" t="s">
        <v>976</v>
      </c>
      <c r="J301" s="340"/>
      <c r="K301" s="340"/>
      <c r="L301" s="344">
        <v>43100</v>
      </c>
      <c r="M301" s="344">
        <v>43100</v>
      </c>
      <c r="N301" s="340" t="s">
        <v>1413</v>
      </c>
      <c r="O301" s="341">
        <v>1000</v>
      </c>
      <c r="P301" s="341">
        <v>14010</v>
      </c>
      <c r="Q301" s="342">
        <v>107611.16</v>
      </c>
      <c r="R301" s="341">
        <v>14016</v>
      </c>
      <c r="S301" s="342">
        <v>60082.92</v>
      </c>
      <c r="T301" s="342">
        <f t="shared" si="55"/>
        <v>47528.240000000005</v>
      </c>
      <c r="U301" s="343">
        <v>6277.32</v>
      </c>
      <c r="V301" s="341">
        <v>57260</v>
      </c>
      <c r="W301" s="342">
        <v>896.76</v>
      </c>
      <c r="X301" s="340" t="s">
        <v>574</v>
      </c>
      <c r="Y301" s="340"/>
      <c r="Z301" s="340" t="s">
        <v>1412</v>
      </c>
      <c r="AA301" s="340"/>
      <c r="AB301" s="340" t="s">
        <v>571</v>
      </c>
      <c r="AC301" s="340" t="s">
        <v>570</v>
      </c>
      <c r="AD301" s="341" t="s">
        <v>569</v>
      </c>
      <c r="AE301" s="340"/>
      <c r="AF301" s="341" t="s">
        <v>568</v>
      </c>
      <c r="AG301" s="340">
        <v>0</v>
      </c>
      <c r="AH301" s="340">
        <v>0</v>
      </c>
      <c r="AI301" s="377"/>
      <c r="AK301" s="493">
        <f t="shared" si="45"/>
        <v>12</v>
      </c>
      <c r="AL301" s="493">
        <f t="shared" si="46"/>
        <v>2017</v>
      </c>
      <c r="AM301" s="493">
        <f t="shared" si="47"/>
        <v>2027</v>
      </c>
      <c r="AN301" s="494">
        <f t="shared" si="48"/>
        <v>2028</v>
      </c>
      <c r="AO301" s="505">
        <f t="shared" si="49"/>
        <v>896.7596666666667</v>
      </c>
      <c r="AP301" s="505">
        <f t="shared" si="50"/>
        <v>10761.116</v>
      </c>
      <c r="AQ301" s="505">
        <f t="shared" si="51"/>
        <v>10761.116</v>
      </c>
      <c r="AR301" s="505">
        <f t="shared" si="52"/>
        <v>50218.541333334149</v>
      </c>
      <c r="AS301" s="505">
        <f t="shared" si="53"/>
        <v>60979.657333334151</v>
      </c>
      <c r="AT301" s="506">
        <f t="shared" si="54"/>
        <v>46631.502666665852</v>
      </c>
    </row>
    <row r="302" spans="1:46">
      <c r="A302" s="341">
        <v>2112</v>
      </c>
      <c r="B302" s="345">
        <v>190223</v>
      </c>
      <c r="C302" s="341" t="s">
        <v>574</v>
      </c>
      <c r="D302" s="340" t="s">
        <v>402</v>
      </c>
      <c r="E302" s="341"/>
      <c r="F302" s="340"/>
      <c r="G302" s="340"/>
      <c r="H302" s="340">
        <v>0</v>
      </c>
      <c r="I302" s="340" t="s">
        <v>976</v>
      </c>
      <c r="J302" s="340"/>
      <c r="K302" s="340"/>
      <c r="L302" s="344">
        <v>43100</v>
      </c>
      <c r="M302" s="344">
        <v>43100</v>
      </c>
      <c r="N302" s="340" t="s">
        <v>1411</v>
      </c>
      <c r="O302" s="341">
        <v>1000</v>
      </c>
      <c r="P302" s="341">
        <v>14080</v>
      </c>
      <c r="Q302" s="342">
        <v>49999.44</v>
      </c>
      <c r="R302" s="341">
        <v>14086</v>
      </c>
      <c r="S302" s="342">
        <v>27916.33</v>
      </c>
      <c r="T302" s="342">
        <f t="shared" si="55"/>
        <v>22083.11</v>
      </c>
      <c r="U302" s="343">
        <v>2916.63</v>
      </c>
      <c r="V302" s="341">
        <v>57260</v>
      </c>
      <c r="W302" s="342">
        <v>416.66</v>
      </c>
      <c r="X302" s="340" t="s">
        <v>574</v>
      </c>
      <c r="Y302" s="340"/>
      <c r="Z302" s="340" t="s">
        <v>1410</v>
      </c>
      <c r="AA302" s="340"/>
      <c r="AB302" s="340" t="s">
        <v>571</v>
      </c>
      <c r="AC302" s="340" t="s">
        <v>570</v>
      </c>
      <c r="AD302" s="341" t="s">
        <v>569</v>
      </c>
      <c r="AE302" s="340"/>
      <c r="AF302" s="341" t="s">
        <v>568</v>
      </c>
      <c r="AG302" s="340">
        <v>0</v>
      </c>
      <c r="AH302" s="340">
        <v>0</v>
      </c>
      <c r="AI302" s="377"/>
      <c r="AK302" s="493">
        <f t="shared" si="45"/>
        <v>12</v>
      </c>
      <c r="AL302" s="493">
        <f t="shared" si="46"/>
        <v>2017</v>
      </c>
      <c r="AM302" s="493">
        <f t="shared" si="47"/>
        <v>2027</v>
      </c>
      <c r="AN302" s="494">
        <f t="shared" si="48"/>
        <v>2028</v>
      </c>
      <c r="AO302" s="505">
        <f t="shared" si="49"/>
        <v>416.66200000000003</v>
      </c>
      <c r="AP302" s="505">
        <f t="shared" si="50"/>
        <v>4999.9440000000004</v>
      </c>
      <c r="AQ302" s="505">
        <f t="shared" si="51"/>
        <v>4999.9440000000004</v>
      </c>
      <c r="AR302" s="505">
        <f t="shared" si="52"/>
        <v>23333.072000000378</v>
      </c>
      <c r="AS302" s="505">
        <f t="shared" si="53"/>
        <v>28333.016000000378</v>
      </c>
      <c r="AT302" s="506">
        <f t="shared" si="54"/>
        <v>21666.423999999624</v>
      </c>
    </row>
    <row r="303" spans="1:46">
      <c r="A303" s="341">
        <v>2112</v>
      </c>
      <c r="B303" s="345">
        <v>190222</v>
      </c>
      <c r="C303" s="341" t="s">
        <v>574</v>
      </c>
      <c r="D303" s="340" t="s">
        <v>403</v>
      </c>
      <c r="E303" s="341"/>
      <c r="F303" s="340"/>
      <c r="G303" s="340"/>
      <c r="H303" s="340">
        <v>0</v>
      </c>
      <c r="I303" s="340" t="s">
        <v>976</v>
      </c>
      <c r="J303" s="340"/>
      <c r="K303" s="340"/>
      <c r="L303" s="344">
        <v>43084</v>
      </c>
      <c r="M303" s="344">
        <v>43084</v>
      </c>
      <c r="N303" s="340" t="s">
        <v>1409</v>
      </c>
      <c r="O303" s="341">
        <v>1000</v>
      </c>
      <c r="P303" s="341">
        <v>14010</v>
      </c>
      <c r="Q303" s="342">
        <v>16010.54</v>
      </c>
      <c r="R303" s="341">
        <v>14016</v>
      </c>
      <c r="S303" s="342">
        <v>9072.41</v>
      </c>
      <c r="T303" s="342">
        <f t="shared" si="55"/>
        <v>6938.130000000001</v>
      </c>
      <c r="U303" s="343">
        <v>933.94</v>
      </c>
      <c r="V303" s="341">
        <v>57260</v>
      </c>
      <c r="W303" s="342">
        <v>133.41</v>
      </c>
      <c r="X303" s="340" t="s">
        <v>574</v>
      </c>
      <c r="Y303" s="340"/>
      <c r="Z303" s="340">
        <v>2</v>
      </c>
      <c r="AA303" s="340"/>
      <c r="AB303" s="340" t="s">
        <v>571</v>
      </c>
      <c r="AC303" s="340" t="s">
        <v>570</v>
      </c>
      <c r="AD303" s="341" t="s">
        <v>569</v>
      </c>
      <c r="AE303" s="340"/>
      <c r="AF303" s="341" t="s">
        <v>568</v>
      </c>
      <c r="AG303" s="340">
        <v>0</v>
      </c>
      <c r="AH303" s="340">
        <v>0</v>
      </c>
      <c r="AI303" s="377"/>
      <c r="AK303" s="493">
        <f t="shared" si="45"/>
        <v>12</v>
      </c>
      <c r="AL303" s="493">
        <f t="shared" si="46"/>
        <v>2017</v>
      </c>
      <c r="AM303" s="493">
        <f t="shared" si="47"/>
        <v>2027</v>
      </c>
      <c r="AN303" s="494">
        <f t="shared" si="48"/>
        <v>2028</v>
      </c>
      <c r="AO303" s="505">
        <f t="shared" si="49"/>
        <v>133.42116666666666</v>
      </c>
      <c r="AP303" s="505">
        <f t="shared" si="50"/>
        <v>1601.0540000000001</v>
      </c>
      <c r="AQ303" s="505">
        <f t="shared" si="51"/>
        <v>1601.0540000000001</v>
      </c>
      <c r="AR303" s="505">
        <f t="shared" si="52"/>
        <v>7471.5853333334562</v>
      </c>
      <c r="AS303" s="505">
        <f t="shared" si="53"/>
        <v>9072.6393333334563</v>
      </c>
      <c r="AT303" s="506">
        <f t="shared" si="54"/>
        <v>6937.9006666665446</v>
      </c>
    </row>
    <row r="304" spans="1:46">
      <c r="A304" s="341">
        <v>2112</v>
      </c>
      <c r="B304" s="345">
        <v>188448</v>
      </c>
      <c r="C304" s="341">
        <v>68916</v>
      </c>
      <c r="D304" s="340" t="s">
        <v>1408</v>
      </c>
      <c r="E304" s="341">
        <v>0</v>
      </c>
      <c r="F304" s="340" t="s">
        <v>1407</v>
      </c>
      <c r="G304" s="340"/>
      <c r="H304" s="340">
        <v>2009</v>
      </c>
      <c r="I304" s="340" t="s">
        <v>1163</v>
      </c>
      <c r="J304" s="340" t="s">
        <v>1359</v>
      </c>
      <c r="K304" s="340" t="s">
        <v>906</v>
      </c>
      <c r="L304" s="344">
        <v>40085</v>
      </c>
      <c r="M304" s="344">
        <v>40085</v>
      </c>
      <c r="N304" s="340" t="s">
        <v>1406</v>
      </c>
      <c r="O304" s="341">
        <v>1000</v>
      </c>
      <c r="P304" s="341">
        <v>14040</v>
      </c>
      <c r="Q304" s="342">
        <v>11461.55</v>
      </c>
      <c r="R304" s="341">
        <v>14046</v>
      </c>
      <c r="S304" s="342">
        <v>11461.55</v>
      </c>
      <c r="T304" s="342">
        <f t="shared" si="55"/>
        <v>0</v>
      </c>
      <c r="U304" s="343">
        <v>0</v>
      </c>
      <c r="V304" s="341">
        <v>51260</v>
      </c>
      <c r="W304" s="342">
        <v>0</v>
      </c>
      <c r="X304" s="340" t="s">
        <v>574</v>
      </c>
      <c r="Y304" s="340"/>
      <c r="Z304" s="340" t="s">
        <v>1405</v>
      </c>
      <c r="AA304" s="340"/>
      <c r="AB304" s="340" t="s">
        <v>571</v>
      </c>
      <c r="AC304" s="340" t="s">
        <v>570</v>
      </c>
      <c r="AD304" s="341" t="s">
        <v>569</v>
      </c>
      <c r="AE304" s="346">
        <v>43039</v>
      </c>
      <c r="AF304" s="341" t="s">
        <v>568</v>
      </c>
      <c r="AG304" s="340">
        <v>0</v>
      </c>
      <c r="AH304" s="340">
        <v>9264.7900000000009</v>
      </c>
      <c r="AI304" s="377"/>
      <c r="AK304" s="493">
        <f t="shared" si="45"/>
        <v>9</v>
      </c>
      <c r="AL304" s="493">
        <f t="shared" si="46"/>
        <v>2009</v>
      </c>
      <c r="AM304" s="493">
        <f t="shared" si="47"/>
        <v>2019</v>
      </c>
      <c r="AN304" s="494">
        <f t="shared" si="48"/>
        <v>2019.75</v>
      </c>
      <c r="AO304" s="505">
        <f t="shared" si="49"/>
        <v>95.512916666666669</v>
      </c>
      <c r="AP304" s="505">
        <f t="shared" si="50"/>
        <v>1146.155</v>
      </c>
      <c r="AQ304" s="505">
        <f t="shared" si="51"/>
        <v>0</v>
      </c>
      <c r="AR304" s="505">
        <f t="shared" si="52"/>
        <v>11461.55</v>
      </c>
      <c r="AS304" s="505">
        <f t="shared" si="53"/>
        <v>11461.55</v>
      </c>
      <c r="AT304" s="506">
        <f t="shared" si="54"/>
        <v>0</v>
      </c>
    </row>
    <row r="305" spans="1:46">
      <c r="A305" s="341">
        <v>2112</v>
      </c>
      <c r="B305" s="345">
        <v>186694</v>
      </c>
      <c r="C305" s="341" t="s">
        <v>574</v>
      </c>
      <c r="D305" s="340" t="s">
        <v>1404</v>
      </c>
      <c r="E305" s="341"/>
      <c r="F305" s="340"/>
      <c r="G305" s="340" t="s">
        <v>1394</v>
      </c>
      <c r="H305" s="340">
        <v>0</v>
      </c>
      <c r="I305" s="340" t="s">
        <v>831</v>
      </c>
      <c r="J305" s="340"/>
      <c r="K305" s="340"/>
      <c r="L305" s="344">
        <v>42985</v>
      </c>
      <c r="M305" s="344">
        <v>42985</v>
      </c>
      <c r="N305" s="340" t="s">
        <v>1397</v>
      </c>
      <c r="O305" s="341">
        <v>300</v>
      </c>
      <c r="P305" s="341">
        <v>14110</v>
      </c>
      <c r="Q305" s="342">
        <v>196.51</v>
      </c>
      <c r="R305" s="341">
        <v>14116</v>
      </c>
      <c r="S305" s="342">
        <v>196.51</v>
      </c>
      <c r="T305" s="342">
        <f t="shared" si="55"/>
        <v>0</v>
      </c>
      <c r="U305" s="343">
        <v>0</v>
      </c>
      <c r="V305" s="341">
        <v>70260</v>
      </c>
      <c r="W305" s="342">
        <v>0</v>
      </c>
      <c r="X305" s="340" t="s">
        <v>574</v>
      </c>
      <c r="Y305" s="340"/>
      <c r="Z305" s="340" t="s">
        <v>1403</v>
      </c>
      <c r="AA305" s="340"/>
      <c r="AB305" s="340" t="s">
        <v>571</v>
      </c>
      <c r="AC305" s="340" t="s">
        <v>570</v>
      </c>
      <c r="AD305" s="341" t="s">
        <v>569</v>
      </c>
      <c r="AE305" s="340"/>
      <c r="AF305" s="341" t="s">
        <v>568</v>
      </c>
      <c r="AG305" s="340">
        <v>0</v>
      </c>
      <c r="AH305" s="340">
        <v>0</v>
      </c>
      <c r="AI305" s="377"/>
      <c r="AK305" s="493">
        <f t="shared" si="45"/>
        <v>9</v>
      </c>
      <c r="AL305" s="493">
        <f t="shared" si="46"/>
        <v>2017</v>
      </c>
      <c r="AM305" s="493">
        <f t="shared" si="47"/>
        <v>2020</v>
      </c>
      <c r="AN305" s="494">
        <f t="shared" si="48"/>
        <v>2020.75</v>
      </c>
      <c r="AO305" s="505">
        <f t="shared" si="49"/>
        <v>5.4586111111111109</v>
      </c>
      <c r="AP305" s="505">
        <f t="shared" si="50"/>
        <v>65.50333333333333</v>
      </c>
      <c r="AQ305" s="505">
        <f t="shared" si="51"/>
        <v>0</v>
      </c>
      <c r="AR305" s="505">
        <f t="shared" si="52"/>
        <v>196.51</v>
      </c>
      <c r="AS305" s="505">
        <f t="shared" si="53"/>
        <v>196.51</v>
      </c>
      <c r="AT305" s="506">
        <f t="shared" si="54"/>
        <v>0</v>
      </c>
    </row>
    <row r="306" spans="1:46">
      <c r="A306" s="341">
        <v>2112</v>
      </c>
      <c r="B306" s="345">
        <v>186692</v>
      </c>
      <c r="C306" s="341" t="s">
        <v>574</v>
      </c>
      <c r="D306" s="340" t="s">
        <v>1402</v>
      </c>
      <c r="E306" s="341"/>
      <c r="F306" s="340"/>
      <c r="G306" s="340" t="s">
        <v>1394</v>
      </c>
      <c r="H306" s="340">
        <v>0</v>
      </c>
      <c r="I306" s="340" t="s">
        <v>1401</v>
      </c>
      <c r="J306" s="340"/>
      <c r="K306" s="340"/>
      <c r="L306" s="344">
        <v>43008</v>
      </c>
      <c r="M306" s="344">
        <v>43008</v>
      </c>
      <c r="N306" s="340" t="s">
        <v>1400</v>
      </c>
      <c r="O306" s="341">
        <v>1000</v>
      </c>
      <c r="P306" s="341">
        <v>14100</v>
      </c>
      <c r="Q306" s="342">
        <v>10189.6</v>
      </c>
      <c r="R306" s="341">
        <v>14106</v>
      </c>
      <c r="S306" s="342">
        <v>5943.93</v>
      </c>
      <c r="T306" s="342">
        <f t="shared" si="55"/>
        <v>4245.67</v>
      </c>
      <c r="U306" s="343">
        <v>594.39</v>
      </c>
      <c r="V306" s="341">
        <v>70260</v>
      </c>
      <c r="W306" s="342">
        <v>84.91</v>
      </c>
      <c r="X306" s="340" t="s">
        <v>574</v>
      </c>
      <c r="Y306" s="340"/>
      <c r="Z306" s="340" t="s">
        <v>1399</v>
      </c>
      <c r="AA306" s="340"/>
      <c r="AB306" s="340" t="s">
        <v>571</v>
      </c>
      <c r="AC306" s="340" t="s">
        <v>570</v>
      </c>
      <c r="AD306" s="341" t="s">
        <v>569</v>
      </c>
      <c r="AE306" s="340"/>
      <c r="AF306" s="341" t="s">
        <v>568</v>
      </c>
      <c r="AG306" s="340">
        <v>0</v>
      </c>
      <c r="AH306" s="340">
        <v>0</v>
      </c>
      <c r="AI306" s="377"/>
      <c r="AK306" s="493">
        <f t="shared" si="45"/>
        <v>9</v>
      </c>
      <c r="AL306" s="493">
        <f t="shared" si="46"/>
        <v>2017</v>
      </c>
      <c r="AM306" s="493">
        <f t="shared" si="47"/>
        <v>2027</v>
      </c>
      <c r="AN306" s="494">
        <f t="shared" si="48"/>
        <v>2027.75</v>
      </c>
      <c r="AO306" s="505">
        <f t="shared" si="49"/>
        <v>84.913333333333341</v>
      </c>
      <c r="AP306" s="505">
        <f t="shared" si="50"/>
        <v>1018.96</v>
      </c>
      <c r="AQ306" s="505">
        <f t="shared" si="51"/>
        <v>1018.96</v>
      </c>
      <c r="AR306" s="505">
        <f t="shared" si="52"/>
        <v>5009.8866666667436</v>
      </c>
      <c r="AS306" s="505">
        <f t="shared" si="53"/>
        <v>6028.8466666667437</v>
      </c>
      <c r="AT306" s="506">
        <f t="shared" si="54"/>
        <v>4160.7533333332567</v>
      </c>
    </row>
    <row r="307" spans="1:46">
      <c r="A307" s="341">
        <v>2112</v>
      </c>
      <c r="B307" s="345">
        <v>186565</v>
      </c>
      <c r="C307" s="341" t="s">
        <v>574</v>
      </c>
      <c r="D307" s="340" t="s">
        <v>1398</v>
      </c>
      <c r="E307" s="341"/>
      <c r="F307" s="340"/>
      <c r="G307" s="340" t="s">
        <v>1394</v>
      </c>
      <c r="H307" s="340">
        <v>0</v>
      </c>
      <c r="I307" s="340" t="s">
        <v>831</v>
      </c>
      <c r="J307" s="340"/>
      <c r="K307" s="340"/>
      <c r="L307" s="344">
        <v>42985</v>
      </c>
      <c r="M307" s="344">
        <v>42985</v>
      </c>
      <c r="N307" s="340" t="s">
        <v>1397</v>
      </c>
      <c r="O307" s="341">
        <v>300</v>
      </c>
      <c r="P307" s="341">
        <v>14110</v>
      </c>
      <c r="Q307" s="342">
        <v>1011.73</v>
      </c>
      <c r="R307" s="341">
        <v>14116</v>
      </c>
      <c r="S307" s="342">
        <v>1011.73</v>
      </c>
      <c r="T307" s="342">
        <f t="shared" si="55"/>
        <v>0</v>
      </c>
      <c r="U307" s="343">
        <v>0</v>
      </c>
      <c r="V307" s="341">
        <v>70260</v>
      </c>
      <c r="W307" s="342">
        <v>0</v>
      </c>
      <c r="X307" s="340" t="s">
        <v>574</v>
      </c>
      <c r="Y307" s="340"/>
      <c r="Z307" s="340" t="s">
        <v>1396</v>
      </c>
      <c r="AA307" s="340"/>
      <c r="AB307" s="340" t="s">
        <v>571</v>
      </c>
      <c r="AC307" s="340" t="s">
        <v>570</v>
      </c>
      <c r="AD307" s="341" t="s">
        <v>569</v>
      </c>
      <c r="AE307" s="340"/>
      <c r="AF307" s="341" t="s">
        <v>568</v>
      </c>
      <c r="AG307" s="340">
        <v>0</v>
      </c>
      <c r="AH307" s="340">
        <v>0</v>
      </c>
      <c r="AI307" s="377"/>
      <c r="AK307" s="493">
        <f t="shared" si="45"/>
        <v>9</v>
      </c>
      <c r="AL307" s="493">
        <f t="shared" si="46"/>
        <v>2017</v>
      </c>
      <c r="AM307" s="493">
        <f t="shared" si="47"/>
        <v>2020</v>
      </c>
      <c r="AN307" s="494">
        <f t="shared" si="48"/>
        <v>2020.75</v>
      </c>
      <c r="AO307" s="505">
        <f t="shared" si="49"/>
        <v>28.10361111111111</v>
      </c>
      <c r="AP307" s="505">
        <f t="shared" si="50"/>
        <v>337.24333333333334</v>
      </c>
      <c r="AQ307" s="505">
        <f t="shared" si="51"/>
        <v>0</v>
      </c>
      <c r="AR307" s="505">
        <f t="shared" si="52"/>
        <v>1011.73</v>
      </c>
      <c r="AS307" s="505">
        <f t="shared" si="53"/>
        <v>1011.73</v>
      </c>
      <c r="AT307" s="506">
        <f t="shared" si="54"/>
        <v>0</v>
      </c>
    </row>
    <row r="308" spans="1:46">
      <c r="A308" s="341">
        <v>2112</v>
      </c>
      <c r="B308" s="345">
        <v>186110</v>
      </c>
      <c r="C308" s="341" t="s">
        <v>574</v>
      </c>
      <c r="D308" s="340" t="s">
        <v>1395</v>
      </c>
      <c r="E308" s="341"/>
      <c r="F308" s="340"/>
      <c r="G308" s="340" t="s">
        <v>1394</v>
      </c>
      <c r="H308" s="340">
        <v>0</v>
      </c>
      <c r="I308" s="340" t="s">
        <v>1393</v>
      </c>
      <c r="J308" s="340"/>
      <c r="K308" s="340"/>
      <c r="L308" s="344">
        <v>42996</v>
      </c>
      <c r="M308" s="344">
        <v>42996</v>
      </c>
      <c r="N308" s="340" t="s">
        <v>1392</v>
      </c>
      <c r="O308" s="341">
        <v>500</v>
      </c>
      <c r="P308" s="341">
        <v>14070</v>
      </c>
      <c r="Q308" s="342">
        <v>9103.43</v>
      </c>
      <c r="R308" s="341">
        <v>14076</v>
      </c>
      <c r="S308" s="342">
        <v>9103.43</v>
      </c>
      <c r="T308" s="342">
        <f t="shared" si="55"/>
        <v>0</v>
      </c>
      <c r="U308" s="343">
        <v>0</v>
      </c>
      <c r="V308" s="341">
        <v>51260</v>
      </c>
      <c r="W308" s="342">
        <v>0</v>
      </c>
      <c r="X308" s="340" t="s">
        <v>574</v>
      </c>
      <c r="Y308" s="340"/>
      <c r="Z308" s="340">
        <v>106261</v>
      </c>
      <c r="AA308" s="340"/>
      <c r="AB308" s="340" t="s">
        <v>571</v>
      </c>
      <c r="AC308" s="340" t="s">
        <v>570</v>
      </c>
      <c r="AD308" s="341" t="s">
        <v>569</v>
      </c>
      <c r="AE308" s="340"/>
      <c r="AF308" s="341" t="s">
        <v>568</v>
      </c>
      <c r="AG308" s="340">
        <v>0</v>
      </c>
      <c r="AH308" s="340">
        <v>0</v>
      </c>
      <c r="AI308" s="377"/>
      <c r="AK308" s="493">
        <f t="shared" si="45"/>
        <v>9</v>
      </c>
      <c r="AL308" s="493">
        <f t="shared" si="46"/>
        <v>2017</v>
      </c>
      <c r="AM308" s="493">
        <f t="shared" si="47"/>
        <v>2022</v>
      </c>
      <c r="AN308" s="494">
        <f t="shared" si="48"/>
        <v>2022.75</v>
      </c>
      <c r="AO308" s="505">
        <f t="shared" si="49"/>
        <v>151.72383333333335</v>
      </c>
      <c r="AP308" s="505">
        <f t="shared" si="50"/>
        <v>1820.6860000000001</v>
      </c>
      <c r="AQ308" s="505">
        <f t="shared" si="51"/>
        <v>0</v>
      </c>
      <c r="AR308" s="505">
        <f t="shared" si="52"/>
        <v>8951.7061666668051</v>
      </c>
      <c r="AS308" s="505">
        <f t="shared" si="53"/>
        <v>9103.43</v>
      </c>
      <c r="AT308" s="506">
        <f t="shared" si="54"/>
        <v>0</v>
      </c>
    </row>
    <row r="309" spans="1:46">
      <c r="A309" s="341">
        <v>2112</v>
      </c>
      <c r="B309" s="345">
        <v>185161</v>
      </c>
      <c r="C309" s="341" t="s">
        <v>574</v>
      </c>
      <c r="D309" s="340" t="s">
        <v>378</v>
      </c>
      <c r="E309" s="341"/>
      <c r="F309" s="340" t="s">
        <v>1391</v>
      </c>
      <c r="G309" s="340"/>
      <c r="H309" s="340">
        <v>2014</v>
      </c>
      <c r="I309" s="340" t="s">
        <v>1390</v>
      </c>
      <c r="J309" s="340" t="s">
        <v>1389</v>
      </c>
      <c r="K309" s="340" t="s">
        <v>785</v>
      </c>
      <c r="L309" s="344">
        <v>42915</v>
      </c>
      <c r="M309" s="344">
        <v>42915</v>
      </c>
      <c r="N309" s="340" t="s">
        <v>1388</v>
      </c>
      <c r="O309" s="341">
        <v>700</v>
      </c>
      <c r="P309" s="341">
        <v>14030</v>
      </c>
      <c r="Q309" s="526">
        <v>25365.599999999999</v>
      </c>
      <c r="R309" s="341">
        <v>14036</v>
      </c>
      <c r="S309" s="526">
        <v>22043.87</v>
      </c>
      <c r="T309" s="526">
        <f t="shared" si="55"/>
        <v>3321.7299999999996</v>
      </c>
      <c r="U309" s="527">
        <v>2113.8000000000002</v>
      </c>
      <c r="V309" s="341">
        <v>51260</v>
      </c>
      <c r="W309" s="526">
        <v>301.97000000000003</v>
      </c>
      <c r="X309" s="340" t="s">
        <v>574</v>
      </c>
      <c r="Y309" s="340"/>
      <c r="Z309" s="340" t="s">
        <v>1387</v>
      </c>
      <c r="AA309" s="340"/>
      <c r="AB309" s="340" t="s">
        <v>571</v>
      </c>
      <c r="AC309" s="340" t="s">
        <v>570</v>
      </c>
      <c r="AD309" s="341" t="s">
        <v>569</v>
      </c>
      <c r="AE309" s="340"/>
      <c r="AF309" s="341" t="s">
        <v>568</v>
      </c>
      <c r="AG309" s="340">
        <v>0</v>
      </c>
      <c r="AH309" s="340">
        <v>0</v>
      </c>
      <c r="AI309" s="377"/>
      <c r="AJ309" s="530"/>
      <c r="AK309" s="493">
        <f t="shared" si="45"/>
        <v>6</v>
      </c>
      <c r="AL309" s="493">
        <f t="shared" si="46"/>
        <v>2017</v>
      </c>
      <c r="AM309" s="493">
        <f t="shared" si="47"/>
        <v>2024</v>
      </c>
      <c r="AN309" s="494">
        <f t="shared" si="48"/>
        <v>2024.5</v>
      </c>
      <c r="AO309" s="505">
        <f t="shared" si="49"/>
        <v>301.97142857142859</v>
      </c>
      <c r="AP309" s="505">
        <f t="shared" si="50"/>
        <v>3623.6571428571433</v>
      </c>
      <c r="AQ309" s="505">
        <f t="shared" si="51"/>
        <v>3623.6571428571433</v>
      </c>
      <c r="AR309" s="505">
        <f t="shared" si="52"/>
        <v>18722.228571428845</v>
      </c>
      <c r="AS309" s="505">
        <f t="shared" si="53"/>
        <v>22345.885714285989</v>
      </c>
      <c r="AT309" s="506">
        <f t="shared" si="54"/>
        <v>3019.7142857140097</v>
      </c>
    </row>
    <row r="310" spans="1:46">
      <c r="A310" s="341">
        <v>2112</v>
      </c>
      <c r="B310" s="345">
        <v>184561</v>
      </c>
      <c r="C310" s="341">
        <v>184362</v>
      </c>
      <c r="D310" s="340" t="s">
        <v>1386</v>
      </c>
      <c r="E310" s="341"/>
      <c r="F310" s="340"/>
      <c r="G310" s="340"/>
      <c r="H310" s="340">
        <v>0</v>
      </c>
      <c r="I310" s="340" t="s">
        <v>1385</v>
      </c>
      <c r="J310" s="340"/>
      <c r="K310" s="340" t="s">
        <v>572</v>
      </c>
      <c r="L310" s="344">
        <v>42931</v>
      </c>
      <c r="M310" s="344">
        <v>42931</v>
      </c>
      <c r="N310" s="340" t="s">
        <v>1381</v>
      </c>
      <c r="O310" s="341">
        <v>1000</v>
      </c>
      <c r="P310" s="341">
        <v>14040</v>
      </c>
      <c r="Q310" s="342">
        <v>692</v>
      </c>
      <c r="R310" s="341">
        <v>14046</v>
      </c>
      <c r="S310" s="342">
        <v>420.97</v>
      </c>
      <c r="T310" s="342">
        <f t="shared" si="55"/>
        <v>271.02999999999997</v>
      </c>
      <c r="U310" s="343">
        <v>40.369999999999997</v>
      </c>
      <c r="V310" s="341">
        <v>51260</v>
      </c>
      <c r="W310" s="342">
        <v>5.77</v>
      </c>
      <c r="X310" s="340" t="s">
        <v>574</v>
      </c>
      <c r="Y310" s="340"/>
      <c r="Z310" s="340">
        <v>69171606</v>
      </c>
      <c r="AA310" s="340"/>
      <c r="AB310" s="340" t="s">
        <v>571</v>
      </c>
      <c r="AC310" s="340" t="s">
        <v>570</v>
      </c>
      <c r="AD310" s="341" t="s">
        <v>569</v>
      </c>
      <c r="AE310" s="340"/>
      <c r="AF310" s="341" t="s">
        <v>568</v>
      </c>
      <c r="AG310" s="340">
        <v>0</v>
      </c>
      <c r="AH310" s="340">
        <v>0</v>
      </c>
      <c r="AI310" s="377"/>
      <c r="AK310" s="493">
        <f t="shared" si="45"/>
        <v>7</v>
      </c>
      <c r="AL310" s="493">
        <f t="shared" si="46"/>
        <v>2017</v>
      </c>
      <c r="AM310" s="493">
        <f t="shared" si="47"/>
        <v>2027</v>
      </c>
      <c r="AN310" s="494">
        <f t="shared" si="48"/>
        <v>2027.5833333333333</v>
      </c>
      <c r="AO310" s="505">
        <f t="shared" si="49"/>
        <v>5.7666666666666666</v>
      </c>
      <c r="AP310" s="505">
        <f t="shared" si="50"/>
        <v>69.2</v>
      </c>
      <c r="AQ310" s="505">
        <f t="shared" si="51"/>
        <v>69.2</v>
      </c>
      <c r="AR310" s="505">
        <f t="shared" si="52"/>
        <v>351.76666666667717</v>
      </c>
      <c r="AS310" s="505">
        <f t="shared" si="53"/>
        <v>420.96666666667716</v>
      </c>
      <c r="AT310" s="506">
        <f t="shared" si="54"/>
        <v>271.03333333332284</v>
      </c>
    </row>
    <row r="311" spans="1:46">
      <c r="A311" s="341">
        <v>2112</v>
      </c>
      <c r="B311" s="345">
        <v>184362</v>
      </c>
      <c r="C311" s="341" t="s">
        <v>574</v>
      </c>
      <c r="D311" s="340" t="s">
        <v>377</v>
      </c>
      <c r="E311" s="341"/>
      <c r="F311" s="340" t="s">
        <v>1384</v>
      </c>
      <c r="G311" s="340" t="s">
        <v>1383</v>
      </c>
      <c r="H311" s="340">
        <v>2018</v>
      </c>
      <c r="I311" s="340" t="s">
        <v>1382</v>
      </c>
      <c r="J311" s="340" t="s">
        <v>855</v>
      </c>
      <c r="K311" s="340" t="s">
        <v>767</v>
      </c>
      <c r="L311" s="344">
        <v>42931</v>
      </c>
      <c r="M311" s="344">
        <v>42931</v>
      </c>
      <c r="N311" s="340" t="s">
        <v>1381</v>
      </c>
      <c r="O311" s="341">
        <v>1000</v>
      </c>
      <c r="P311" s="341">
        <v>14040</v>
      </c>
      <c r="Q311" s="342">
        <v>328375.48</v>
      </c>
      <c r="R311" s="341">
        <v>14046</v>
      </c>
      <c r="S311" s="342">
        <v>199761.7</v>
      </c>
      <c r="T311" s="342">
        <f t="shared" si="55"/>
        <v>128613.77999999997</v>
      </c>
      <c r="U311" s="343">
        <v>19155.240000000002</v>
      </c>
      <c r="V311" s="341">
        <v>51260</v>
      </c>
      <c r="W311" s="342">
        <v>2736.46</v>
      </c>
      <c r="X311" s="340" t="s">
        <v>574</v>
      </c>
      <c r="Y311" s="340"/>
      <c r="Z311" s="340" t="s">
        <v>1380</v>
      </c>
      <c r="AA311" s="340">
        <v>887</v>
      </c>
      <c r="AB311" s="340" t="s">
        <v>571</v>
      </c>
      <c r="AC311" s="340" t="s">
        <v>570</v>
      </c>
      <c r="AD311" s="341" t="s">
        <v>569</v>
      </c>
      <c r="AE311" s="340"/>
      <c r="AF311" s="341" t="s">
        <v>568</v>
      </c>
      <c r="AG311" s="340">
        <v>0</v>
      </c>
      <c r="AH311" s="340">
        <v>0</v>
      </c>
      <c r="AI311" s="377"/>
      <c r="AK311" s="493">
        <f t="shared" si="45"/>
        <v>7</v>
      </c>
      <c r="AL311" s="493">
        <f t="shared" si="46"/>
        <v>2017</v>
      </c>
      <c r="AM311" s="493">
        <f t="shared" si="47"/>
        <v>2027</v>
      </c>
      <c r="AN311" s="494">
        <f t="shared" si="48"/>
        <v>2027.5833333333333</v>
      </c>
      <c r="AO311" s="505">
        <f t="shared" si="49"/>
        <v>2736.4623333333329</v>
      </c>
      <c r="AP311" s="505">
        <f t="shared" si="50"/>
        <v>32837.547999999995</v>
      </c>
      <c r="AQ311" s="505">
        <f t="shared" si="51"/>
        <v>32837.547999999995</v>
      </c>
      <c r="AR311" s="505">
        <f t="shared" si="52"/>
        <v>166924.20233333833</v>
      </c>
      <c r="AS311" s="505">
        <f t="shared" si="53"/>
        <v>199761.75033333834</v>
      </c>
      <c r="AT311" s="506">
        <f t="shared" si="54"/>
        <v>128613.72966666165</v>
      </c>
    </row>
    <row r="312" spans="1:46">
      <c r="A312" s="341">
        <v>2112</v>
      </c>
      <c r="B312" s="345">
        <v>183718</v>
      </c>
      <c r="C312" s="341" t="s">
        <v>574</v>
      </c>
      <c r="D312" s="340" t="s">
        <v>1379</v>
      </c>
      <c r="E312" s="341"/>
      <c r="F312" s="340"/>
      <c r="G312" s="340"/>
      <c r="H312" s="340">
        <v>0</v>
      </c>
      <c r="I312" s="340" t="s">
        <v>1378</v>
      </c>
      <c r="J312" s="340"/>
      <c r="K312" s="340" t="s">
        <v>572</v>
      </c>
      <c r="L312" s="344">
        <v>42900</v>
      </c>
      <c r="M312" s="344">
        <v>42900</v>
      </c>
      <c r="N312" s="340" t="s">
        <v>1370</v>
      </c>
      <c r="O312" s="341">
        <v>1000</v>
      </c>
      <c r="P312" s="341">
        <v>14040</v>
      </c>
      <c r="Q312" s="342">
        <v>1169.5</v>
      </c>
      <c r="R312" s="341">
        <v>14046</v>
      </c>
      <c r="S312" s="342">
        <v>721.19</v>
      </c>
      <c r="T312" s="342">
        <f t="shared" si="55"/>
        <v>448.30999999999995</v>
      </c>
      <c r="U312" s="343">
        <v>68.22</v>
      </c>
      <c r="V312" s="341">
        <v>51260</v>
      </c>
      <c r="W312" s="342">
        <v>9.74</v>
      </c>
      <c r="X312" s="340" t="s">
        <v>574</v>
      </c>
      <c r="Y312" s="340"/>
      <c r="Z312" s="340">
        <v>68473716</v>
      </c>
      <c r="AA312" s="340"/>
      <c r="AB312" s="340" t="s">
        <v>571</v>
      </c>
      <c r="AC312" s="340" t="s">
        <v>570</v>
      </c>
      <c r="AD312" s="341" t="s">
        <v>569</v>
      </c>
      <c r="AE312" s="340"/>
      <c r="AF312" s="341" t="s">
        <v>568</v>
      </c>
      <c r="AG312" s="340">
        <v>0</v>
      </c>
      <c r="AH312" s="340">
        <v>0</v>
      </c>
      <c r="AI312" s="377"/>
      <c r="AK312" s="493">
        <f t="shared" si="45"/>
        <v>6</v>
      </c>
      <c r="AL312" s="493">
        <f t="shared" si="46"/>
        <v>2017</v>
      </c>
      <c r="AM312" s="493">
        <f t="shared" si="47"/>
        <v>2027</v>
      </c>
      <c r="AN312" s="494">
        <f t="shared" si="48"/>
        <v>2027.5</v>
      </c>
      <c r="AO312" s="505">
        <f t="shared" si="49"/>
        <v>9.7458333333333336</v>
      </c>
      <c r="AP312" s="505">
        <f t="shared" si="50"/>
        <v>116.95</v>
      </c>
      <c r="AQ312" s="505">
        <f t="shared" si="51"/>
        <v>116.95</v>
      </c>
      <c r="AR312" s="505">
        <f t="shared" si="52"/>
        <v>604.24166666667554</v>
      </c>
      <c r="AS312" s="505">
        <f t="shared" si="53"/>
        <v>721.19166666667559</v>
      </c>
      <c r="AT312" s="506">
        <f t="shared" si="54"/>
        <v>448.30833333332441</v>
      </c>
    </row>
    <row r="313" spans="1:46">
      <c r="A313" s="341">
        <v>2112</v>
      </c>
      <c r="B313" s="345">
        <v>183543</v>
      </c>
      <c r="C313" s="341" t="s">
        <v>574</v>
      </c>
      <c r="D313" s="340" t="s">
        <v>362</v>
      </c>
      <c r="E313" s="341"/>
      <c r="F313" s="340"/>
      <c r="G313" s="340"/>
      <c r="H313" s="340">
        <v>0</v>
      </c>
      <c r="I313" s="340" t="s">
        <v>988</v>
      </c>
      <c r="J313" s="340"/>
      <c r="K313" s="340"/>
      <c r="L313" s="344">
        <v>42855</v>
      </c>
      <c r="M313" s="344">
        <v>42855</v>
      </c>
      <c r="N313" s="340" t="s">
        <v>1367</v>
      </c>
      <c r="O313" s="341">
        <v>300</v>
      </c>
      <c r="P313" s="341">
        <v>14110</v>
      </c>
      <c r="Q313" s="342">
        <v>6347</v>
      </c>
      <c r="R313" s="341">
        <v>14116</v>
      </c>
      <c r="S313" s="342">
        <v>6347</v>
      </c>
      <c r="T313" s="342">
        <f t="shared" si="55"/>
        <v>0</v>
      </c>
      <c r="U313" s="343">
        <v>0</v>
      </c>
      <c r="V313" s="341">
        <v>70260</v>
      </c>
      <c r="W313" s="342">
        <v>0</v>
      </c>
      <c r="X313" s="340" t="s">
        <v>574</v>
      </c>
      <c r="Y313" s="340"/>
      <c r="Z313" s="340" t="s">
        <v>1377</v>
      </c>
      <c r="AA313" s="340"/>
      <c r="AB313" s="340" t="s">
        <v>571</v>
      </c>
      <c r="AC313" s="340" t="s">
        <v>570</v>
      </c>
      <c r="AD313" s="341" t="s">
        <v>569</v>
      </c>
      <c r="AE313" s="340"/>
      <c r="AF313" s="341" t="s">
        <v>568</v>
      </c>
      <c r="AG313" s="340">
        <v>0</v>
      </c>
      <c r="AH313" s="340">
        <v>0</v>
      </c>
      <c r="AI313" s="377"/>
      <c r="AK313" s="493">
        <f t="shared" si="45"/>
        <v>4</v>
      </c>
      <c r="AL313" s="493">
        <f t="shared" si="46"/>
        <v>2017</v>
      </c>
      <c r="AM313" s="493">
        <f t="shared" si="47"/>
        <v>2020</v>
      </c>
      <c r="AN313" s="494">
        <f t="shared" si="48"/>
        <v>2020.3333333333333</v>
      </c>
      <c r="AO313" s="505">
        <f t="shared" si="49"/>
        <v>176.30555555555554</v>
      </c>
      <c r="AP313" s="505">
        <f t="shared" si="50"/>
        <v>2115.6666666666665</v>
      </c>
      <c r="AQ313" s="505">
        <f t="shared" si="51"/>
        <v>0</v>
      </c>
      <c r="AR313" s="505">
        <f t="shared" si="52"/>
        <v>6347</v>
      </c>
      <c r="AS313" s="505">
        <f t="shared" si="53"/>
        <v>6347</v>
      </c>
      <c r="AT313" s="506">
        <f t="shared" si="54"/>
        <v>0</v>
      </c>
    </row>
    <row r="314" spans="1:46">
      <c r="A314" s="341">
        <v>2112</v>
      </c>
      <c r="B314" s="345">
        <v>183527</v>
      </c>
      <c r="C314" s="341" t="s">
        <v>574</v>
      </c>
      <c r="D314" s="340" t="s">
        <v>359</v>
      </c>
      <c r="E314" s="341">
        <v>624</v>
      </c>
      <c r="F314" s="340"/>
      <c r="G314" s="340"/>
      <c r="H314" s="340">
        <v>0</v>
      </c>
      <c r="I314" s="340" t="s">
        <v>1376</v>
      </c>
      <c r="J314" s="340"/>
      <c r="K314" s="340"/>
      <c r="L314" s="344">
        <v>42896</v>
      </c>
      <c r="M314" s="344">
        <v>42896</v>
      </c>
      <c r="N314" s="340" t="s">
        <v>1375</v>
      </c>
      <c r="O314" s="341">
        <v>700</v>
      </c>
      <c r="P314" s="341">
        <v>14050</v>
      </c>
      <c r="Q314" s="342">
        <v>32732.59</v>
      </c>
      <c r="R314" s="341">
        <v>14056</v>
      </c>
      <c r="S314" s="342">
        <v>28835.89</v>
      </c>
      <c r="T314" s="342">
        <f t="shared" si="55"/>
        <v>3896.7000000000007</v>
      </c>
      <c r="U314" s="343">
        <v>2727.72</v>
      </c>
      <c r="V314" s="341">
        <v>54260</v>
      </c>
      <c r="W314" s="342">
        <v>389.67</v>
      </c>
      <c r="X314" s="340" t="s">
        <v>574</v>
      </c>
      <c r="Y314" s="340"/>
      <c r="Z314" s="340">
        <v>65471400</v>
      </c>
      <c r="AA314" s="340"/>
      <c r="AB314" s="340" t="s">
        <v>571</v>
      </c>
      <c r="AC314" s="340" t="s">
        <v>570</v>
      </c>
      <c r="AD314" s="341" t="s">
        <v>569</v>
      </c>
      <c r="AE314" s="340"/>
      <c r="AF314" s="341" t="s">
        <v>568</v>
      </c>
      <c r="AG314" s="340">
        <v>0</v>
      </c>
      <c r="AH314" s="340">
        <v>0</v>
      </c>
      <c r="AI314" s="377"/>
      <c r="AK314" s="493">
        <f t="shared" si="45"/>
        <v>6</v>
      </c>
      <c r="AL314" s="493">
        <f t="shared" si="46"/>
        <v>2017</v>
      </c>
      <c r="AM314" s="493">
        <f t="shared" si="47"/>
        <v>2024</v>
      </c>
      <c r="AN314" s="494">
        <f t="shared" si="48"/>
        <v>2024.5</v>
      </c>
      <c r="AO314" s="505">
        <f t="shared" si="49"/>
        <v>389.67369047619053</v>
      </c>
      <c r="AP314" s="505">
        <f t="shared" si="50"/>
        <v>4676.0842857142861</v>
      </c>
      <c r="AQ314" s="505">
        <f t="shared" si="51"/>
        <v>4676.0842857142861</v>
      </c>
      <c r="AR314" s="505">
        <f t="shared" si="52"/>
        <v>24159.768809524161</v>
      </c>
      <c r="AS314" s="505">
        <f t="shared" si="53"/>
        <v>28835.853095238446</v>
      </c>
      <c r="AT314" s="506">
        <f t="shared" si="54"/>
        <v>3896.7369047615539</v>
      </c>
    </row>
    <row r="315" spans="1:46">
      <c r="A315" s="341">
        <v>2112</v>
      </c>
      <c r="B315" s="345">
        <v>183526</v>
      </c>
      <c r="C315" s="341" t="s">
        <v>574</v>
      </c>
      <c r="D315" s="340" t="s">
        <v>359</v>
      </c>
      <c r="E315" s="341">
        <v>624</v>
      </c>
      <c r="F315" s="340"/>
      <c r="G315" s="340"/>
      <c r="H315" s="340">
        <v>0</v>
      </c>
      <c r="I315" s="340" t="s">
        <v>1376</v>
      </c>
      <c r="J315" s="340"/>
      <c r="K315" s="340"/>
      <c r="L315" s="344">
        <v>42899</v>
      </c>
      <c r="M315" s="344">
        <v>42899</v>
      </c>
      <c r="N315" s="340" t="s">
        <v>1375</v>
      </c>
      <c r="O315" s="341">
        <v>700</v>
      </c>
      <c r="P315" s="341">
        <v>14050</v>
      </c>
      <c r="Q315" s="342">
        <v>32732.59</v>
      </c>
      <c r="R315" s="341">
        <v>14056</v>
      </c>
      <c r="S315" s="342">
        <v>28835.89</v>
      </c>
      <c r="T315" s="342">
        <f t="shared" si="55"/>
        <v>3896.7000000000007</v>
      </c>
      <c r="U315" s="343">
        <v>2727.72</v>
      </c>
      <c r="V315" s="341">
        <v>54260</v>
      </c>
      <c r="W315" s="342">
        <v>389.67</v>
      </c>
      <c r="X315" s="340" t="s">
        <v>574</v>
      </c>
      <c r="Y315" s="340"/>
      <c r="Z315" s="340">
        <v>65471761</v>
      </c>
      <c r="AA315" s="340"/>
      <c r="AB315" s="340" t="s">
        <v>571</v>
      </c>
      <c r="AC315" s="340" t="s">
        <v>570</v>
      </c>
      <c r="AD315" s="341" t="s">
        <v>569</v>
      </c>
      <c r="AE315" s="340"/>
      <c r="AF315" s="341" t="s">
        <v>568</v>
      </c>
      <c r="AG315" s="340">
        <v>0</v>
      </c>
      <c r="AH315" s="340">
        <v>0</v>
      </c>
      <c r="AI315" s="377"/>
      <c r="AK315" s="493">
        <f t="shared" si="45"/>
        <v>6</v>
      </c>
      <c r="AL315" s="493">
        <f t="shared" si="46"/>
        <v>2017</v>
      </c>
      <c r="AM315" s="493">
        <f t="shared" si="47"/>
        <v>2024</v>
      </c>
      <c r="AN315" s="494">
        <f t="shared" si="48"/>
        <v>2024.5</v>
      </c>
      <c r="AO315" s="505">
        <f t="shared" si="49"/>
        <v>389.67369047619053</v>
      </c>
      <c r="AP315" s="505">
        <f t="shared" si="50"/>
        <v>4676.0842857142861</v>
      </c>
      <c r="AQ315" s="505">
        <f t="shared" si="51"/>
        <v>4676.0842857142861</v>
      </c>
      <c r="AR315" s="505">
        <f t="shared" si="52"/>
        <v>24159.768809524161</v>
      </c>
      <c r="AS315" s="505">
        <f t="shared" si="53"/>
        <v>28835.853095238446</v>
      </c>
      <c r="AT315" s="506">
        <f t="shared" si="54"/>
        <v>3896.7369047615539</v>
      </c>
    </row>
    <row r="316" spans="1:46">
      <c r="A316" s="341">
        <v>2112</v>
      </c>
      <c r="B316" s="345">
        <v>183280</v>
      </c>
      <c r="C316" s="341" t="s">
        <v>574</v>
      </c>
      <c r="D316" s="340" t="s">
        <v>375</v>
      </c>
      <c r="E316" s="341"/>
      <c r="F316" s="340" t="s">
        <v>1374</v>
      </c>
      <c r="G316" s="340" t="s">
        <v>1373</v>
      </c>
      <c r="H316" s="340">
        <v>2018</v>
      </c>
      <c r="I316" s="340" t="s">
        <v>1372</v>
      </c>
      <c r="J316" s="340" t="s">
        <v>1371</v>
      </c>
      <c r="K316" s="340" t="s">
        <v>699</v>
      </c>
      <c r="L316" s="344">
        <v>42906</v>
      </c>
      <c r="M316" s="344">
        <v>42906</v>
      </c>
      <c r="N316" s="340" t="s">
        <v>1370</v>
      </c>
      <c r="O316" s="341">
        <v>1000</v>
      </c>
      <c r="P316" s="341">
        <v>14040</v>
      </c>
      <c r="Q316" s="342">
        <v>233606.21</v>
      </c>
      <c r="R316" s="341">
        <v>14046</v>
      </c>
      <c r="S316" s="342">
        <v>142110.44</v>
      </c>
      <c r="T316" s="342">
        <f t="shared" si="55"/>
        <v>91495.76999999999</v>
      </c>
      <c r="U316" s="343">
        <v>13627.03</v>
      </c>
      <c r="V316" s="341">
        <v>51260</v>
      </c>
      <c r="W316" s="342">
        <v>1946.72</v>
      </c>
      <c r="X316" s="340" t="s">
        <v>574</v>
      </c>
      <c r="Y316" s="340"/>
      <c r="Z316" s="340">
        <v>96021</v>
      </c>
      <c r="AA316" s="340">
        <v>443</v>
      </c>
      <c r="AB316" s="340" t="s">
        <v>571</v>
      </c>
      <c r="AC316" s="340" t="s">
        <v>570</v>
      </c>
      <c r="AD316" s="341" t="s">
        <v>569</v>
      </c>
      <c r="AE316" s="340"/>
      <c r="AF316" s="341" t="s">
        <v>568</v>
      </c>
      <c r="AG316" s="340">
        <v>0</v>
      </c>
      <c r="AH316" s="340">
        <v>0</v>
      </c>
      <c r="AI316" s="377"/>
      <c r="AK316" s="493">
        <f t="shared" si="45"/>
        <v>6</v>
      </c>
      <c r="AL316" s="493">
        <f t="shared" si="46"/>
        <v>2017</v>
      </c>
      <c r="AM316" s="493">
        <f t="shared" si="47"/>
        <v>2027</v>
      </c>
      <c r="AN316" s="494">
        <f t="shared" si="48"/>
        <v>2027.5</v>
      </c>
      <c r="AO316" s="505">
        <f t="shared" si="49"/>
        <v>1946.7184166666666</v>
      </c>
      <c r="AP316" s="505">
        <f t="shared" si="50"/>
        <v>23360.620999999999</v>
      </c>
      <c r="AQ316" s="505">
        <f t="shared" si="51"/>
        <v>23360.620999999999</v>
      </c>
      <c r="AR316" s="505">
        <f t="shared" si="52"/>
        <v>120696.5418333351</v>
      </c>
      <c r="AS316" s="505">
        <f t="shared" si="53"/>
        <v>144057.16283333511</v>
      </c>
      <c r="AT316" s="506">
        <f t="shared" si="54"/>
        <v>89549.047166664881</v>
      </c>
    </row>
    <row r="317" spans="1:46">
      <c r="A317" s="341">
        <v>2112</v>
      </c>
      <c r="B317" s="345">
        <v>181671</v>
      </c>
      <c r="C317" s="341" t="s">
        <v>574</v>
      </c>
      <c r="D317" s="340" t="s">
        <v>364</v>
      </c>
      <c r="E317" s="341">
        <v>5</v>
      </c>
      <c r="F317" s="340"/>
      <c r="G317" s="340"/>
      <c r="H317" s="340">
        <v>0</v>
      </c>
      <c r="I317" s="340" t="s">
        <v>1361</v>
      </c>
      <c r="J317" s="340"/>
      <c r="K317" s="340" t="s">
        <v>722</v>
      </c>
      <c r="L317" s="344">
        <v>42828</v>
      </c>
      <c r="M317" s="344">
        <v>42828</v>
      </c>
      <c r="N317" s="340" t="s">
        <v>1369</v>
      </c>
      <c r="O317" s="341">
        <v>1200</v>
      </c>
      <c r="P317" s="341">
        <v>14050</v>
      </c>
      <c r="Q317" s="342">
        <v>30650</v>
      </c>
      <c r="R317" s="341">
        <v>14056</v>
      </c>
      <c r="S317" s="342">
        <v>16176.41</v>
      </c>
      <c r="T317" s="342">
        <f t="shared" si="55"/>
        <v>14473.59</v>
      </c>
      <c r="U317" s="343">
        <v>1489.93</v>
      </c>
      <c r="V317" s="341">
        <v>54260</v>
      </c>
      <c r="W317" s="342">
        <v>212.84</v>
      </c>
      <c r="X317" s="340" t="s">
        <v>574</v>
      </c>
      <c r="Y317" s="340"/>
      <c r="Z317" s="340">
        <v>37213993</v>
      </c>
      <c r="AA317" s="340"/>
      <c r="AB317" s="340" t="s">
        <v>571</v>
      </c>
      <c r="AC317" s="340" t="s">
        <v>570</v>
      </c>
      <c r="AD317" s="341" t="s">
        <v>569</v>
      </c>
      <c r="AE317" s="340"/>
      <c r="AF317" s="341" t="s">
        <v>568</v>
      </c>
      <c r="AG317" s="340">
        <v>0</v>
      </c>
      <c r="AH317" s="340">
        <v>0</v>
      </c>
      <c r="AI317" s="377"/>
      <c r="AK317" s="493">
        <f t="shared" si="45"/>
        <v>4</v>
      </c>
      <c r="AL317" s="493">
        <f t="shared" si="46"/>
        <v>2017</v>
      </c>
      <c r="AM317" s="493">
        <f t="shared" si="47"/>
        <v>2029</v>
      </c>
      <c r="AN317" s="494">
        <f t="shared" si="48"/>
        <v>2029.3333333333333</v>
      </c>
      <c r="AO317" s="505">
        <f t="shared" si="49"/>
        <v>212.8472222222222</v>
      </c>
      <c r="AP317" s="505">
        <f t="shared" si="50"/>
        <v>2554.1666666666665</v>
      </c>
      <c r="AQ317" s="505">
        <f t="shared" si="51"/>
        <v>2554.1666666666665</v>
      </c>
      <c r="AR317" s="505">
        <f t="shared" si="52"/>
        <v>13622.222222222612</v>
      </c>
      <c r="AS317" s="505">
        <f t="shared" si="53"/>
        <v>16176.388888889278</v>
      </c>
      <c r="AT317" s="506">
        <f t="shared" si="54"/>
        <v>14473.611111110722</v>
      </c>
    </row>
    <row r="318" spans="1:46">
      <c r="A318" s="341">
        <v>2112</v>
      </c>
      <c r="B318" s="345">
        <v>181670</v>
      </c>
      <c r="C318" s="341" t="s">
        <v>574</v>
      </c>
      <c r="D318" s="340" t="s">
        <v>363</v>
      </c>
      <c r="E318" s="341">
        <v>5</v>
      </c>
      <c r="F318" s="340"/>
      <c r="G318" s="340"/>
      <c r="H318" s="340">
        <v>0</v>
      </c>
      <c r="I318" s="340" t="s">
        <v>1361</v>
      </c>
      <c r="J318" s="340"/>
      <c r="K318" s="340" t="s">
        <v>575</v>
      </c>
      <c r="L318" s="344">
        <v>42828</v>
      </c>
      <c r="M318" s="344">
        <v>42828</v>
      </c>
      <c r="N318" s="340" t="s">
        <v>1369</v>
      </c>
      <c r="O318" s="341">
        <v>1200</v>
      </c>
      <c r="P318" s="341">
        <v>14050</v>
      </c>
      <c r="Q318" s="342">
        <v>27760</v>
      </c>
      <c r="R318" s="341">
        <v>14056</v>
      </c>
      <c r="S318" s="342">
        <v>14651.09</v>
      </c>
      <c r="T318" s="342">
        <f t="shared" si="55"/>
        <v>13108.91</v>
      </c>
      <c r="U318" s="343">
        <v>1349.44</v>
      </c>
      <c r="V318" s="341">
        <v>54260</v>
      </c>
      <c r="W318" s="342">
        <v>192.77</v>
      </c>
      <c r="X318" s="340" t="s">
        <v>574</v>
      </c>
      <c r="Y318" s="340"/>
      <c r="Z318" s="340">
        <v>37213979</v>
      </c>
      <c r="AA318" s="340"/>
      <c r="AB318" s="340" t="s">
        <v>571</v>
      </c>
      <c r="AC318" s="340" t="s">
        <v>570</v>
      </c>
      <c r="AD318" s="341" t="s">
        <v>569</v>
      </c>
      <c r="AE318" s="340"/>
      <c r="AF318" s="341" t="s">
        <v>568</v>
      </c>
      <c r="AG318" s="340">
        <v>0</v>
      </c>
      <c r="AH318" s="340">
        <v>0</v>
      </c>
      <c r="AI318" s="377"/>
      <c r="AK318" s="493">
        <f t="shared" si="45"/>
        <v>4</v>
      </c>
      <c r="AL318" s="493">
        <f t="shared" si="46"/>
        <v>2017</v>
      </c>
      <c r="AM318" s="493">
        <f t="shared" si="47"/>
        <v>2029</v>
      </c>
      <c r="AN318" s="494">
        <f t="shared" si="48"/>
        <v>2029.3333333333333</v>
      </c>
      <c r="AO318" s="505">
        <f t="shared" si="49"/>
        <v>192.7777777777778</v>
      </c>
      <c r="AP318" s="505">
        <f t="shared" si="50"/>
        <v>2313.3333333333335</v>
      </c>
      <c r="AQ318" s="505">
        <f t="shared" si="51"/>
        <v>2313.3333333333335</v>
      </c>
      <c r="AR318" s="505">
        <f t="shared" si="52"/>
        <v>12337.777777778127</v>
      </c>
      <c r="AS318" s="505">
        <f t="shared" si="53"/>
        <v>14651.111111111461</v>
      </c>
      <c r="AT318" s="506">
        <f t="shared" si="54"/>
        <v>13108.888888888539</v>
      </c>
    </row>
    <row r="319" spans="1:46">
      <c r="A319" s="341">
        <v>2112</v>
      </c>
      <c r="B319" s="345">
        <v>181057</v>
      </c>
      <c r="C319" s="341" t="s">
        <v>574</v>
      </c>
      <c r="D319" s="340" t="s">
        <v>357</v>
      </c>
      <c r="E319" s="341">
        <v>624</v>
      </c>
      <c r="F319" s="340"/>
      <c r="G319" s="340"/>
      <c r="H319" s="340">
        <v>0</v>
      </c>
      <c r="I319" s="340" t="s">
        <v>1361</v>
      </c>
      <c r="J319" s="340"/>
      <c r="K319" s="340"/>
      <c r="L319" s="344">
        <v>42832</v>
      </c>
      <c r="M319" s="344">
        <v>42832</v>
      </c>
      <c r="N319" s="340" t="s">
        <v>1363</v>
      </c>
      <c r="O319" s="341">
        <v>700</v>
      </c>
      <c r="P319" s="341">
        <v>14050</v>
      </c>
      <c r="Q319" s="342">
        <v>32539.06</v>
      </c>
      <c r="R319" s="341">
        <v>14056</v>
      </c>
      <c r="S319" s="342">
        <v>29440.12</v>
      </c>
      <c r="T319" s="342">
        <f t="shared" si="55"/>
        <v>3098.9400000000023</v>
      </c>
      <c r="U319" s="343">
        <v>2711.59</v>
      </c>
      <c r="V319" s="341">
        <v>54260</v>
      </c>
      <c r="W319" s="342">
        <v>387.37</v>
      </c>
      <c r="X319" s="340" t="s">
        <v>574</v>
      </c>
      <c r="Y319" s="340"/>
      <c r="Z319" s="340">
        <v>65452226</v>
      </c>
      <c r="AA319" s="340"/>
      <c r="AB319" s="340" t="s">
        <v>571</v>
      </c>
      <c r="AC319" s="340" t="s">
        <v>570</v>
      </c>
      <c r="AD319" s="341" t="s">
        <v>569</v>
      </c>
      <c r="AE319" s="340"/>
      <c r="AF319" s="341" t="s">
        <v>568</v>
      </c>
      <c r="AG319" s="340">
        <v>0</v>
      </c>
      <c r="AH319" s="340">
        <v>0</v>
      </c>
      <c r="AI319" s="377"/>
      <c r="AK319" s="493">
        <f t="shared" si="45"/>
        <v>4</v>
      </c>
      <c r="AL319" s="493">
        <f t="shared" si="46"/>
        <v>2017</v>
      </c>
      <c r="AM319" s="493">
        <f t="shared" si="47"/>
        <v>2024</v>
      </c>
      <c r="AN319" s="494">
        <f t="shared" si="48"/>
        <v>2024.3333333333333</v>
      </c>
      <c r="AO319" s="505">
        <f t="shared" si="49"/>
        <v>387.3697619047619</v>
      </c>
      <c r="AP319" s="505">
        <f t="shared" si="50"/>
        <v>4648.437142857143</v>
      </c>
      <c r="AQ319" s="505">
        <f t="shared" si="51"/>
        <v>4648.437142857143</v>
      </c>
      <c r="AR319" s="505">
        <f t="shared" si="52"/>
        <v>24791.664761905467</v>
      </c>
      <c r="AS319" s="505">
        <f t="shared" si="53"/>
        <v>29440.101904762611</v>
      </c>
      <c r="AT319" s="506">
        <f t="shared" si="54"/>
        <v>3098.9580952373908</v>
      </c>
    </row>
    <row r="320" spans="1:46">
      <c r="A320" s="341">
        <v>2112</v>
      </c>
      <c r="B320" s="345">
        <v>180542</v>
      </c>
      <c r="C320" s="341" t="s">
        <v>574</v>
      </c>
      <c r="D320" s="340" t="s">
        <v>1368</v>
      </c>
      <c r="E320" s="341"/>
      <c r="F320" s="340"/>
      <c r="G320" s="340"/>
      <c r="H320" s="340">
        <v>0</v>
      </c>
      <c r="I320" s="340" t="s">
        <v>831</v>
      </c>
      <c r="J320" s="340"/>
      <c r="K320" s="340"/>
      <c r="L320" s="344">
        <v>42855</v>
      </c>
      <c r="M320" s="344">
        <v>42855</v>
      </c>
      <c r="N320" s="340" t="s">
        <v>1367</v>
      </c>
      <c r="O320" s="341">
        <v>300</v>
      </c>
      <c r="P320" s="341">
        <v>14110</v>
      </c>
      <c r="Q320" s="342">
        <v>1342.11</v>
      </c>
      <c r="R320" s="341">
        <v>14116</v>
      </c>
      <c r="S320" s="342">
        <v>1342.11</v>
      </c>
      <c r="T320" s="342">
        <f t="shared" si="55"/>
        <v>0</v>
      </c>
      <c r="U320" s="343">
        <v>0</v>
      </c>
      <c r="V320" s="341">
        <v>70260</v>
      </c>
      <c r="W320" s="342">
        <v>0</v>
      </c>
      <c r="X320" s="340" t="s">
        <v>574</v>
      </c>
      <c r="Y320" s="340"/>
      <c r="Z320" s="340" t="s">
        <v>1366</v>
      </c>
      <c r="AA320" s="340"/>
      <c r="AB320" s="340" t="s">
        <v>571</v>
      </c>
      <c r="AC320" s="340" t="s">
        <v>570</v>
      </c>
      <c r="AD320" s="341" t="s">
        <v>569</v>
      </c>
      <c r="AE320" s="340"/>
      <c r="AF320" s="341" t="s">
        <v>568</v>
      </c>
      <c r="AG320" s="340">
        <v>0</v>
      </c>
      <c r="AH320" s="340">
        <v>0</v>
      </c>
      <c r="AI320" s="377"/>
      <c r="AK320" s="493">
        <f t="shared" si="45"/>
        <v>4</v>
      </c>
      <c r="AL320" s="493">
        <f t="shared" si="46"/>
        <v>2017</v>
      </c>
      <c r="AM320" s="493">
        <f t="shared" si="47"/>
        <v>2020</v>
      </c>
      <c r="AN320" s="494">
        <f t="shared" si="48"/>
        <v>2020.3333333333333</v>
      </c>
      <c r="AO320" s="505">
        <f t="shared" si="49"/>
        <v>37.280833333333327</v>
      </c>
      <c r="AP320" s="505">
        <f t="shared" si="50"/>
        <v>447.36999999999989</v>
      </c>
      <c r="AQ320" s="505">
        <f t="shared" si="51"/>
        <v>0</v>
      </c>
      <c r="AR320" s="505">
        <f t="shared" si="52"/>
        <v>1342.11</v>
      </c>
      <c r="AS320" s="505">
        <f t="shared" si="53"/>
        <v>1342.11</v>
      </c>
      <c r="AT320" s="506">
        <f t="shared" si="54"/>
        <v>0</v>
      </c>
    </row>
    <row r="321" spans="1:46">
      <c r="A321" s="341">
        <v>2112</v>
      </c>
      <c r="B321" s="345">
        <v>180264</v>
      </c>
      <c r="C321" s="341" t="s">
        <v>574</v>
      </c>
      <c r="D321" s="340" t="s">
        <v>358</v>
      </c>
      <c r="E321" s="341">
        <v>380</v>
      </c>
      <c r="F321" s="340"/>
      <c r="G321" s="340"/>
      <c r="H321" s="340">
        <v>0</v>
      </c>
      <c r="I321" s="340" t="s">
        <v>1361</v>
      </c>
      <c r="J321" s="340"/>
      <c r="K321" s="340"/>
      <c r="L321" s="344">
        <v>42845</v>
      </c>
      <c r="M321" s="344">
        <v>42845</v>
      </c>
      <c r="N321" s="340" t="s">
        <v>1363</v>
      </c>
      <c r="O321" s="341">
        <v>700</v>
      </c>
      <c r="P321" s="341">
        <v>14050</v>
      </c>
      <c r="Q321" s="342">
        <v>20835.12</v>
      </c>
      <c r="R321" s="341">
        <v>14056</v>
      </c>
      <c r="S321" s="342">
        <v>18602.810000000001</v>
      </c>
      <c r="T321" s="342">
        <f t="shared" si="55"/>
        <v>2232.3099999999977</v>
      </c>
      <c r="U321" s="343">
        <v>1736.26</v>
      </c>
      <c r="V321" s="341">
        <v>54260</v>
      </c>
      <c r="W321" s="342">
        <v>248.03</v>
      </c>
      <c r="X321" s="340" t="s">
        <v>574</v>
      </c>
      <c r="Y321" s="340"/>
      <c r="Z321" s="340">
        <v>65458447</v>
      </c>
      <c r="AA321" s="340"/>
      <c r="AB321" s="340" t="s">
        <v>571</v>
      </c>
      <c r="AC321" s="340" t="s">
        <v>570</v>
      </c>
      <c r="AD321" s="341" t="s">
        <v>569</v>
      </c>
      <c r="AE321" s="340"/>
      <c r="AF321" s="341" t="s">
        <v>568</v>
      </c>
      <c r="AG321" s="340">
        <v>0</v>
      </c>
      <c r="AH321" s="340">
        <v>0</v>
      </c>
      <c r="AI321" s="377"/>
      <c r="AK321" s="493">
        <f t="shared" si="45"/>
        <v>4</v>
      </c>
      <c r="AL321" s="493">
        <f t="shared" si="46"/>
        <v>2017</v>
      </c>
      <c r="AM321" s="493">
        <f t="shared" si="47"/>
        <v>2024</v>
      </c>
      <c r="AN321" s="494">
        <f t="shared" si="48"/>
        <v>2024.3333333333333</v>
      </c>
      <c r="AO321" s="505">
        <f t="shared" si="49"/>
        <v>248.03714285714284</v>
      </c>
      <c r="AP321" s="505">
        <f t="shared" si="50"/>
        <v>2976.4457142857141</v>
      </c>
      <c r="AQ321" s="505">
        <f t="shared" si="51"/>
        <v>2976.4457142857141</v>
      </c>
      <c r="AR321" s="505">
        <f t="shared" si="52"/>
        <v>15874.377142857593</v>
      </c>
      <c r="AS321" s="505">
        <f t="shared" si="53"/>
        <v>18850.822857143306</v>
      </c>
      <c r="AT321" s="506">
        <f t="shared" si="54"/>
        <v>1984.2971428566925</v>
      </c>
    </row>
    <row r="322" spans="1:46">
      <c r="A322" s="341">
        <v>2112</v>
      </c>
      <c r="B322" s="345">
        <v>179933</v>
      </c>
      <c r="C322" s="341" t="s">
        <v>574</v>
      </c>
      <c r="D322" s="340" t="s">
        <v>357</v>
      </c>
      <c r="E322" s="341">
        <v>624</v>
      </c>
      <c r="F322" s="340"/>
      <c r="G322" s="340"/>
      <c r="H322" s="340">
        <v>0</v>
      </c>
      <c r="I322" s="340" t="s">
        <v>1361</v>
      </c>
      <c r="J322" s="340"/>
      <c r="K322" s="340"/>
      <c r="L322" s="344">
        <v>42832</v>
      </c>
      <c r="M322" s="344">
        <v>42832</v>
      </c>
      <c r="N322" s="340" t="s">
        <v>1363</v>
      </c>
      <c r="O322" s="341">
        <v>700</v>
      </c>
      <c r="P322" s="341">
        <v>14050</v>
      </c>
      <c r="Q322" s="342">
        <v>32539.06</v>
      </c>
      <c r="R322" s="341">
        <v>14056</v>
      </c>
      <c r="S322" s="342">
        <v>29440.12</v>
      </c>
      <c r="T322" s="342">
        <f t="shared" si="55"/>
        <v>3098.9400000000023</v>
      </c>
      <c r="U322" s="343">
        <v>2711.59</v>
      </c>
      <c r="V322" s="341">
        <v>54260</v>
      </c>
      <c r="W322" s="342">
        <v>387.37</v>
      </c>
      <c r="X322" s="340" t="s">
        <v>574</v>
      </c>
      <c r="Y322" s="340"/>
      <c r="Z322" s="340">
        <v>65454579</v>
      </c>
      <c r="AA322" s="340"/>
      <c r="AB322" s="340" t="s">
        <v>571</v>
      </c>
      <c r="AC322" s="340" t="s">
        <v>570</v>
      </c>
      <c r="AD322" s="341" t="s">
        <v>569</v>
      </c>
      <c r="AE322" s="340"/>
      <c r="AF322" s="341" t="s">
        <v>568</v>
      </c>
      <c r="AG322" s="340">
        <v>0</v>
      </c>
      <c r="AH322" s="340">
        <v>0</v>
      </c>
      <c r="AI322" s="377"/>
      <c r="AK322" s="493">
        <f t="shared" si="45"/>
        <v>4</v>
      </c>
      <c r="AL322" s="493">
        <f t="shared" si="46"/>
        <v>2017</v>
      </c>
      <c r="AM322" s="493">
        <f t="shared" si="47"/>
        <v>2024</v>
      </c>
      <c r="AN322" s="494">
        <f t="shared" si="48"/>
        <v>2024.3333333333333</v>
      </c>
      <c r="AO322" s="505">
        <f t="shared" si="49"/>
        <v>387.3697619047619</v>
      </c>
      <c r="AP322" s="505">
        <f t="shared" si="50"/>
        <v>4648.437142857143</v>
      </c>
      <c r="AQ322" s="505">
        <f t="shared" si="51"/>
        <v>4648.437142857143</v>
      </c>
      <c r="AR322" s="505">
        <f t="shared" si="52"/>
        <v>24791.664761905467</v>
      </c>
      <c r="AS322" s="505">
        <f t="shared" si="53"/>
        <v>29440.101904762611</v>
      </c>
      <c r="AT322" s="506">
        <f t="shared" si="54"/>
        <v>3098.9580952373908</v>
      </c>
    </row>
    <row r="323" spans="1:46">
      <c r="A323" s="341">
        <v>2112</v>
      </c>
      <c r="B323" s="345">
        <v>179932</v>
      </c>
      <c r="C323" s="341" t="s">
        <v>574</v>
      </c>
      <c r="D323" s="340" t="s">
        <v>357</v>
      </c>
      <c r="E323" s="341">
        <v>624</v>
      </c>
      <c r="F323" s="340"/>
      <c r="G323" s="340"/>
      <c r="H323" s="340">
        <v>0</v>
      </c>
      <c r="I323" s="340" t="s">
        <v>1361</v>
      </c>
      <c r="J323" s="340"/>
      <c r="K323" s="340"/>
      <c r="L323" s="344">
        <v>42832</v>
      </c>
      <c r="M323" s="344">
        <v>42832</v>
      </c>
      <c r="N323" s="340" t="s">
        <v>1363</v>
      </c>
      <c r="O323" s="341">
        <v>700</v>
      </c>
      <c r="P323" s="341">
        <v>14050</v>
      </c>
      <c r="Q323" s="342">
        <v>32539.06</v>
      </c>
      <c r="R323" s="341">
        <v>14056</v>
      </c>
      <c r="S323" s="342">
        <v>29440.12</v>
      </c>
      <c r="T323" s="342">
        <f t="shared" si="55"/>
        <v>3098.9400000000023</v>
      </c>
      <c r="U323" s="343">
        <v>2711.59</v>
      </c>
      <c r="V323" s="341">
        <v>54260</v>
      </c>
      <c r="W323" s="342">
        <v>387.37</v>
      </c>
      <c r="X323" s="340" t="s">
        <v>574</v>
      </c>
      <c r="Y323" s="340"/>
      <c r="Z323" s="340">
        <v>65454397</v>
      </c>
      <c r="AA323" s="340"/>
      <c r="AB323" s="340" t="s">
        <v>571</v>
      </c>
      <c r="AC323" s="340" t="s">
        <v>570</v>
      </c>
      <c r="AD323" s="341" t="s">
        <v>569</v>
      </c>
      <c r="AE323" s="340"/>
      <c r="AF323" s="341" t="s">
        <v>568</v>
      </c>
      <c r="AG323" s="340">
        <v>0</v>
      </c>
      <c r="AH323" s="340">
        <v>0</v>
      </c>
      <c r="AI323" s="377"/>
      <c r="AK323" s="493">
        <f t="shared" si="45"/>
        <v>4</v>
      </c>
      <c r="AL323" s="493">
        <f t="shared" si="46"/>
        <v>2017</v>
      </c>
      <c r="AM323" s="493">
        <f t="shared" si="47"/>
        <v>2024</v>
      </c>
      <c r="AN323" s="494">
        <f t="shared" si="48"/>
        <v>2024.3333333333333</v>
      </c>
      <c r="AO323" s="505">
        <f t="shared" si="49"/>
        <v>387.3697619047619</v>
      </c>
      <c r="AP323" s="505">
        <f t="shared" si="50"/>
        <v>4648.437142857143</v>
      </c>
      <c r="AQ323" s="505">
        <f t="shared" si="51"/>
        <v>4648.437142857143</v>
      </c>
      <c r="AR323" s="505">
        <f t="shared" si="52"/>
        <v>24791.664761905467</v>
      </c>
      <c r="AS323" s="505">
        <f t="shared" si="53"/>
        <v>29440.101904762611</v>
      </c>
      <c r="AT323" s="506">
        <f t="shared" si="54"/>
        <v>3098.9580952373908</v>
      </c>
    </row>
    <row r="324" spans="1:46">
      <c r="A324" s="341">
        <v>2112</v>
      </c>
      <c r="B324" s="345">
        <v>179887</v>
      </c>
      <c r="C324" s="341" t="s">
        <v>574</v>
      </c>
      <c r="D324" s="340" t="s">
        <v>357</v>
      </c>
      <c r="E324" s="341">
        <v>624</v>
      </c>
      <c r="F324" s="340"/>
      <c r="G324" s="340"/>
      <c r="H324" s="340">
        <v>0</v>
      </c>
      <c r="I324" s="340" t="s">
        <v>1361</v>
      </c>
      <c r="J324" s="340"/>
      <c r="K324" s="340"/>
      <c r="L324" s="344">
        <v>42832</v>
      </c>
      <c r="M324" s="344">
        <v>42832</v>
      </c>
      <c r="N324" s="340" t="s">
        <v>1363</v>
      </c>
      <c r="O324" s="341">
        <v>700</v>
      </c>
      <c r="P324" s="341">
        <v>14050</v>
      </c>
      <c r="Q324" s="342">
        <v>32539.06</v>
      </c>
      <c r="R324" s="341">
        <v>14056</v>
      </c>
      <c r="S324" s="342">
        <v>29440.12</v>
      </c>
      <c r="T324" s="342">
        <f t="shared" si="55"/>
        <v>3098.9400000000023</v>
      </c>
      <c r="U324" s="343">
        <v>2711.59</v>
      </c>
      <c r="V324" s="341">
        <v>54260</v>
      </c>
      <c r="W324" s="342">
        <v>387.37</v>
      </c>
      <c r="X324" s="340" t="s">
        <v>574</v>
      </c>
      <c r="Y324" s="340"/>
      <c r="Z324" s="340">
        <v>65453915</v>
      </c>
      <c r="AA324" s="340"/>
      <c r="AB324" s="340" t="s">
        <v>571</v>
      </c>
      <c r="AC324" s="340" t="s">
        <v>570</v>
      </c>
      <c r="AD324" s="341" t="s">
        <v>569</v>
      </c>
      <c r="AE324" s="340"/>
      <c r="AF324" s="341" t="s">
        <v>568</v>
      </c>
      <c r="AG324" s="340">
        <v>0</v>
      </c>
      <c r="AH324" s="340">
        <v>0</v>
      </c>
      <c r="AI324" s="377"/>
      <c r="AK324" s="493">
        <f t="shared" si="45"/>
        <v>4</v>
      </c>
      <c r="AL324" s="493">
        <f t="shared" si="46"/>
        <v>2017</v>
      </c>
      <c r="AM324" s="493">
        <f t="shared" si="47"/>
        <v>2024</v>
      </c>
      <c r="AN324" s="494">
        <f t="shared" si="48"/>
        <v>2024.3333333333333</v>
      </c>
      <c r="AO324" s="505">
        <f t="shared" si="49"/>
        <v>387.3697619047619</v>
      </c>
      <c r="AP324" s="505">
        <f t="shared" si="50"/>
        <v>4648.437142857143</v>
      </c>
      <c r="AQ324" s="505">
        <f t="shared" si="51"/>
        <v>4648.437142857143</v>
      </c>
      <c r="AR324" s="505">
        <f t="shared" si="52"/>
        <v>24791.664761905467</v>
      </c>
      <c r="AS324" s="505">
        <f t="shared" si="53"/>
        <v>29440.101904762611</v>
      </c>
      <c r="AT324" s="506">
        <f t="shared" si="54"/>
        <v>3098.9580952373908</v>
      </c>
    </row>
    <row r="325" spans="1:46">
      <c r="A325" s="341">
        <v>2112</v>
      </c>
      <c r="B325" s="345">
        <v>179236</v>
      </c>
      <c r="C325" s="341" t="s">
        <v>574</v>
      </c>
      <c r="D325" s="340" t="s">
        <v>361</v>
      </c>
      <c r="E325" s="341"/>
      <c r="F325" s="340"/>
      <c r="G325" s="340"/>
      <c r="H325" s="340">
        <v>0</v>
      </c>
      <c r="I325" s="340" t="s">
        <v>831</v>
      </c>
      <c r="J325" s="340"/>
      <c r="K325" s="340"/>
      <c r="L325" s="344">
        <v>42811</v>
      </c>
      <c r="M325" s="344">
        <v>42811</v>
      </c>
      <c r="N325" s="340" t="s">
        <v>1365</v>
      </c>
      <c r="O325" s="341">
        <v>300</v>
      </c>
      <c r="P325" s="341">
        <v>14110</v>
      </c>
      <c r="Q325" s="342">
        <v>1195.8499999999999</v>
      </c>
      <c r="R325" s="341">
        <v>14116</v>
      </c>
      <c r="S325" s="342">
        <v>1195.8499999999999</v>
      </c>
      <c r="T325" s="342">
        <f t="shared" si="55"/>
        <v>0</v>
      </c>
      <c r="U325" s="343">
        <v>0</v>
      </c>
      <c r="V325" s="341">
        <v>70260</v>
      </c>
      <c r="W325" s="342">
        <v>0</v>
      </c>
      <c r="X325" s="340" t="s">
        <v>574</v>
      </c>
      <c r="Y325" s="340"/>
      <c r="Z325" s="340" t="s">
        <v>1364</v>
      </c>
      <c r="AA325" s="340"/>
      <c r="AB325" s="340" t="s">
        <v>571</v>
      </c>
      <c r="AC325" s="340" t="s">
        <v>570</v>
      </c>
      <c r="AD325" s="341" t="s">
        <v>569</v>
      </c>
      <c r="AE325" s="340"/>
      <c r="AF325" s="341" t="s">
        <v>568</v>
      </c>
      <c r="AG325" s="340">
        <v>0</v>
      </c>
      <c r="AH325" s="340">
        <v>0</v>
      </c>
      <c r="AI325" s="377"/>
      <c r="AK325" s="493">
        <f t="shared" si="45"/>
        <v>3</v>
      </c>
      <c r="AL325" s="493">
        <f t="shared" si="46"/>
        <v>2017</v>
      </c>
      <c r="AM325" s="493">
        <f t="shared" si="47"/>
        <v>2020</v>
      </c>
      <c r="AN325" s="494">
        <f t="shared" si="48"/>
        <v>2020.25</v>
      </c>
      <c r="AO325" s="505">
        <f t="shared" si="49"/>
        <v>33.218055555555551</v>
      </c>
      <c r="AP325" s="505">
        <f t="shared" si="50"/>
        <v>398.61666666666662</v>
      </c>
      <c r="AQ325" s="505">
        <f t="shared" si="51"/>
        <v>0</v>
      </c>
      <c r="AR325" s="505">
        <f t="shared" si="52"/>
        <v>1195.8499999999999</v>
      </c>
      <c r="AS325" s="505">
        <f t="shared" si="53"/>
        <v>1195.8499999999999</v>
      </c>
      <c r="AT325" s="506">
        <f t="shared" si="54"/>
        <v>0</v>
      </c>
    </row>
    <row r="326" spans="1:46">
      <c r="A326" s="341">
        <v>2112</v>
      </c>
      <c r="B326" s="345">
        <v>179132</v>
      </c>
      <c r="C326" s="341" t="s">
        <v>574</v>
      </c>
      <c r="D326" s="340" t="s">
        <v>346</v>
      </c>
      <c r="E326" s="341">
        <v>450</v>
      </c>
      <c r="F326" s="340"/>
      <c r="G326" s="340"/>
      <c r="H326" s="340">
        <v>0</v>
      </c>
      <c r="I326" s="340" t="s">
        <v>1361</v>
      </c>
      <c r="J326" s="340"/>
      <c r="K326" s="340"/>
      <c r="L326" s="344">
        <v>42825</v>
      </c>
      <c r="M326" s="344">
        <v>42825</v>
      </c>
      <c r="N326" s="340" t="s">
        <v>1363</v>
      </c>
      <c r="O326" s="341">
        <v>700</v>
      </c>
      <c r="P326" s="341">
        <v>14050</v>
      </c>
      <c r="Q326" s="342">
        <v>19387.97</v>
      </c>
      <c r="R326" s="341">
        <v>14056</v>
      </c>
      <c r="S326" s="342">
        <v>17541.490000000002</v>
      </c>
      <c r="T326" s="342">
        <f t="shared" si="55"/>
        <v>1846.4799999999996</v>
      </c>
      <c r="U326" s="343">
        <v>1615.66</v>
      </c>
      <c r="V326" s="341">
        <v>54260</v>
      </c>
      <c r="W326" s="342">
        <v>230.8</v>
      </c>
      <c r="X326" s="340" t="s">
        <v>574</v>
      </c>
      <c r="Y326" s="340"/>
      <c r="Z326" s="340">
        <v>65452944</v>
      </c>
      <c r="AA326" s="340"/>
      <c r="AB326" s="340" t="s">
        <v>571</v>
      </c>
      <c r="AC326" s="340" t="s">
        <v>570</v>
      </c>
      <c r="AD326" s="341" t="s">
        <v>569</v>
      </c>
      <c r="AE326" s="340"/>
      <c r="AF326" s="341" t="s">
        <v>568</v>
      </c>
      <c r="AG326" s="340">
        <v>0</v>
      </c>
      <c r="AH326" s="340">
        <v>0</v>
      </c>
      <c r="AI326" s="377"/>
      <c r="AK326" s="493">
        <f t="shared" si="45"/>
        <v>3</v>
      </c>
      <c r="AL326" s="493">
        <f t="shared" si="46"/>
        <v>2017</v>
      </c>
      <c r="AM326" s="493">
        <f t="shared" si="47"/>
        <v>2024</v>
      </c>
      <c r="AN326" s="494">
        <f t="shared" si="48"/>
        <v>2024.25</v>
      </c>
      <c r="AO326" s="505">
        <f t="shared" si="49"/>
        <v>230.80916666666667</v>
      </c>
      <c r="AP326" s="505">
        <f t="shared" si="50"/>
        <v>2769.71</v>
      </c>
      <c r="AQ326" s="505">
        <f t="shared" si="51"/>
        <v>2769.71</v>
      </c>
      <c r="AR326" s="505">
        <f t="shared" si="52"/>
        <v>15002.595833333544</v>
      </c>
      <c r="AS326" s="505">
        <f t="shared" si="53"/>
        <v>17772.305833333543</v>
      </c>
      <c r="AT326" s="506">
        <f t="shared" si="54"/>
        <v>1615.6641666664582</v>
      </c>
    </row>
    <row r="327" spans="1:46">
      <c r="A327" s="341">
        <v>2112</v>
      </c>
      <c r="B327" s="345">
        <v>179025</v>
      </c>
      <c r="C327" s="341" t="s">
        <v>574</v>
      </c>
      <c r="D327" s="340" t="s">
        <v>346</v>
      </c>
      <c r="E327" s="341">
        <v>840</v>
      </c>
      <c r="F327" s="340"/>
      <c r="G327" s="340"/>
      <c r="H327" s="340">
        <v>0</v>
      </c>
      <c r="I327" s="340" t="s">
        <v>1361</v>
      </c>
      <c r="J327" s="340"/>
      <c r="K327" s="340"/>
      <c r="L327" s="344">
        <v>42822</v>
      </c>
      <c r="M327" s="344">
        <v>42822</v>
      </c>
      <c r="N327" s="340" t="s">
        <v>1363</v>
      </c>
      <c r="O327" s="341">
        <v>700</v>
      </c>
      <c r="P327" s="341">
        <v>14050</v>
      </c>
      <c r="Q327" s="342">
        <v>33930.910000000003</v>
      </c>
      <c r="R327" s="341">
        <v>14056</v>
      </c>
      <c r="S327" s="342">
        <v>30699.38</v>
      </c>
      <c r="T327" s="342">
        <f t="shared" si="55"/>
        <v>3231.5300000000025</v>
      </c>
      <c r="U327" s="343">
        <v>2827.57</v>
      </c>
      <c r="V327" s="341">
        <v>54260</v>
      </c>
      <c r="W327" s="342">
        <v>403.93</v>
      </c>
      <c r="X327" s="340" t="s">
        <v>574</v>
      </c>
      <c r="Y327" s="340"/>
      <c r="Z327" s="340">
        <v>65451699</v>
      </c>
      <c r="AA327" s="340"/>
      <c r="AB327" s="340" t="s">
        <v>571</v>
      </c>
      <c r="AC327" s="340" t="s">
        <v>570</v>
      </c>
      <c r="AD327" s="341" t="s">
        <v>569</v>
      </c>
      <c r="AE327" s="340"/>
      <c r="AF327" s="341" t="s">
        <v>568</v>
      </c>
      <c r="AG327" s="340">
        <v>0</v>
      </c>
      <c r="AH327" s="340">
        <v>0</v>
      </c>
      <c r="AI327" s="377"/>
      <c r="AK327" s="493">
        <f t="shared" si="45"/>
        <v>3</v>
      </c>
      <c r="AL327" s="493">
        <f t="shared" si="46"/>
        <v>2017</v>
      </c>
      <c r="AM327" s="493">
        <f t="shared" si="47"/>
        <v>2024</v>
      </c>
      <c r="AN327" s="494">
        <f t="shared" si="48"/>
        <v>2024.25</v>
      </c>
      <c r="AO327" s="505">
        <f t="shared" si="49"/>
        <v>403.93940476190483</v>
      </c>
      <c r="AP327" s="505">
        <f t="shared" si="50"/>
        <v>4847.2728571428579</v>
      </c>
      <c r="AQ327" s="505">
        <f t="shared" si="51"/>
        <v>4847.2728571428579</v>
      </c>
      <c r="AR327" s="505">
        <f t="shared" si="52"/>
        <v>26256.061309524179</v>
      </c>
      <c r="AS327" s="505">
        <f t="shared" si="53"/>
        <v>31103.334166667039</v>
      </c>
      <c r="AT327" s="506">
        <f t="shared" si="54"/>
        <v>2827.575833332965</v>
      </c>
    </row>
    <row r="328" spans="1:46">
      <c r="A328" s="341">
        <v>2112</v>
      </c>
      <c r="B328" s="345">
        <v>178886</v>
      </c>
      <c r="C328" s="341" t="s">
        <v>574</v>
      </c>
      <c r="D328" s="340" t="s">
        <v>345</v>
      </c>
      <c r="E328" s="341">
        <v>624</v>
      </c>
      <c r="F328" s="340"/>
      <c r="G328" s="340"/>
      <c r="H328" s="340">
        <v>0</v>
      </c>
      <c r="I328" s="340" t="s">
        <v>1361</v>
      </c>
      <c r="J328" s="340"/>
      <c r="K328" s="340"/>
      <c r="L328" s="344">
        <v>42824</v>
      </c>
      <c r="M328" s="344">
        <v>42824</v>
      </c>
      <c r="N328" s="340" t="s">
        <v>1363</v>
      </c>
      <c r="O328" s="341">
        <v>700</v>
      </c>
      <c r="P328" s="341">
        <v>14050</v>
      </c>
      <c r="Q328" s="342">
        <v>32539.06</v>
      </c>
      <c r="R328" s="341">
        <v>14056</v>
      </c>
      <c r="S328" s="342">
        <v>29440.12</v>
      </c>
      <c r="T328" s="342">
        <f t="shared" si="55"/>
        <v>3098.9400000000023</v>
      </c>
      <c r="U328" s="343">
        <v>2711.59</v>
      </c>
      <c r="V328" s="341">
        <v>54260</v>
      </c>
      <c r="W328" s="342">
        <v>387.37</v>
      </c>
      <c r="X328" s="340" t="s">
        <v>574</v>
      </c>
      <c r="Y328" s="340"/>
      <c r="Z328" s="340">
        <v>65452362</v>
      </c>
      <c r="AA328" s="340"/>
      <c r="AB328" s="340" t="s">
        <v>571</v>
      </c>
      <c r="AC328" s="340" t="s">
        <v>570</v>
      </c>
      <c r="AD328" s="341" t="s">
        <v>569</v>
      </c>
      <c r="AE328" s="340"/>
      <c r="AF328" s="341" t="s">
        <v>568</v>
      </c>
      <c r="AG328" s="340">
        <v>0</v>
      </c>
      <c r="AH328" s="340">
        <v>0</v>
      </c>
      <c r="AI328" s="377"/>
      <c r="AK328" s="493">
        <f t="shared" si="45"/>
        <v>3</v>
      </c>
      <c r="AL328" s="493">
        <f t="shared" si="46"/>
        <v>2017</v>
      </c>
      <c r="AM328" s="493">
        <f t="shared" si="47"/>
        <v>2024</v>
      </c>
      <c r="AN328" s="494">
        <f t="shared" si="48"/>
        <v>2024.25</v>
      </c>
      <c r="AO328" s="505">
        <f t="shared" si="49"/>
        <v>387.3697619047619</v>
      </c>
      <c r="AP328" s="505">
        <f t="shared" si="50"/>
        <v>4648.437142857143</v>
      </c>
      <c r="AQ328" s="505">
        <f t="shared" si="51"/>
        <v>4648.437142857143</v>
      </c>
      <c r="AR328" s="505">
        <f t="shared" si="52"/>
        <v>25179.034523809878</v>
      </c>
      <c r="AS328" s="505">
        <f t="shared" si="53"/>
        <v>29827.471666667021</v>
      </c>
      <c r="AT328" s="506">
        <f t="shared" si="54"/>
        <v>2711.5883333329803</v>
      </c>
    </row>
    <row r="329" spans="1:46">
      <c r="A329" s="341">
        <v>2112</v>
      </c>
      <c r="B329" s="345">
        <v>178885</v>
      </c>
      <c r="C329" s="341" t="s">
        <v>574</v>
      </c>
      <c r="D329" s="340" t="s">
        <v>350</v>
      </c>
      <c r="E329" s="341">
        <v>840</v>
      </c>
      <c r="F329" s="340"/>
      <c r="G329" s="340"/>
      <c r="H329" s="340">
        <v>0</v>
      </c>
      <c r="I329" s="340" t="s">
        <v>1361</v>
      </c>
      <c r="J329" s="340"/>
      <c r="K329" s="340"/>
      <c r="L329" s="344">
        <v>42822</v>
      </c>
      <c r="M329" s="344">
        <v>42822</v>
      </c>
      <c r="N329" s="340" t="s">
        <v>1363</v>
      </c>
      <c r="O329" s="341">
        <v>700</v>
      </c>
      <c r="P329" s="341">
        <v>14050</v>
      </c>
      <c r="Q329" s="342">
        <v>33930.910000000003</v>
      </c>
      <c r="R329" s="341">
        <v>14056</v>
      </c>
      <c r="S329" s="342">
        <v>30699.38</v>
      </c>
      <c r="T329" s="342">
        <f t="shared" si="55"/>
        <v>3231.5300000000025</v>
      </c>
      <c r="U329" s="343">
        <v>2827.57</v>
      </c>
      <c r="V329" s="341">
        <v>54260</v>
      </c>
      <c r="W329" s="342">
        <v>403.93</v>
      </c>
      <c r="X329" s="340" t="s">
        <v>574</v>
      </c>
      <c r="Y329" s="340"/>
      <c r="Z329" s="340">
        <v>65451956</v>
      </c>
      <c r="AA329" s="340"/>
      <c r="AB329" s="340" t="s">
        <v>571</v>
      </c>
      <c r="AC329" s="340" t="s">
        <v>570</v>
      </c>
      <c r="AD329" s="341" t="s">
        <v>569</v>
      </c>
      <c r="AE329" s="340"/>
      <c r="AF329" s="341" t="s">
        <v>568</v>
      </c>
      <c r="AG329" s="340">
        <v>0</v>
      </c>
      <c r="AH329" s="340">
        <v>0</v>
      </c>
      <c r="AI329" s="377"/>
      <c r="AK329" s="493">
        <f t="shared" si="45"/>
        <v>3</v>
      </c>
      <c r="AL329" s="493">
        <f t="shared" si="46"/>
        <v>2017</v>
      </c>
      <c r="AM329" s="493">
        <f t="shared" si="47"/>
        <v>2024</v>
      </c>
      <c r="AN329" s="494">
        <f t="shared" si="48"/>
        <v>2024.25</v>
      </c>
      <c r="AO329" s="505">
        <f t="shared" si="49"/>
        <v>403.93940476190483</v>
      </c>
      <c r="AP329" s="505">
        <f t="shared" si="50"/>
        <v>4847.2728571428579</v>
      </c>
      <c r="AQ329" s="505">
        <f t="shared" si="51"/>
        <v>4847.2728571428579</v>
      </c>
      <c r="AR329" s="505">
        <f t="shared" si="52"/>
        <v>26256.061309524179</v>
      </c>
      <c r="AS329" s="505">
        <f t="shared" si="53"/>
        <v>31103.334166667039</v>
      </c>
      <c r="AT329" s="506">
        <f t="shared" si="54"/>
        <v>2827.575833332965</v>
      </c>
    </row>
    <row r="330" spans="1:46">
      <c r="A330" s="341">
        <v>2112</v>
      </c>
      <c r="B330" s="345">
        <v>178884</v>
      </c>
      <c r="C330" s="341" t="s">
        <v>574</v>
      </c>
      <c r="D330" s="340" t="s">
        <v>349</v>
      </c>
      <c r="E330" s="341">
        <v>376</v>
      </c>
      <c r="F330" s="340"/>
      <c r="G330" s="340"/>
      <c r="H330" s="340">
        <v>0</v>
      </c>
      <c r="I330" s="340" t="s">
        <v>1361</v>
      </c>
      <c r="J330" s="340"/>
      <c r="K330" s="340"/>
      <c r="L330" s="344">
        <v>42822</v>
      </c>
      <c r="M330" s="344">
        <v>42822</v>
      </c>
      <c r="N330" s="340" t="s">
        <v>1363</v>
      </c>
      <c r="O330" s="341">
        <v>700</v>
      </c>
      <c r="P330" s="341">
        <v>14050</v>
      </c>
      <c r="Q330" s="342">
        <v>18938.43</v>
      </c>
      <c r="R330" s="341">
        <v>14056</v>
      </c>
      <c r="S330" s="342">
        <v>17134.77</v>
      </c>
      <c r="T330" s="342">
        <f t="shared" si="55"/>
        <v>1803.6599999999999</v>
      </c>
      <c r="U330" s="343">
        <v>1578.2</v>
      </c>
      <c r="V330" s="341">
        <v>54260</v>
      </c>
      <c r="W330" s="342">
        <v>225.45</v>
      </c>
      <c r="X330" s="340" t="s">
        <v>574</v>
      </c>
      <c r="Y330" s="340"/>
      <c r="Z330" s="340">
        <v>65451988</v>
      </c>
      <c r="AA330" s="340"/>
      <c r="AB330" s="340" t="s">
        <v>571</v>
      </c>
      <c r="AC330" s="340" t="s">
        <v>570</v>
      </c>
      <c r="AD330" s="341" t="s">
        <v>569</v>
      </c>
      <c r="AE330" s="340"/>
      <c r="AF330" s="341" t="s">
        <v>568</v>
      </c>
      <c r="AG330" s="340">
        <v>0</v>
      </c>
      <c r="AH330" s="340">
        <v>0</v>
      </c>
      <c r="AI330" s="377"/>
      <c r="AK330" s="493">
        <f t="shared" si="45"/>
        <v>3</v>
      </c>
      <c r="AL330" s="493">
        <f t="shared" si="46"/>
        <v>2017</v>
      </c>
      <c r="AM330" s="493">
        <f t="shared" si="47"/>
        <v>2024</v>
      </c>
      <c r="AN330" s="494">
        <f t="shared" si="48"/>
        <v>2024.25</v>
      </c>
      <c r="AO330" s="505">
        <f t="shared" si="49"/>
        <v>225.45750000000001</v>
      </c>
      <c r="AP330" s="505">
        <f t="shared" si="50"/>
        <v>2705.4900000000002</v>
      </c>
      <c r="AQ330" s="505">
        <f t="shared" si="51"/>
        <v>2705.4900000000002</v>
      </c>
      <c r="AR330" s="505">
        <f t="shared" si="52"/>
        <v>14654.737500000205</v>
      </c>
      <c r="AS330" s="505">
        <f t="shared" si="53"/>
        <v>17360.227500000205</v>
      </c>
      <c r="AT330" s="506">
        <f t="shared" si="54"/>
        <v>1578.2024999997957</v>
      </c>
    </row>
    <row r="331" spans="1:46">
      <c r="A331" s="341">
        <v>2112</v>
      </c>
      <c r="B331" s="345">
        <v>178883</v>
      </c>
      <c r="C331" s="341" t="s">
        <v>574</v>
      </c>
      <c r="D331" s="340" t="s">
        <v>348</v>
      </c>
      <c r="E331" s="341">
        <v>510</v>
      </c>
      <c r="F331" s="340"/>
      <c r="G331" s="340"/>
      <c r="H331" s="340">
        <v>0</v>
      </c>
      <c r="I331" s="340" t="s">
        <v>1361</v>
      </c>
      <c r="J331" s="340"/>
      <c r="K331" s="340"/>
      <c r="L331" s="344">
        <v>42822</v>
      </c>
      <c r="M331" s="344">
        <v>42822</v>
      </c>
      <c r="N331" s="340" t="s">
        <v>1363</v>
      </c>
      <c r="O331" s="341">
        <v>700</v>
      </c>
      <c r="P331" s="341">
        <v>14050</v>
      </c>
      <c r="Q331" s="342">
        <v>22508.94</v>
      </c>
      <c r="R331" s="341">
        <v>14056</v>
      </c>
      <c r="S331" s="342">
        <v>20365.150000000001</v>
      </c>
      <c r="T331" s="342">
        <f t="shared" si="55"/>
        <v>2143.7899999999972</v>
      </c>
      <c r="U331" s="343">
        <v>1875.74</v>
      </c>
      <c r="V331" s="341">
        <v>54260</v>
      </c>
      <c r="W331" s="342">
        <v>267.95999999999998</v>
      </c>
      <c r="X331" s="340" t="s">
        <v>574</v>
      </c>
      <c r="Y331" s="340"/>
      <c r="Z331" s="340">
        <v>65451988</v>
      </c>
      <c r="AA331" s="340"/>
      <c r="AB331" s="340" t="s">
        <v>571</v>
      </c>
      <c r="AC331" s="340" t="s">
        <v>570</v>
      </c>
      <c r="AD331" s="341" t="s">
        <v>569</v>
      </c>
      <c r="AE331" s="340"/>
      <c r="AF331" s="341" t="s">
        <v>568</v>
      </c>
      <c r="AG331" s="340">
        <v>0</v>
      </c>
      <c r="AH331" s="340">
        <v>0</v>
      </c>
      <c r="AI331" s="377"/>
      <c r="AK331" s="493">
        <f t="shared" si="45"/>
        <v>3</v>
      </c>
      <c r="AL331" s="493">
        <f t="shared" si="46"/>
        <v>2017</v>
      </c>
      <c r="AM331" s="493">
        <f t="shared" si="47"/>
        <v>2024</v>
      </c>
      <c r="AN331" s="494">
        <f t="shared" si="48"/>
        <v>2024.25</v>
      </c>
      <c r="AO331" s="505">
        <f t="shared" si="49"/>
        <v>267.96357142857141</v>
      </c>
      <c r="AP331" s="505">
        <f t="shared" si="50"/>
        <v>3215.562857142857</v>
      </c>
      <c r="AQ331" s="505">
        <f t="shared" si="51"/>
        <v>3215.562857142857</v>
      </c>
      <c r="AR331" s="505">
        <f t="shared" si="52"/>
        <v>17417.632142857386</v>
      </c>
      <c r="AS331" s="505">
        <f t="shared" si="53"/>
        <v>20633.195000000243</v>
      </c>
      <c r="AT331" s="506">
        <f t="shared" si="54"/>
        <v>1875.7449999997552</v>
      </c>
    </row>
    <row r="332" spans="1:46">
      <c r="A332" s="341">
        <v>2112</v>
      </c>
      <c r="B332" s="345">
        <v>177802</v>
      </c>
      <c r="C332" s="341" t="s">
        <v>574</v>
      </c>
      <c r="D332" s="340" t="s">
        <v>356</v>
      </c>
      <c r="E332" s="341">
        <v>35</v>
      </c>
      <c r="F332" s="340"/>
      <c r="G332" s="340"/>
      <c r="H332" s="340">
        <v>0</v>
      </c>
      <c r="I332" s="340" t="s">
        <v>1361</v>
      </c>
      <c r="J332" s="340"/>
      <c r="K332" s="340" t="s">
        <v>671</v>
      </c>
      <c r="L332" s="344">
        <v>42804</v>
      </c>
      <c r="M332" s="344">
        <v>42804</v>
      </c>
      <c r="N332" s="340" t="s">
        <v>1362</v>
      </c>
      <c r="O332" s="341">
        <v>1200</v>
      </c>
      <c r="P332" s="341">
        <v>14050</v>
      </c>
      <c r="Q332" s="342">
        <v>22503.84</v>
      </c>
      <c r="R332" s="341">
        <v>14056</v>
      </c>
      <c r="S332" s="342">
        <v>12033.31</v>
      </c>
      <c r="T332" s="342">
        <f t="shared" si="55"/>
        <v>10470.530000000001</v>
      </c>
      <c r="U332" s="343">
        <v>1093.94</v>
      </c>
      <c r="V332" s="341">
        <v>54260</v>
      </c>
      <c r="W332" s="342">
        <v>156.28</v>
      </c>
      <c r="X332" s="340" t="s">
        <v>574</v>
      </c>
      <c r="Y332" s="340"/>
      <c r="Z332" s="340">
        <v>37213932</v>
      </c>
      <c r="AA332" s="340"/>
      <c r="AB332" s="340" t="s">
        <v>571</v>
      </c>
      <c r="AC332" s="340" t="s">
        <v>570</v>
      </c>
      <c r="AD332" s="341" t="s">
        <v>569</v>
      </c>
      <c r="AE332" s="340"/>
      <c r="AF332" s="341" t="s">
        <v>568</v>
      </c>
      <c r="AG332" s="340">
        <v>0</v>
      </c>
      <c r="AH332" s="340">
        <v>0</v>
      </c>
      <c r="AI332" s="377"/>
      <c r="AK332" s="493">
        <f t="shared" si="45"/>
        <v>3</v>
      </c>
      <c r="AL332" s="493">
        <f t="shared" si="46"/>
        <v>2017</v>
      </c>
      <c r="AM332" s="493">
        <f t="shared" si="47"/>
        <v>2029</v>
      </c>
      <c r="AN332" s="494">
        <f t="shared" si="48"/>
        <v>2029.25</v>
      </c>
      <c r="AO332" s="505">
        <f t="shared" si="49"/>
        <v>156.27666666666667</v>
      </c>
      <c r="AP332" s="505">
        <f t="shared" si="50"/>
        <v>1875.3200000000002</v>
      </c>
      <c r="AQ332" s="505">
        <f t="shared" si="51"/>
        <v>1875.3200000000002</v>
      </c>
      <c r="AR332" s="505">
        <f t="shared" si="52"/>
        <v>10157.983333333475</v>
      </c>
      <c r="AS332" s="505">
        <f t="shared" si="53"/>
        <v>12033.303333333475</v>
      </c>
      <c r="AT332" s="506">
        <f t="shared" si="54"/>
        <v>10470.536666666525</v>
      </c>
    </row>
    <row r="333" spans="1:46">
      <c r="A333" s="341">
        <v>2112</v>
      </c>
      <c r="B333" s="345">
        <v>177801</v>
      </c>
      <c r="C333" s="341" t="s">
        <v>574</v>
      </c>
      <c r="D333" s="340" t="s">
        <v>355</v>
      </c>
      <c r="E333" s="341">
        <v>49</v>
      </c>
      <c r="F333" s="340"/>
      <c r="G333" s="340"/>
      <c r="H333" s="340">
        <v>0</v>
      </c>
      <c r="I333" s="340" t="s">
        <v>1361</v>
      </c>
      <c r="J333" s="340"/>
      <c r="K333" s="340" t="s">
        <v>671</v>
      </c>
      <c r="L333" s="344">
        <v>42801</v>
      </c>
      <c r="M333" s="344">
        <v>42801</v>
      </c>
      <c r="N333" s="340" t="s">
        <v>1360</v>
      </c>
      <c r="O333" s="341">
        <v>1200</v>
      </c>
      <c r="P333" s="341">
        <v>14050</v>
      </c>
      <c r="Q333" s="342">
        <v>23763.45</v>
      </c>
      <c r="R333" s="341">
        <v>14056</v>
      </c>
      <c r="S333" s="342">
        <v>12706.86</v>
      </c>
      <c r="T333" s="342">
        <f t="shared" si="55"/>
        <v>11056.59</v>
      </c>
      <c r="U333" s="343">
        <v>1155.17</v>
      </c>
      <c r="V333" s="341">
        <v>54260</v>
      </c>
      <c r="W333" s="342">
        <v>165.02</v>
      </c>
      <c r="X333" s="340" t="s">
        <v>574</v>
      </c>
      <c r="Y333" s="340"/>
      <c r="Z333" s="340">
        <v>37213879</v>
      </c>
      <c r="AA333" s="340"/>
      <c r="AB333" s="340" t="s">
        <v>571</v>
      </c>
      <c r="AC333" s="340" t="s">
        <v>570</v>
      </c>
      <c r="AD333" s="341" t="s">
        <v>569</v>
      </c>
      <c r="AE333" s="340"/>
      <c r="AF333" s="341" t="s">
        <v>568</v>
      </c>
      <c r="AG333" s="340">
        <v>0</v>
      </c>
      <c r="AH333" s="340">
        <v>0</v>
      </c>
      <c r="AI333" s="377"/>
      <c r="AK333" s="493">
        <f t="shared" si="45"/>
        <v>3</v>
      </c>
      <c r="AL333" s="493">
        <f t="shared" si="46"/>
        <v>2017</v>
      </c>
      <c r="AM333" s="493">
        <f t="shared" si="47"/>
        <v>2029</v>
      </c>
      <c r="AN333" s="494">
        <f t="shared" si="48"/>
        <v>2029.25</v>
      </c>
      <c r="AO333" s="505">
        <f t="shared" si="49"/>
        <v>165.02395833333335</v>
      </c>
      <c r="AP333" s="505">
        <f t="shared" si="50"/>
        <v>1980.2875000000004</v>
      </c>
      <c r="AQ333" s="505">
        <f t="shared" si="51"/>
        <v>1980.2875000000004</v>
      </c>
      <c r="AR333" s="505">
        <f t="shared" si="52"/>
        <v>10726.557291666815</v>
      </c>
      <c r="AS333" s="505">
        <f t="shared" si="53"/>
        <v>12706.844791666816</v>
      </c>
      <c r="AT333" s="506">
        <f t="shared" si="54"/>
        <v>11056.605208333185</v>
      </c>
    </row>
    <row r="334" spans="1:46">
      <c r="A334" s="341">
        <v>2112</v>
      </c>
      <c r="B334" s="345">
        <v>177800</v>
      </c>
      <c r="C334" s="341" t="s">
        <v>574</v>
      </c>
      <c r="D334" s="340" t="s">
        <v>354</v>
      </c>
      <c r="E334" s="341">
        <v>16</v>
      </c>
      <c r="F334" s="340"/>
      <c r="G334" s="340"/>
      <c r="H334" s="340">
        <v>0</v>
      </c>
      <c r="I334" s="340" t="s">
        <v>1361</v>
      </c>
      <c r="J334" s="340"/>
      <c r="K334" s="340" t="s">
        <v>636</v>
      </c>
      <c r="L334" s="344">
        <v>42801</v>
      </c>
      <c r="M334" s="344">
        <v>42801</v>
      </c>
      <c r="N334" s="340" t="s">
        <v>1360</v>
      </c>
      <c r="O334" s="341">
        <v>1200</v>
      </c>
      <c r="P334" s="341">
        <v>14050</v>
      </c>
      <c r="Q334" s="342">
        <v>7912.19</v>
      </c>
      <c r="R334" s="341">
        <v>14056</v>
      </c>
      <c r="S334" s="342">
        <v>4230.83</v>
      </c>
      <c r="T334" s="342">
        <f t="shared" si="55"/>
        <v>3681.3599999999997</v>
      </c>
      <c r="U334" s="343">
        <v>384.62</v>
      </c>
      <c r="V334" s="341">
        <v>54260</v>
      </c>
      <c r="W334" s="342">
        <v>54.94</v>
      </c>
      <c r="X334" s="340" t="s">
        <v>574</v>
      </c>
      <c r="Y334" s="340"/>
      <c r="Z334" s="340">
        <v>37213922</v>
      </c>
      <c r="AA334" s="340"/>
      <c r="AB334" s="340" t="s">
        <v>571</v>
      </c>
      <c r="AC334" s="340" t="s">
        <v>570</v>
      </c>
      <c r="AD334" s="341" t="s">
        <v>569</v>
      </c>
      <c r="AE334" s="340"/>
      <c r="AF334" s="341" t="s">
        <v>568</v>
      </c>
      <c r="AG334" s="340">
        <v>0</v>
      </c>
      <c r="AH334" s="340">
        <v>0</v>
      </c>
      <c r="AI334" s="377"/>
      <c r="AK334" s="493">
        <f t="shared" ref="AK334:AK397" si="56">MONTH($L334)</f>
        <v>3</v>
      </c>
      <c r="AL334" s="493">
        <f t="shared" ref="AL334:AL397" si="57">YEAR($L334)</f>
        <v>2017</v>
      </c>
      <c r="AM334" s="493">
        <f t="shared" ref="AM334:AM397" si="58">$AL334+($O334/100)</f>
        <v>2029</v>
      </c>
      <c r="AN334" s="494">
        <f t="shared" ref="AN334:AN397" si="59">$AM334+($AK334/12)</f>
        <v>2029.25</v>
      </c>
      <c r="AO334" s="505">
        <f t="shared" ref="AO334:AO397" si="60">IFERROR($Q334/($O334/100)/12,0)</f>
        <v>54.945763888888884</v>
      </c>
      <c r="AP334" s="505">
        <f t="shared" ref="AP334:AP397" si="61">$AO334*12</f>
        <v>659.34916666666663</v>
      </c>
      <c r="AQ334" s="505">
        <f t="shared" ref="AQ334:AQ397" si="62">+IF(AN334&lt;=$AI$9,0,AP334)</f>
        <v>659.34916666666663</v>
      </c>
      <c r="AR334" s="505">
        <f t="shared" ref="AR334:AR397" si="63">+IF(AN334&lt;=$AI$10,Q334,IF((AL334+(AK334/12))&gt;=$AI$10,0,((Q334-((AN334-$AI$10)*12)*AO334))))</f>
        <v>3571.4746527778279</v>
      </c>
      <c r="AS334" s="505">
        <f t="shared" ref="AS334:AS397" si="64">+IF(AN334&lt;$AI$9,Q334,AQ334+AR334)</f>
        <v>4230.8238194444948</v>
      </c>
      <c r="AT334" s="506">
        <f t="shared" ref="AT334:AT397" si="65">$Q334-$AS334</f>
        <v>3681.3661805555048</v>
      </c>
    </row>
    <row r="335" spans="1:46">
      <c r="A335" s="341">
        <v>2112</v>
      </c>
      <c r="B335" s="345">
        <v>177799</v>
      </c>
      <c r="C335" s="341" t="s">
        <v>574</v>
      </c>
      <c r="D335" s="340" t="s">
        <v>353</v>
      </c>
      <c r="E335" s="341">
        <v>1</v>
      </c>
      <c r="F335" s="340"/>
      <c r="G335" s="340"/>
      <c r="H335" s="340">
        <v>0</v>
      </c>
      <c r="I335" s="340" t="s">
        <v>1361</v>
      </c>
      <c r="J335" s="340"/>
      <c r="K335" s="340" t="s">
        <v>671</v>
      </c>
      <c r="L335" s="344">
        <v>42801</v>
      </c>
      <c r="M335" s="344">
        <v>42801</v>
      </c>
      <c r="N335" s="340" t="s">
        <v>1360</v>
      </c>
      <c r="O335" s="341">
        <v>1200</v>
      </c>
      <c r="P335" s="341">
        <v>14050</v>
      </c>
      <c r="Q335" s="342">
        <v>484.75</v>
      </c>
      <c r="R335" s="341">
        <v>14056</v>
      </c>
      <c r="S335" s="342">
        <v>259.23</v>
      </c>
      <c r="T335" s="342">
        <f t="shared" si="55"/>
        <v>225.51999999999998</v>
      </c>
      <c r="U335" s="343">
        <v>23.57</v>
      </c>
      <c r="V335" s="341">
        <v>54260</v>
      </c>
      <c r="W335" s="342">
        <v>3.37</v>
      </c>
      <c r="X335" s="340" t="s">
        <v>574</v>
      </c>
      <c r="Y335" s="340"/>
      <c r="Z335" s="340">
        <v>37213922</v>
      </c>
      <c r="AA335" s="340"/>
      <c r="AB335" s="340" t="s">
        <v>571</v>
      </c>
      <c r="AC335" s="340" t="s">
        <v>570</v>
      </c>
      <c r="AD335" s="341" t="s">
        <v>569</v>
      </c>
      <c r="AE335" s="340"/>
      <c r="AF335" s="341" t="s">
        <v>568</v>
      </c>
      <c r="AG335" s="340">
        <v>0</v>
      </c>
      <c r="AH335" s="340">
        <v>0</v>
      </c>
      <c r="AI335" s="377"/>
      <c r="AK335" s="493">
        <f t="shared" si="56"/>
        <v>3</v>
      </c>
      <c r="AL335" s="493">
        <f t="shared" si="57"/>
        <v>2017</v>
      </c>
      <c r="AM335" s="493">
        <f t="shared" si="58"/>
        <v>2029</v>
      </c>
      <c r="AN335" s="494">
        <f t="shared" si="59"/>
        <v>2029.25</v>
      </c>
      <c r="AO335" s="505">
        <f t="shared" si="60"/>
        <v>3.3663194444444446</v>
      </c>
      <c r="AP335" s="505">
        <f t="shared" si="61"/>
        <v>40.395833333333336</v>
      </c>
      <c r="AQ335" s="505">
        <f t="shared" si="62"/>
        <v>40.395833333333336</v>
      </c>
      <c r="AR335" s="505">
        <f t="shared" si="63"/>
        <v>218.81076388889193</v>
      </c>
      <c r="AS335" s="505">
        <f t="shared" si="64"/>
        <v>259.20659722222524</v>
      </c>
      <c r="AT335" s="506">
        <f t="shared" si="65"/>
        <v>225.54340277777476</v>
      </c>
    </row>
    <row r="336" spans="1:46">
      <c r="A336" s="341">
        <v>2112</v>
      </c>
      <c r="B336" s="345">
        <v>177798</v>
      </c>
      <c r="C336" s="341" t="s">
        <v>574</v>
      </c>
      <c r="D336" s="340" t="s">
        <v>352</v>
      </c>
      <c r="E336" s="341">
        <v>22</v>
      </c>
      <c r="F336" s="340"/>
      <c r="G336" s="340"/>
      <c r="H336" s="340">
        <v>0</v>
      </c>
      <c r="I336" s="340" t="s">
        <v>1361</v>
      </c>
      <c r="J336" s="340"/>
      <c r="K336" s="340" t="s">
        <v>706</v>
      </c>
      <c r="L336" s="344">
        <v>42801</v>
      </c>
      <c r="M336" s="344">
        <v>42801</v>
      </c>
      <c r="N336" s="340" t="s">
        <v>1360</v>
      </c>
      <c r="O336" s="341">
        <v>1200</v>
      </c>
      <c r="P336" s="341">
        <v>14050</v>
      </c>
      <c r="Q336" s="342">
        <v>10450</v>
      </c>
      <c r="R336" s="341">
        <v>14056</v>
      </c>
      <c r="S336" s="342">
        <v>5587.83</v>
      </c>
      <c r="T336" s="342">
        <f t="shared" si="55"/>
        <v>4862.17</v>
      </c>
      <c r="U336" s="343">
        <v>507.98</v>
      </c>
      <c r="V336" s="341">
        <v>54260</v>
      </c>
      <c r="W336" s="342">
        <v>72.56</v>
      </c>
      <c r="X336" s="340" t="s">
        <v>574</v>
      </c>
      <c r="Y336" s="340"/>
      <c r="Z336" s="340">
        <v>37213922</v>
      </c>
      <c r="AA336" s="340"/>
      <c r="AB336" s="340" t="s">
        <v>571</v>
      </c>
      <c r="AC336" s="340" t="s">
        <v>570</v>
      </c>
      <c r="AD336" s="341" t="s">
        <v>569</v>
      </c>
      <c r="AE336" s="340"/>
      <c r="AF336" s="341" t="s">
        <v>568</v>
      </c>
      <c r="AG336" s="340">
        <v>0</v>
      </c>
      <c r="AH336" s="340">
        <v>0</v>
      </c>
      <c r="AI336" s="377"/>
      <c r="AK336" s="493">
        <f t="shared" si="56"/>
        <v>3</v>
      </c>
      <c r="AL336" s="493">
        <f t="shared" si="57"/>
        <v>2017</v>
      </c>
      <c r="AM336" s="493">
        <f t="shared" si="58"/>
        <v>2029</v>
      </c>
      <c r="AN336" s="494">
        <f t="shared" si="59"/>
        <v>2029.25</v>
      </c>
      <c r="AO336" s="505">
        <f t="shared" si="60"/>
        <v>72.569444444444443</v>
      </c>
      <c r="AP336" s="505">
        <f t="shared" si="61"/>
        <v>870.83333333333326</v>
      </c>
      <c r="AQ336" s="505">
        <f t="shared" si="62"/>
        <v>870.83333333333326</v>
      </c>
      <c r="AR336" s="505">
        <f t="shared" si="63"/>
        <v>4717.0138888889551</v>
      </c>
      <c r="AS336" s="505">
        <f t="shared" si="64"/>
        <v>5587.8472222222881</v>
      </c>
      <c r="AT336" s="506">
        <f t="shared" si="65"/>
        <v>4862.1527777777119</v>
      </c>
    </row>
    <row r="337" spans="1:46">
      <c r="A337" s="341">
        <v>2112</v>
      </c>
      <c r="B337" s="345">
        <v>177797</v>
      </c>
      <c r="C337" s="341" t="s">
        <v>574</v>
      </c>
      <c r="D337" s="340" t="s">
        <v>351</v>
      </c>
      <c r="E337" s="341">
        <v>60</v>
      </c>
      <c r="F337" s="340"/>
      <c r="G337" s="340"/>
      <c r="H337" s="340">
        <v>0</v>
      </c>
      <c r="I337" s="340" t="s">
        <v>1361</v>
      </c>
      <c r="J337" s="340"/>
      <c r="K337" s="340" t="s">
        <v>578</v>
      </c>
      <c r="L337" s="344">
        <v>42801</v>
      </c>
      <c r="M337" s="344">
        <v>42801</v>
      </c>
      <c r="N337" s="340" t="s">
        <v>1360</v>
      </c>
      <c r="O337" s="341">
        <v>1200</v>
      </c>
      <c r="P337" s="341">
        <v>14050</v>
      </c>
      <c r="Q337" s="342">
        <v>26093.53</v>
      </c>
      <c r="R337" s="341">
        <v>14056</v>
      </c>
      <c r="S337" s="342">
        <v>13952.79</v>
      </c>
      <c r="T337" s="342">
        <f t="shared" si="55"/>
        <v>12140.739999999998</v>
      </c>
      <c r="U337" s="343">
        <v>1268.44</v>
      </c>
      <c r="V337" s="341">
        <v>54260</v>
      </c>
      <c r="W337" s="342">
        <v>181.21</v>
      </c>
      <c r="X337" s="340" t="s">
        <v>574</v>
      </c>
      <c r="Y337" s="340"/>
      <c r="Z337" s="340">
        <v>37213922</v>
      </c>
      <c r="AA337" s="340"/>
      <c r="AB337" s="340" t="s">
        <v>571</v>
      </c>
      <c r="AC337" s="340" t="s">
        <v>570</v>
      </c>
      <c r="AD337" s="341" t="s">
        <v>569</v>
      </c>
      <c r="AE337" s="340"/>
      <c r="AF337" s="341" t="s">
        <v>568</v>
      </c>
      <c r="AG337" s="340">
        <v>0</v>
      </c>
      <c r="AH337" s="340">
        <v>0</v>
      </c>
      <c r="AI337" s="377"/>
      <c r="AK337" s="493">
        <f t="shared" si="56"/>
        <v>3</v>
      </c>
      <c r="AL337" s="493">
        <f t="shared" si="57"/>
        <v>2017</v>
      </c>
      <c r="AM337" s="493">
        <f t="shared" si="58"/>
        <v>2029</v>
      </c>
      <c r="AN337" s="494">
        <f t="shared" si="59"/>
        <v>2029.25</v>
      </c>
      <c r="AO337" s="505">
        <f t="shared" si="60"/>
        <v>181.20506944444443</v>
      </c>
      <c r="AP337" s="505">
        <f t="shared" si="61"/>
        <v>2174.4608333333331</v>
      </c>
      <c r="AQ337" s="505">
        <f t="shared" si="62"/>
        <v>2174.4608333333331</v>
      </c>
      <c r="AR337" s="505">
        <f t="shared" si="63"/>
        <v>11778.329513889053</v>
      </c>
      <c r="AS337" s="505">
        <f t="shared" si="64"/>
        <v>13952.790347222386</v>
      </c>
      <c r="AT337" s="506">
        <f t="shared" si="65"/>
        <v>12140.739652777613</v>
      </c>
    </row>
    <row r="338" spans="1:46">
      <c r="A338" s="341">
        <v>2112</v>
      </c>
      <c r="B338" s="345">
        <v>174644</v>
      </c>
      <c r="C338" s="341" t="s">
        <v>574</v>
      </c>
      <c r="D338" s="340" t="s">
        <v>365</v>
      </c>
      <c r="E338" s="341">
        <v>0</v>
      </c>
      <c r="F338" s="340" t="s">
        <v>1358</v>
      </c>
      <c r="G338" s="340" t="s">
        <v>1357</v>
      </c>
      <c r="H338" s="340">
        <v>2008</v>
      </c>
      <c r="I338" s="340" t="s">
        <v>893</v>
      </c>
      <c r="J338" s="340" t="s">
        <v>801</v>
      </c>
      <c r="K338" s="340" t="s">
        <v>800</v>
      </c>
      <c r="L338" s="344">
        <v>40877</v>
      </c>
      <c r="M338" s="344">
        <v>40877</v>
      </c>
      <c r="N338" s="340" t="s">
        <v>1356</v>
      </c>
      <c r="O338" s="341">
        <v>300</v>
      </c>
      <c r="P338" s="341">
        <v>14040</v>
      </c>
      <c r="Q338" s="342">
        <v>27526</v>
      </c>
      <c r="R338" s="341">
        <v>14046</v>
      </c>
      <c r="S338" s="342">
        <v>27526</v>
      </c>
      <c r="T338" s="342">
        <f t="shared" si="55"/>
        <v>0</v>
      </c>
      <c r="U338" s="343">
        <v>0</v>
      </c>
      <c r="V338" s="341">
        <v>51260</v>
      </c>
      <c r="W338" s="342">
        <v>0</v>
      </c>
      <c r="X338" s="340" t="s">
        <v>574</v>
      </c>
      <c r="Y338" s="340"/>
      <c r="Z338" s="340" t="s">
        <v>1355</v>
      </c>
      <c r="AA338" s="340">
        <v>102</v>
      </c>
      <c r="AB338" s="340" t="s">
        <v>571</v>
      </c>
      <c r="AC338" s="340" t="s">
        <v>570</v>
      </c>
      <c r="AD338" s="341" t="s">
        <v>569</v>
      </c>
      <c r="AE338" s="346">
        <v>42766</v>
      </c>
      <c r="AF338" s="341" t="s">
        <v>568</v>
      </c>
      <c r="AG338" s="340">
        <v>0</v>
      </c>
      <c r="AH338" s="340">
        <v>27526</v>
      </c>
      <c r="AI338" s="377"/>
      <c r="AK338" s="493">
        <f t="shared" si="56"/>
        <v>11</v>
      </c>
      <c r="AL338" s="493">
        <f t="shared" si="57"/>
        <v>2011</v>
      </c>
      <c r="AM338" s="493">
        <f t="shared" si="58"/>
        <v>2014</v>
      </c>
      <c r="AN338" s="494">
        <f t="shared" si="59"/>
        <v>2014.9166666666667</v>
      </c>
      <c r="AO338" s="505">
        <f t="shared" si="60"/>
        <v>764.6111111111112</v>
      </c>
      <c r="AP338" s="505">
        <f t="shared" si="61"/>
        <v>9175.3333333333339</v>
      </c>
      <c r="AQ338" s="505">
        <f t="shared" si="62"/>
        <v>0</v>
      </c>
      <c r="AR338" s="505">
        <f t="shared" si="63"/>
        <v>27526</v>
      </c>
      <c r="AS338" s="505">
        <f t="shared" si="64"/>
        <v>27526</v>
      </c>
      <c r="AT338" s="506">
        <f t="shared" si="65"/>
        <v>0</v>
      </c>
    </row>
    <row r="339" spans="1:46">
      <c r="A339" s="341">
        <v>2112</v>
      </c>
      <c r="B339" s="345">
        <v>173864</v>
      </c>
      <c r="C339" s="341" t="s">
        <v>574</v>
      </c>
      <c r="D339" s="340" t="s">
        <v>347</v>
      </c>
      <c r="E339" s="341">
        <v>335</v>
      </c>
      <c r="F339" s="340"/>
      <c r="G339" s="340"/>
      <c r="H339" s="340">
        <v>0</v>
      </c>
      <c r="I339" s="340" t="s">
        <v>930</v>
      </c>
      <c r="J339" s="340"/>
      <c r="K339" s="340"/>
      <c r="L339" s="344">
        <v>42702</v>
      </c>
      <c r="M339" s="344">
        <v>42702</v>
      </c>
      <c r="N339" s="340" t="s">
        <v>1354</v>
      </c>
      <c r="O339" s="341">
        <v>700</v>
      </c>
      <c r="P339" s="341">
        <v>14050</v>
      </c>
      <c r="Q339" s="342">
        <v>15248.51</v>
      </c>
      <c r="R339" s="341">
        <v>14056</v>
      </c>
      <c r="S339" s="342">
        <v>14522.4</v>
      </c>
      <c r="T339" s="342">
        <f t="shared" si="55"/>
        <v>726.11000000000058</v>
      </c>
      <c r="U339" s="343">
        <v>1270.71</v>
      </c>
      <c r="V339" s="341">
        <v>54260</v>
      </c>
      <c r="W339" s="342">
        <v>181.53</v>
      </c>
      <c r="X339" s="340" t="s">
        <v>574</v>
      </c>
      <c r="Y339" s="340"/>
      <c r="Z339" s="340">
        <v>65438528</v>
      </c>
      <c r="AA339" s="340"/>
      <c r="AB339" s="340" t="s">
        <v>571</v>
      </c>
      <c r="AC339" s="340" t="s">
        <v>570</v>
      </c>
      <c r="AD339" s="341" t="s">
        <v>569</v>
      </c>
      <c r="AE339" s="346">
        <v>42735</v>
      </c>
      <c r="AF339" s="341" t="s">
        <v>568</v>
      </c>
      <c r="AG339" s="340">
        <v>0</v>
      </c>
      <c r="AH339" s="340">
        <v>181.53</v>
      </c>
      <c r="AI339" s="377"/>
      <c r="AK339" s="493">
        <f t="shared" si="56"/>
        <v>11</v>
      </c>
      <c r="AL339" s="493">
        <f t="shared" si="57"/>
        <v>2016</v>
      </c>
      <c r="AM339" s="493">
        <f t="shared" si="58"/>
        <v>2023</v>
      </c>
      <c r="AN339" s="494">
        <f t="shared" si="59"/>
        <v>2023.9166666666667</v>
      </c>
      <c r="AO339" s="505">
        <f t="shared" si="60"/>
        <v>181.52988095238095</v>
      </c>
      <c r="AP339" s="505">
        <f t="shared" si="61"/>
        <v>2178.3585714285714</v>
      </c>
      <c r="AQ339" s="505">
        <f t="shared" si="62"/>
        <v>2178.3585714285714</v>
      </c>
      <c r="AR339" s="505">
        <f t="shared" si="63"/>
        <v>12525.561785714286</v>
      </c>
      <c r="AS339" s="505">
        <f t="shared" si="64"/>
        <v>14703.920357142857</v>
      </c>
      <c r="AT339" s="506">
        <f t="shared" si="65"/>
        <v>544.58964285714319</v>
      </c>
    </row>
    <row r="340" spans="1:46">
      <c r="A340" s="341">
        <v>2112</v>
      </c>
      <c r="B340" s="345">
        <v>173863</v>
      </c>
      <c r="C340" s="341" t="s">
        <v>574</v>
      </c>
      <c r="D340" s="340" t="s">
        <v>346</v>
      </c>
      <c r="E340" s="341">
        <v>401</v>
      </c>
      <c r="F340" s="340"/>
      <c r="G340" s="340"/>
      <c r="H340" s="340">
        <v>0</v>
      </c>
      <c r="I340" s="340" t="s">
        <v>930</v>
      </c>
      <c r="J340" s="340"/>
      <c r="K340" s="340"/>
      <c r="L340" s="344">
        <v>42702</v>
      </c>
      <c r="M340" s="344">
        <v>42702</v>
      </c>
      <c r="N340" s="340" t="s">
        <v>1354</v>
      </c>
      <c r="O340" s="341">
        <v>700</v>
      </c>
      <c r="P340" s="341">
        <v>14050</v>
      </c>
      <c r="Q340" s="342">
        <v>16470.48</v>
      </c>
      <c r="R340" s="341">
        <v>14056</v>
      </c>
      <c r="S340" s="342">
        <v>15686.19</v>
      </c>
      <c r="T340" s="342">
        <f t="shared" si="55"/>
        <v>784.28999999999905</v>
      </c>
      <c r="U340" s="343">
        <v>1372.53</v>
      </c>
      <c r="V340" s="341">
        <v>54260</v>
      </c>
      <c r="W340" s="342">
        <v>196.08</v>
      </c>
      <c r="X340" s="340" t="s">
        <v>574</v>
      </c>
      <c r="Y340" s="340"/>
      <c r="Z340" s="340">
        <v>65438528</v>
      </c>
      <c r="AA340" s="340"/>
      <c r="AB340" s="340" t="s">
        <v>571</v>
      </c>
      <c r="AC340" s="340" t="s">
        <v>570</v>
      </c>
      <c r="AD340" s="341" t="s">
        <v>569</v>
      </c>
      <c r="AE340" s="346">
        <v>42735</v>
      </c>
      <c r="AF340" s="341" t="s">
        <v>568</v>
      </c>
      <c r="AG340" s="340">
        <v>0</v>
      </c>
      <c r="AH340" s="340">
        <v>196.08</v>
      </c>
      <c r="AI340" s="377"/>
      <c r="AK340" s="493">
        <f t="shared" si="56"/>
        <v>11</v>
      </c>
      <c r="AL340" s="493">
        <f t="shared" si="57"/>
        <v>2016</v>
      </c>
      <c r="AM340" s="493">
        <f t="shared" si="58"/>
        <v>2023</v>
      </c>
      <c r="AN340" s="494">
        <f t="shared" si="59"/>
        <v>2023.9166666666667</v>
      </c>
      <c r="AO340" s="505">
        <f t="shared" si="60"/>
        <v>196.07714285714283</v>
      </c>
      <c r="AP340" s="505">
        <f t="shared" si="61"/>
        <v>2352.9257142857141</v>
      </c>
      <c r="AQ340" s="505">
        <f t="shared" si="62"/>
        <v>2352.9257142857141</v>
      </c>
      <c r="AR340" s="505">
        <f t="shared" si="63"/>
        <v>13529.322857142857</v>
      </c>
      <c r="AS340" s="505">
        <f t="shared" si="64"/>
        <v>15882.248571428572</v>
      </c>
      <c r="AT340" s="506">
        <f t="shared" si="65"/>
        <v>588.23142857142739</v>
      </c>
    </row>
    <row r="341" spans="1:46">
      <c r="A341" s="341">
        <v>2112</v>
      </c>
      <c r="B341" s="345">
        <v>173862</v>
      </c>
      <c r="C341" s="341" t="s">
        <v>574</v>
      </c>
      <c r="D341" s="340" t="s">
        <v>345</v>
      </c>
      <c r="E341" s="341">
        <v>75</v>
      </c>
      <c r="F341" s="340"/>
      <c r="G341" s="340"/>
      <c r="H341" s="340">
        <v>0</v>
      </c>
      <c r="I341" s="340" t="s">
        <v>930</v>
      </c>
      <c r="J341" s="340"/>
      <c r="K341" s="340"/>
      <c r="L341" s="344">
        <v>42702</v>
      </c>
      <c r="M341" s="344">
        <v>42702</v>
      </c>
      <c r="N341" s="340" t="s">
        <v>1354</v>
      </c>
      <c r="O341" s="341">
        <v>700</v>
      </c>
      <c r="P341" s="341">
        <v>14050</v>
      </c>
      <c r="Q341" s="342">
        <v>3873.19</v>
      </c>
      <c r="R341" s="341">
        <v>14056</v>
      </c>
      <c r="S341" s="342">
        <v>3688.75</v>
      </c>
      <c r="T341" s="342">
        <f t="shared" ref="T341:T404" si="66">Q341-S341</f>
        <v>184.44000000000005</v>
      </c>
      <c r="U341" s="343">
        <v>322.77999999999997</v>
      </c>
      <c r="V341" s="341">
        <v>54260</v>
      </c>
      <c r="W341" s="342">
        <v>46.11</v>
      </c>
      <c r="X341" s="340" t="s">
        <v>574</v>
      </c>
      <c r="Y341" s="340"/>
      <c r="Z341" s="340">
        <v>65438528</v>
      </c>
      <c r="AA341" s="340"/>
      <c r="AB341" s="340" t="s">
        <v>571</v>
      </c>
      <c r="AC341" s="340" t="s">
        <v>570</v>
      </c>
      <c r="AD341" s="341" t="s">
        <v>569</v>
      </c>
      <c r="AE341" s="346">
        <v>42735</v>
      </c>
      <c r="AF341" s="341" t="s">
        <v>568</v>
      </c>
      <c r="AG341" s="340">
        <v>0</v>
      </c>
      <c r="AH341" s="340">
        <v>46.11</v>
      </c>
      <c r="AI341" s="377"/>
      <c r="AK341" s="493">
        <f t="shared" si="56"/>
        <v>11</v>
      </c>
      <c r="AL341" s="493">
        <f t="shared" si="57"/>
        <v>2016</v>
      </c>
      <c r="AM341" s="493">
        <f t="shared" si="58"/>
        <v>2023</v>
      </c>
      <c r="AN341" s="494">
        <f t="shared" si="59"/>
        <v>2023.9166666666667</v>
      </c>
      <c r="AO341" s="505">
        <f t="shared" si="60"/>
        <v>46.109404761904763</v>
      </c>
      <c r="AP341" s="505">
        <f t="shared" si="61"/>
        <v>553.31285714285718</v>
      </c>
      <c r="AQ341" s="505">
        <f t="shared" si="62"/>
        <v>553.31285714285718</v>
      </c>
      <c r="AR341" s="505">
        <f t="shared" si="63"/>
        <v>3181.5489285714284</v>
      </c>
      <c r="AS341" s="505">
        <f t="shared" si="64"/>
        <v>3734.8617857142854</v>
      </c>
      <c r="AT341" s="506">
        <f t="shared" si="65"/>
        <v>138.32821428571469</v>
      </c>
    </row>
    <row r="342" spans="1:46">
      <c r="A342" s="341">
        <v>2112</v>
      </c>
      <c r="B342" s="345">
        <v>173861</v>
      </c>
      <c r="C342" s="341">
        <v>43742</v>
      </c>
      <c r="D342" s="340" t="s">
        <v>1353</v>
      </c>
      <c r="E342" s="341"/>
      <c r="F342" s="340"/>
      <c r="G342" s="340"/>
      <c r="H342" s="340">
        <v>0</v>
      </c>
      <c r="I342" s="340" t="s">
        <v>1352</v>
      </c>
      <c r="J342" s="340"/>
      <c r="K342" s="340" t="s">
        <v>572</v>
      </c>
      <c r="L342" s="344">
        <v>42716</v>
      </c>
      <c r="M342" s="344">
        <v>42716</v>
      </c>
      <c r="N342" s="340" t="s">
        <v>1351</v>
      </c>
      <c r="O342" s="341">
        <v>300</v>
      </c>
      <c r="P342" s="341">
        <v>14040</v>
      </c>
      <c r="Q342" s="342">
        <v>18669.45</v>
      </c>
      <c r="R342" s="341">
        <v>14046</v>
      </c>
      <c r="S342" s="342">
        <v>18669.45</v>
      </c>
      <c r="T342" s="342">
        <f t="shared" si="66"/>
        <v>0</v>
      </c>
      <c r="U342" s="343">
        <v>0</v>
      </c>
      <c r="V342" s="341">
        <v>51260</v>
      </c>
      <c r="W342" s="342">
        <v>0</v>
      </c>
      <c r="X342" s="340" t="s">
        <v>574</v>
      </c>
      <c r="Y342" s="340"/>
      <c r="Z342" s="340">
        <v>18115</v>
      </c>
      <c r="AA342" s="340"/>
      <c r="AB342" s="340" t="s">
        <v>571</v>
      </c>
      <c r="AC342" s="340" t="s">
        <v>570</v>
      </c>
      <c r="AD342" s="341" t="s">
        <v>569</v>
      </c>
      <c r="AE342" s="346">
        <v>42735</v>
      </c>
      <c r="AF342" s="341" t="s">
        <v>568</v>
      </c>
      <c r="AG342" s="340">
        <v>0</v>
      </c>
      <c r="AH342" s="340">
        <v>518.6</v>
      </c>
      <c r="AI342" s="377"/>
      <c r="AK342" s="493">
        <f t="shared" si="56"/>
        <v>12</v>
      </c>
      <c r="AL342" s="493">
        <f t="shared" si="57"/>
        <v>2016</v>
      </c>
      <c r="AM342" s="493">
        <f t="shared" si="58"/>
        <v>2019</v>
      </c>
      <c r="AN342" s="494">
        <f t="shared" si="59"/>
        <v>2020</v>
      </c>
      <c r="AO342" s="505">
        <f t="shared" si="60"/>
        <v>518.59583333333342</v>
      </c>
      <c r="AP342" s="505">
        <f t="shared" si="61"/>
        <v>6223.1500000000015</v>
      </c>
      <c r="AQ342" s="505">
        <f t="shared" si="62"/>
        <v>0</v>
      </c>
      <c r="AR342" s="505">
        <f t="shared" si="63"/>
        <v>18669.45</v>
      </c>
      <c r="AS342" s="505">
        <f t="shared" si="64"/>
        <v>18669.45</v>
      </c>
      <c r="AT342" s="506">
        <f t="shared" si="65"/>
        <v>0</v>
      </c>
    </row>
    <row r="343" spans="1:46">
      <c r="A343" s="341">
        <v>2112</v>
      </c>
      <c r="B343" s="345">
        <v>173860</v>
      </c>
      <c r="C343" s="341" t="s">
        <v>574</v>
      </c>
      <c r="D343" s="340" t="s">
        <v>389</v>
      </c>
      <c r="E343" s="341">
        <v>252</v>
      </c>
      <c r="F343" s="340"/>
      <c r="G343" s="340"/>
      <c r="H343" s="340">
        <v>0</v>
      </c>
      <c r="I343" s="340" t="s">
        <v>927</v>
      </c>
      <c r="J343" s="340"/>
      <c r="K343" s="340"/>
      <c r="L343" s="344">
        <v>42626</v>
      </c>
      <c r="M343" s="344">
        <v>42626</v>
      </c>
      <c r="N343" s="340" t="s">
        <v>1350</v>
      </c>
      <c r="O343" s="341">
        <v>700</v>
      </c>
      <c r="P343" s="341">
        <v>14050</v>
      </c>
      <c r="Q343" s="342">
        <v>8741.3799999999992</v>
      </c>
      <c r="R343" s="341">
        <v>14056</v>
      </c>
      <c r="S343" s="342">
        <v>8637.32</v>
      </c>
      <c r="T343" s="342">
        <f t="shared" si="66"/>
        <v>104.05999999999949</v>
      </c>
      <c r="U343" s="343">
        <v>728.44</v>
      </c>
      <c r="V343" s="341">
        <v>54260</v>
      </c>
      <c r="W343" s="342">
        <v>104.07</v>
      </c>
      <c r="X343" s="340" t="s">
        <v>574</v>
      </c>
      <c r="Y343" s="340"/>
      <c r="Z343" s="340" t="s">
        <v>1349</v>
      </c>
      <c r="AA343" s="340"/>
      <c r="AB343" s="340" t="s">
        <v>571</v>
      </c>
      <c r="AC343" s="340" t="s">
        <v>570</v>
      </c>
      <c r="AD343" s="341" t="s">
        <v>569</v>
      </c>
      <c r="AE343" s="346">
        <v>42735</v>
      </c>
      <c r="AF343" s="341" t="s">
        <v>568</v>
      </c>
      <c r="AG343" s="340">
        <v>0</v>
      </c>
      <c r="AH343" s="340">
        <v>416.26</v>
      </c>
      <c r="AI343" s="377"/>
      <c r="AK343" s="493">
        <f t="shared" si="56"/>
        <v>9</v>
      </c>
      <c r="AL343" s="493">
        <f t="shared" si="57"/>
        <v>2016</v>
      </c>
      <c r="AM343" s="493">
        <f t="shared" si="58"/>
        <v>2023</v>
      </c>
      <c r="AN343" s="494">
        <f t="shared" si="59"/>
        <v>2023.75</v>
      </c>
      <c r="AO343" s="505">
        <f t="shared" si="60"/>
        <v>104.0640476190476</v>
      </c>
      <c r="AP343" s="505">
        <f t="shared" si="61"/>
        <v>1248.7685714285712</v>
      </c>
      <c r="AQ343" s="505">
        <f t="shared" si="62"/>
        <v>1248.7685714285712</v>
      </c>
      <c r="AR343" s="505">
        <f t="shared" si="63"/>
        <v>7388.5473809524756</v>
      </c>
      <c r="AS343" s="505">
        <f t="shared" si="64"/>
        <v>8637.3159523810464</v>
      </c>
      <c r="AT343" s="506">
        <f t="shared" si="65"/>
        <v>104.06404761895283</v>
      </c>
    </row>
    <row r="344" spans="1:46">
      <c r="A344" s="341">
        <v>2112</v>
      </c>
      <c r="B344" s="345">
        <v>173859</v>
      </c>
      <c r="C344" s="341" t="s">
        <v>574</v>
      </c>
      <c r="D344" s="340" t="s">
        <v>631</v>
      </c>
      <c r="E344" s="341">
        <v>99</v>
      </c>
      <c r="F344" s="340"/>
      <c r="G344" s="340"/>
      <c r="H344" s="340">
        <v>0</v>
      </c>
      <c r="I344" s="340" t="s">
        <v>927</v>
      </c>
      <c r="J344" s="340"/>
      <c r="K344" s="340"/>
      <c r="L344" s="344">
        <v>42626</v>
      </c>
      <c r="M344" s="344">
        <v>42626</v>
      </c>
      <c r="N344" s="340" t="s">
        <v>1345</v>
      </c>
      <c r="O344" s="341">
        <v>700</v>
      </c>
      <c r="P344" s="341">
        <v>14050</v>
      </c>
      <c r="Q344" s="342">
        <v>4796.82</v>
      </c>
      <c r="R344" s="341">
        <v>14056</v>
      </c>
      <c r="S344" s="342">
        <v>4739.71</v>
      </c>
      <c r="T344" s="342">
        <f t="shared" si="66"/>
        <v>57.109999999999673</v>
      </c>
      <c r="U344" s="343">
        <v>399.8</v>
      </c>
      <c r="V344" s="341">
        <v>54260</v>
      </c>
      <c r="W344" s="342">
        <v>57.12</v>
      </c>
      <c r="X344" s="340" t="s">
        <v>574</v>
      </c>
      <c r="Y344" s="340"/>
      <c r="Z344" s="340">
        <v>20487</v>
      </c>
      <c r="AA344" s="340"/>
      <c r="AB344" s="340" t="s">
        <v>571</v>
      </c>
      <c r="AC344" s="340" t="s">
        <v>570</v>
      </c>
      <c r="AD344" s="341" t="s">
        <v>569</v>
      </c>
      <c r="AE344" s="346">
        <v>42735</v>
      </c>
      <c r="AF344" s="341" t="s">
        <v>568</v>
      </c>
      <c r="AG344" s="340">
        <v>0</v>
      </c>
      <c r="AH344" s="340">
        <v>228.41</v>
      </c>
      <c r="AI344" s="377"/>
      <c r="AK344" s="493">
        <f t="shared" si="56"/>
        <v>9</v>
      </c>
      <c r="AL344" s="493">
        <f t="shared" si="57"/>
        <v>2016</v>
      </c>
      <c r="AM344" s="493">
        <f t="shared" si="58"/>
        <v>2023</v>
      </c>
      <c r="AN344" s="494">
        <f t="shared" si="59"/>
        <v>2023.75</v>
      </c>
      <c r="AO344" s="505">
        <f t="shared" si="60"/>
        <v>57.104999999999997</v>
      </c>
      <c r="AP344" s="505">
        <f t="shared" si="61"/>
        <v>685.26</v>
      </c>
      <c r="AQ344" s="505">
        <f t="shared" si="62"/>
        <v>685.26</v>
      </c>
      <c r="AR344" s="505">
        <f t="shared" si="63"/>
        <v>4054.4550000000518</v>
      </c>
      <c r="AS344" s="505">
        <f t="shared" si="64"/>
        <v>4739.715000000052</v>
      </c>
      <c r="AT344" s="506">
        <f t="shared" si="65"/>
        <v>57.104999999947722</v>
      </c>
    </row>
    <row r="345" spans="1:46">
      <c r="A345" s="341">
        <v>2112</v>
      </c>
      <c r="B345" s="345">
        <v>173858</v>
      </c>
      <c r="C345" s="341" t="s">
        <v>574</v>
      </c>
      <c r="D345" s="340" t="s">
        <v>1124</v>
      </c>
      <c r="E345" s="341">
        <v>9</v>
      </c>
      <c r="F345" s="340"/>
      <c r="G345" s="340"/>
      <c r="H345" s="340">
        <v>0</v>
      </c>
      <c r="I345" s="340" t="s">
        <v>927</v>
      </c>
      <c r="J345" s="340"/>
      <c r="K345" s="340"/>
      <c r="L345" s="344">
        <v>42626</v>
      </c>
      <c r="M345" s="344">
        <v>42626</v>
      </c>
      <c r="N345" s="340" t="s">
        <v>1343</v>
      </c>
      <c r="O345" s="341">
        <v>700</v>
      </c>
      <c r="P345" s="341">
        <v>14050</v>
      </c>
      <c r="Q345" s="342">
        <v>397.56</v>
      </c>
      <c r="R345" s="341">
        <v>14056</v>
      </c>
      <c r="S345" s="342">
        <v>392.85</v>
      </c>
      <c r="T345" s="342">
        <f t="shared" si="66"/>
        <v>4.7099999999999795</v>
      </c>
      <c r="U345" s="343">
        <v>33.130000000000003</v>
      </c>
      <c r="V345" s="341">
        <v>54260</v>
      </c>
      <c r="W345" s="342">
        <v>4.7300000000000004</v>
      </c>
      <c r="X345" s="340" t="s">
        <v>574</v>
      </c>
      <c r="Y345" s="340"/>
      <c r="Z345" s="340">
        <v>20489</v>
      </c>
      <c r="AA345" s="340"/>
      <c r="AB345" s="340" t="s">
        <v>571</v>
      </c>
      <c r="AC345" s="340" t="s">
        <v>570</v>
      </c>
      <c r="AD345" s="341" t="s">
        <v>569</v>
      </c>
      <c r="AE345" s="346">
        <v>42735</v>
      </c>
      <c r="AF345" s="341" t="s">
        <v>568</v>
      </c>
      <c r="AG345" s="340">
        <v>0</v>
      </c>
      <c r="AH345" s="340">
        <v>18.920000000000002</v>
      </c>
      <c r="AI345" s="377"/>
      <c r="AK345" s="493">
        <f t="shared" si="56"/>
        <v>9</v>
      </c>
      <c r="AL345" s="493">
        <f t="shared" si="57"/>
        <v>2016</v>
      </c>
      <c r="AM345" s="493">
        <f t="shared" si="58"/>
        <v>2023</v>
      </c>
      <c r="AN345" s="494">
        <f t="shared" si="59"/>
        <v>2023.75</v>
      </c>
      <c r="AO345" s="505">
        <f t="shared" si="60"/>
        <v>4.7328571428571431</v>
      </c>
      <c r="AP345" s="505">
        <f t="shared" si="61"/>
        <v>56.794285714285721</v>
      </c>
      <c r="AQ345" s="505">
        <f t="shared" si="62"/>
        <v>56.794285714285721</v>
      </c>
      <c r="AR345" s="505">
        <f t="shared" si="63"/>
        <v>336.03285714286142</v>
      </c>
      <c r="AS345" s="505">
        <f t="shared" si="64"/>
        <v>392.82714285714712</v>
      </c>
      <c r="AT345" s="506">
        <f t="shared" si="65"/>
        <v>4.732857142852879</v>
      </c>
    </row>
    <row r="346" spans="1:46">
      <c r="A346" s="341">
        <v>2112</v>
      </c>
      <c r="B346" s="345">
        <v>173857</v>
      </c>
      <c r="C346" s="341" t="s">
        <v>574</v>
      </c>
      <c r="D346" s="340" t="s">
        <v>1348</v>
      </c>
      <c r="E346" s="341"/>
      <c r="F346" s="340"/>
      <c r="G346" s="340"/>
      <c r="H346" s="340">
        <v>0</v>
      </c>
      <c r="I346" s="340" t="s">
        <v>831</v>
      </c>
      <c r="J346" s="340"/>
      <c r="K346" s="340"/>
      <c r="L346" s="344">
        <v>42600</v>
      </c>
      <c r="M346" s="344">
        <v>42600</v>
      </c>
      <c r="N346" s="340" t="s">
        <v>1347</v>
      </c>
      <c r="O346" s="341">
        <v>300</v>
      </c>
      <c r="P346" s="341">
        <v>14110</v>
      </c>
      <c r="Q346" s="342">
        <v>705.51</v>
      </c>
      <c r="R346" s="341">
        <v>14116</v>
      </c>
      <c r="S346" s="342">
        <v>705.51</v>
      </c>
      <c r="T346" s="342">
        <f t="shared" si="66"/>
        <v>0</v>
      </c>
      <c r="U346" s="343">
        <v>0</v>
      </c>
      <c r="V346" s="341">
        <v>70260</v>
      </c>
      <c r="W346" s="342">
        <v>0</v>
      </c>
      <c r="X346" s="340" t="s">
        <v>574</v>
      </c>
      <c r="Y346" s="340"/>
      <c r="Z346" s="340" t="s">
        <v>1346</v>
      </c>
      <c r="AA346" s="340"/>
      <c r="AB346" s="340" t="s">
        <v>571</v>
      </c>
      <c r="AC346" s="340" t="s">
        <v>570</v>
      </c>
      <c r="AD346" s="341" t="s">
        <v>569</v>
      </c>
      <c r="AE346" s="346">
        <v>42735</v>
      </c>
      <c r="AF346" s="341" t="s">
        <v>568</v>
      </c>
      <c r="AG346" s="340">
        <v>0</v>
      </c>
      <c r="AH346" s="340">
        <v>78.39</v>
      </c>
      <c r="AI346" s="377"/>
      <c r="AK346" s="493">
        <f t="shared" si="56"/>
        <v>8</v>
      </c>
      <c r="AL346" s="493">
        <f t="shared" si="57"/>
        <v>2016</v>
      </c>
      <c r="AM346" s="493">
        <f t="shared" si="58"/>
        <v>2019</v>
      </c>
      <c r="AN346" s="494">
        <f t="shared" si="59"/>
        <v>2019.6666666666667</v>
      </c>
      <c r="AO346" s="505">
        <f t="shared" si="60"/>
        <v>19.5975</v>
      </c>
      <c r="AP346" s="505">
        <f t="shared" si="61"/>
        <v>235.17000000000002</v>
      </c>
      <c r="AQ346" s="505">
        <f t="shared" si="62"/>
        <v>0</v>
      </c>
      <c r="AR346" s="505">
        <f t="shared" si="63"/>
        <v>705.51</v>
      </c>
      <c r="AS346" s="505">
        <f t="shared" si="64"/>
        <v>705.51</v>
      </c>
      <c r="AT346" s="506">
        <f t="shared" si="65"/>
        <v>0</v>
      </c>
    </row>
    <row r="347" spans="1:46">
      <c r="A347" s="341">
        <v>2112</v>
      </c>
      <c r="B347" s="345">
        <v>173856</v>
      </c>
      <c r="C347" s="341" t="s">
        <v>574</v>
      </c>
      <c r="D347" s="340" t="s">
        <v>631</v>
      </c>
      <c r="E347" s="341">
        <v>468</v>
      </c>
      <c r="F347" s="340"/>
      <c r="G347" s="340"/>
      <c r="H347" s="340">
        <v>0</v>
      </c>
      <c r="I347" s="340" t="s">
        <v>927</v>
      </c>
      <c r="J347" s="340"/>
      <c r="K347" s="340"/>
      <c r="L347" s="344">
        <v>42587</v>
      </c>
      <c r="M347" s="344">
        <v>42587</v>
      </c>
      <c r="N347" s="340" t="s">
        <v>1345</v>
      </c>
      <c r="O347" s="341">
        <v>700</v>
      </c>
      <c r="P347" s="341">
        <v>14050</v>
      </c>
      <c r="Q347" s="342">
        <v>21123.79</v>
      </c>
      <c r="R347" s="341">
        <v>14056</v>
      </c>
      <c r="S347" s="342">
        <v>21123.79</v>
      </c>
      <c r="T347" s="342">
        <f t="shared" si="66"/>
        <v>0</v>
      </c>
      <c r="U347" s="343">
        <v>1760.28</v>
      </c>
      <c r="V347" s="341">
        <v>54260</v>
      </c>
      <c r="W347" s="342">
        <v>251.42</v>
      </c>
      <c r="X347" s="340" t="s">
        <v>574</v>
      </c>
      <c r="Y347" s="340"/>
      <c r="Z347" s="340" t="s">
        <v>1344</v>
      </c>
      <c r="AA347" s="340"/>
      <c r="AB347" s="340" t="s">
        <v>571</v>
      </c>
      <c r="AC347" s="340" t="s">
        <v>570</v>
      </c>
      <c r="AD347" s="341" t="s">
        <v>569</v>
      </c>
      <c r="AE347" s="346">
        <v>42735</v>
      </c>
      <c r="AF347" s="341" t="s">
        <v>568</v>
      </c>
      <c r="AG347" s="340">
        <v>0</v>
      </c>
      <c r="AH347" s="340">
        <v>1257.3699999999999</v>
      </c>
      <c r="AI347" s="377"/>
      <c r="AK347" s="493">
        <f t="shared" si="56"/>
        <v>8</v>
      </c>
      <c r="AL347" s="493">
        <f t="shared" si="57"/>
        <v>2016</v>
      </c>
      <c r="AM347" s="493">
        <f t="shared" si="58"/>
        <v>2023</v>
      </c>
      <c r="AN347" s="494">
        <f t="shared" si="59"/>
        <v>2023.6666666666667</v>
      </c>
      <c r="AO347" s="505">
        <f t="shared" si="60"/>
        <v>251.47369047619051</v>
      </c>
      <c r="AP347" s="505">
        <f t="shared" si="61"/>
        <v>3017.684285714286</v>
      </c>
      <c r="AQ347" s="505">
        <f t="shared" si="62"/>
        <v>3017.684285714286</v>
      </c>
      <c r="AR347" s="505">
        <f t="shared" si="63"/>
        <v>18106.105714285713</v>
      </c>
      <c r="AS347" s="505">
        <f t="shared" si="64"/>
        <v>21123.79</v>
      </c>
      <c r="AT347" s="506">
        <f t="shared" si="65"/>
        <v>0</v>
      </c>
    </row>
    <row r="348" spans="1:46">
      <c r="A348" s="341">
        <v>2112</v>
      </c>
      <c r="B348" s="345">
        <v>173855</v>
      </c>
      <c r="C348" s="341" t="s">
        <v>574</v>
      </c>
      <c r="D348" s="340" t="s">
        <v>1124</v>
      </c>
      <c r="E348" s="341">
        <v>495</v>
      </c>
      <c r="F348" s="340"/>
      <c r="G348" s="340"/>
      <c r="H348" s="340">
        <v>0</v>
      </c>
      <c r="I348" s="340" t="s">
        <v>927</v>
      </c>
      <c r="J348" s="340"/>
      <c r="K348" s="340"/>
      <c r="L348" s="344">
        <v>42601</v>
      </c>
      <c r="M348" s="344">
        <v>42601</v>
      </c>
      <c r="N348" s="340" t="s">
        <v>1343</v>
      </c>
      <c r="O348" s="341">
        <v>700</v>
      </c>
      <c r="P348" s="341">
        <v>14050</v>
      </c>
      <c r="Q348" s="342">
        <v>25361.55</v>
      </c>
      <c r="R348" s="341">
        <v>14056</v>
      </c>
      <c r="S348" s="342">
        <v>25059.63</v>
      </c>
      <c r="T348" s="342">
        <f t="shared" si="66"/>
        <v>301.91999999999825</v>
      </c>
      <c r="U348" s="343">
        <v>2113.46</v>
      </c>
      <c r="V348" s="341">
        <v>54260</v>
      </c>
      <c r="W348" s="342">
        <v>301.93</v>
      </c>
      <c r="X348" s="340" t="s">
        <v>574</v>
      </c>
      <c r="Y348" s="340"/>
      <c r="Z348" s="340" t="s">
        <v>1342</v>
      </c>
      <c r="AA348" s="340"/>
      <c r="AB348" s="340" t="s">
        <v>571</v>
      </c>
      <c r="AC348" s="340" t="s">
        <v>570</v>
      </c>
      <c r="AD348" s="341" t="s">
        <v>569</v>
      </c>
      <c r="AE348" s="346">
        <v>42735</v>
      </c>
      <c r="AF348" s="341" t="s">
        <v>568</v>
      </c>
      <c r="AG348" s="340">
        <v>0</v>
      </c>
      <c r="AH348" s="340">
        <v>1207.69</v>
      </c>
      <c r="AI348" s="377"/>
      <c r="AK348" s="493">
        <f t="shared" si="56"/>
        <v>8</v>
      </c>
      <c r="AL348" s="493">
        <f t="shared" si="57"/>
        <v>2016</v>
      </c>
      <c r="AM348" s="493">
        <f t="shared" si="58"/>
        <v>2023</v>
      </c>
      <c r="AN348" s="494">
        <f t="shared" si="59"/>
        <v>2023.6666666666667</v>
      </c>
      <c r="AO348" s="505">
        <f t="shared" si="60"/>
        <v>301.92321428571427</v>
      </c>
      <c r="AP348" s="505">
        <f t="shared" si="61"/>
        <v>3623.0785714285712</v>
      </c>
      <c r="AQ348" s="505">
        <f t="shared" si="62"/>
        <v>3623.0785714285712</v>
      </c>
      <c r="AR348" s="505">
        <f t="shared" si="63"/>
        <v>21738.471428571429</v>
      </c>
      <c r="AS348" s="505">
        <f t="shared" si="64"/>
        <v>25361.55</v>
      </c>
      <c r="AT348" s="506">
        <f t="shared" si="65"/>
        <v>0</v>
      </c>
    </row>
    <row r="349" spans="1:46">
      <c r="A349" s="341">
        <v>2112</v>
      </c>
      <c r="B349" s="345">
        <v>173854</v>
      </c>
      <c r="C349" s="341" t="s">
        <v>574</v>
      </c>
      <c r="D349" s="340" t="s">
        <v>1341</v>
      </c>
      <c r="E349" s="341">
        <v>4</v>
      </c>
      <c r="F349" s="340"/>
      <c r="G349" s="340"/>
      <c r="H349" s="340">
        <v>0</v>
      </c>
      <c r="I349" s="340" t="s">
        <v>714</v>
      </c>
      <c r="J349" s="340"/>
      <c r="K349" s="340" t="s">
        <v>671</v>
      </c>
      <c r="L349" s="344">
        <v>42529</v>
      </c>
      <c r="M349" s="344">
        <v>42529</v>
      </c>
      <c r="N349" s="340" t="s">
        <v>1328</v>
      </c>
      <c r="O349" s="341">
        <v>1200</v>
      </c>
      <c r="P349" s="341">
        <v>14050</v>
      </c>
      <c r="Q349" s="342">
        <v>1725.73</v>
      </c>
      <c r="R349" s="341">
        <v>14056</v>
      </c>
      <c r="S349" s="342">
        <v>1030.57</v>
      </c>
      <c r="T349" s="342">
        <f t="shared" si="66"/>
        <v>695.16000000000008</v>
      </c>
      <c r="U349" s="343">
        <v>83.89</v>
      </c>
      <c r="V349" s="341">
        <v>54260</v>
      </c>
      <c r="W349" s="342">
        <v>11.98</v>
      </c>
      <c r="X349" s="340" t="s">
        <v>574</v>
      </c>
      <c r="Y349" s="340"/>
      <c r="Z349" s="340">
        <v>7132</v>
      </c>
      <c r="AA349" s="340"/>
      <c r="AB349" s="340" t="s">
        <v>571</v>
      </c>
      <c r="AC349" s="340" t="s">
        <v>570</v>
      </c>
      <c r="AD349" s="341" t="s">
        <v>569</v>
      </c>
      <c r="AE349" s="346">
        <v>42735</v>
      </c>
      <c r="AF349" s="341" t="s">
        <v>568</v>
      </c>
      <c r="AG349" s="340">
        <v>0</v>
      </c>
      <c r="AH349" s="340">
        <v>83.88</v>
      </c>
      <c r="AI349" s="377"/>
      <c r="AK349" s="493">
        <f t="shared" si="56"/>
        <v>6</v>
      </c>
      <c r="AL349" s="493">
        <f t="shared" si="57"/>
        <v>2016</v>
      </c>
      <c r="AM349" s="493">
        <f t="shared" si="58"/>
        <v>2028</v>
      </c>
      <c r="AN349" s="494">
        <f t="shared" si="59"/>
        <v>2028.5</v>
      </c>
      <c r="AO349" s="505">
        <f t="shared" si="60"/>
        <v>11.984236111111111</v>
      </c>
      <c r="AP349" s="505">
        <f t="shared" si="61"/>
        <v>143.81083333333333</v>
      </c>
      <c r="AQ349" s="505">
        <f t="shared" si="62"/>
        <v>143.81083333333333</v>
      </c>
      <c r="AR349" s="505">
        <f t="shared" si="63"/>
        <v>886.83347222223313</v>
      </c>
      <c r="AS349" s="505">
        <f t="shared" si="64"/>
        <v>1030.6443055555665</v>
      </c>
      <c r="AT349" s="506">
        <f t="shared" si="65"/>
        <v>695.08569444443356</v>
      </c>
    </row>
    <row r="350" spans="1:46">
      <c r="A350" s="341">
        <v>2112</v>
      </c>
      <c r="B350" s="345">
        <v>173853</v>
      </c>
      <c r="C350" s="341" t="s">
        <v>574</v>
      </c>
      <c r="D350" s="340" t="s">
        <v>1340</v>
      </c>
      <c r="E350" s="341">
        <v>3</v>
      </c>
      <c r="F350" s="340"/>
      <c r="G350" s="340"/>
      <c r="H350" s="340">
        <v>0</v>
      </c>
      <c r="I350" s="340" t="s">
        <v>714</v>
      </c>
      <c r="J350" s="340"/>
      <c r="K350" s="340" t="s">
        <v>706</v>
      </c>
      <c r="L350" s="344">
        <v>42529</v>
      </c>
      <c r="M350" s="344">
        <v>42529</v>
      </c>
      <c r="N350" s="340" t="s">
        <v>1328</v>
      </c>
      <c r="O350" s="341">
        <v>1200</v>
      </c>
      <c r="P350" s="341">
        <v>14050</v>
      </c>
      <c r="Q350" s="342">
        <v>1466.65</v>
      </c>
      <c r="R350" s="341">
        <v>14056</v>
      </c>
      <c r="S350" s="342">
        <v>875.92</v>
      </c>
      <c r="T350" s="342">
        <f t="shared" si="66"/>
        <v>590.73000000000013</v>
      </c>
      <c r="U350" s="343">
        <v>71.3</v>
      </c>
      <c r="V350" s="341">
        <v>54260</v>
      </c>
      <c r="W350" s="342">
        <v>10.19</v>
      </c>
      <c r="X350" s="340" t="s">
        <v>574</v>
      </c>
      <c r="Y350" s="340"/>
      <c r="Z350" s="340">
        <v>7132</v>
      </c>
      <c r="AA350" s="340"/>
      <c r="AB350" s="340" t="s">
        <v>571</v>
      </c>
      <c r="AC350" s="340" t="s">
        <v>570</v>
      </c>
      <c r="AD350" s="341" t="s">
        <v>569</v>
      </c>
      <c r="AE350" s="346">
        <v>42735</v>
      </c>
      <c r="AF350" s="341" t="s">
        <v>568</v>
      </c>
      <c r="AG350" s="340">
        <v>0</v>
      </c>
      <c r="AH350" s="340">
        <v>71.3</v>
      </c>
      <c r="AI350" s="377"/>
      <c r="AK350" s="493">
        <f t="shared" si="56"/>
        <v>6</v>
      </c>
      <c r="AL350" s="493">
        <f t="shared" si="57"/>
        <v>2016</v>
      </c>
      <c r="AM350" s="493">
        <f t="shared" si="58"/>
        <v>2028</v>
      </c>
      <c r="AN350" s="494">
        <f t="shared" si="59"/>
        <v>2028.5</v>
      </c>
      <c r="AO350" s="505">
        <f t="shared" si="60"/>
        <v>10.185069444444446</v>
      </c>
      <c r="AP350" s="505">
        <f t="shared" si="61"/>
        <v>122.22083333333336</v>
      </c>
      <c r="AQ350" s="505">
        <f t="shared" si="62"/>
        <v>122.22083333333336</v>
      </c>
      <c r="AR350" s="505">
        <f t="shared" si="63"/>
        <v>753.6951388888981</v>
      </c>
      <c r="AS350" s="505">
        <f t="shared" si="64"/>
        <v>875.9159722222314</v>
      </c>
      <c r="AT350" s="506">
        <f t="shared" si="65"/>
        <v>590.73402777776869</v>
      </c>
    </row>
    <row r="351" spans="1:46">
      <c r="A351" s="341">
        <v>2112</v>
      </c>
      <c r="B351" s="345">
        <v>173852</v>
      </c>
      <c r="C351" s="341" t="s">
        <v>574</v>
      </c>
      <c r="D351" s="340" t="s">
        <v>1339</v>
      </c>
      <c r="E351" s="341">
        <v>7</v>
      </c>
      <c r="F351" s="340"/>
      <c r="G351" s="340"/>
      <c r="H351" s="340">
        <v>0</v>
      </c>
      <c r="I351" s="340" t="s">
        <v>714</v>
      </c>
      <c r="J351" s="340"/>
      <c r="K351" s="340" t="s">
        <v>578</v>
      </c>
      <c r="L351" s="344">
        <v>42529</v>
      </c>
      <c r="M351" s="344">
        <v>42529</v>
      </c>
      <c r="N351" s="340" t="s">
        <v>1328</v>
      </c>
      <c r="O351" s="341">
        <v>1200</v>
      </c>
      <c r="P351" s="341">
        <v>14050</v>
      </c>
      <c r="Q351" s="342">
        <v>3346.31</v>
      </c>
      <c r="R351" s="341">
        <v>14056</v>
      </c>
      <c r="S351" s="342">
        <v>1998.5</v>
      </c>
      <c r="T351" s="342">
        <f t="shared" si="66"/>
        <v>1347.81</v>
      </c>
      <c r="U351" s="343">
        <v>162.66999999999999</v>
      </c>
      <c r="V351" s="341">
        <v>54260</v>
      </c>
      <c r="W351" s="342">
        <v>23.24</v>
      </c>
      <c r="X351" s="340" t="s">
        <v>574</v>
      </c>
      <c r="Y351" s="340"/>
      <c r="Z351" s="340">
        <v>7132</v>
      </c>
      <c r="AA351" s="340"/>
      <c r="AB351" s="340" t="s">
        <v>571</v>
      </c>
      <c r="AC351" s="340" t="s">
        <v>570</v>
      </c>
      <c r="AD351" s="341" t="s">
        <v>569</v>
      </c>
      <c r="AE351" s="346">
        <v>42735</v>
      </c>
      <c r="AF351" s="341" t="s">
        <v>568</v>
      </c>
      <c r="AG351" s="340">
        <v>0</v>
      </c>
      <c r="AH351" s="340">
        <v>162.66999999999999</v>
      </c>
      <c r="AI351" s="377"/>
      <c r="AK351" s="493">
        <f t="shared" si="56"/>
        <v>6</v>
      </c>
      <c r="AL351" s="493">
        <f t="shared" si="57"/>
        <v>2016</v>
      </c>
      <c r="AM351" s="493">
        <f t="shared" si="58"/>
        <v>2028</v>
      </c>
      <c r="AN351" s="494">
        <f t="shared" si="59"/>
        <v>2028.5</v>
      </c>
      <c r="AO351" s="505">
        <f t="shared" si="60"/>
        <v>23.238263888888891</v>
      </c>
      <c r="AP351" s="505">
        <f t="shared" si="61"/>
        <v>278.85916666666668</v>
      </c>
      <c r="AQ351" s="505">
        <f t="shared" si="62"/>
        <v>278.85916666666668</v>
      </c>
      <c r="AR351" s="505">
        <f t="shared" si="63"/>
        <v>1719.6315277777987</v>
      </c>
      <c r="AS351" s="505">
        <f t="shared" si="64"/>
        <v>1998.4906944444654</v>
      </c>
      <c r="AT351" s="506">
        <f t="shared" si="65"/>
        <v>1347.8193055555346</v>
      </c>
    </row>
    <row r="352" spans="1:46">
      <c r="A352" s="341">
        <v>2112</v>
      </c>
      <c r="B352" s="345">
        <v>173851</v>
      </c>
      <c r="C352" s="341" t="s">
        <v>574</v>
      </c>
      <c r="D352" s="340" t="s">
        <v>1338</v>
      </c>
      <c r="E352" s="341">
        <v>6</v>
      </c>
      <c r="F352" s="340"/>
      <c r="G352" s="340"/>
      <c r="H352" s="340">
        <v>0</v>
      </c>
      <c r="I352" s="340" t="s">
        <v>1335</v>
      </c>
      <c r="J352" s="340"/>
      <c r="K352" s="340" t="s">
        <v>636</v>
      </c>
      <c r="L352" s="344">
        <v>42566</v>
      </c>
      <c r="M352" s="344">
        <v>42566</v>
      </c>
      <c r="N352" s="340" t="s">
        <v>1334</v>
      </c>
      <c r="O352" s="341">
        <v>1200</v>
      </c>
      <c r="P352" s="341">
        <v>14050</v>
      </c>
      <c r="Q352" s="342">
        <v>4731.67</v>
      </c>
      <c r="R352" s="341">
        <v>14056</v>
      </c>
      <c r="S352" s="342">
        <v>2793.02</v>
      </c>
      <c r="T352" s="342">
        <f t="shared" si="66"/>
        <v>1938.65</v>
      </c>
      <c r="U352" s="343">
        <v>230.01</v>
      </c>
      <c r="V352" s="341">
        <v>54260</v>
      </c>
      <c r="W352" s="342">
        <v>32.85</v>
      </c>
      <c r="X352" s="340" t="s">
        <v>574</v>
      </c>
      <c r="Y352" s="340"/>
      <c r="Z352" s="340" t="s">
        <v>1337</v>
      </c>
      <c r="AA352" s="340"/>
      <c r="AB352" s="340" t="s">
        <v>571</v>
      </c>
      <c r="AC352" s="340" t="s">
        <v>570</v>
      </c>
      <c r="AD352" s="341" t="s">
        <v>569</v>
      </c>
      <c r="AE352" s="346">
        <v>42735</v>
      </c>
      <c r="AF352" s="341" t="s">
        <v>568</v>
      </c>
      <c r="AG352" s="340">
        <v>0</v>
      </c>
      <c r="AH352" s="340">
        <v>197.15</v>
      </c>
      <c r="AI352" s="377"/>
      <c r="AK352" s="493">
        <f t="shared" si="56"/>
        <v>7</v>
      </c>
      <c r="AL352" s="493">
        <f t="shared" si="57"/>
        <v>2016</v>
      </c>
      <c r="AM352" s="493">
        <f t="shared" si="58"/>
        <v>2028</v>
      </c>
      <c r="AN352" s="494">
        <f t="shared" si="59"/>
        <v>2028.5833333333333</v>
      </c>
      <c r="AO352" s="505">
        <f t="shared" si="60"/>
        <v>32.858819444444443</v>
      </c>
      <c r="AP352" s="505">
        <f t="shared" si="61"/>
        <v>394.30583333333334</v>
      </c>
      <c r="AQ352" s="505">
        <f t="shared" si="62"/>
        <v>394.30583333333334</v>
      </c>
      <c r="AR352" s="505">
        <f t="shared" si="63"/>
        <v>2398.6938194445042</v>
      </c>
      <c r="AS352" s="505">
        <f t="shared" si="64"/>
        <v>2792.9996527778376</v>
      </c>
      <c r="AT352" s="506">
        <f t="shared" si="65"/>
        <v>1938.6703472221625</v>
      </c>
    </row>
    <row r="353" spans="1:46">
      <c r="A353" s="341">
        <v>2112</v>
      </c>
      <c r="B353" s="345">
        <v>173850</v>
      </c>
      <c r="C353" s="341" t="s">
        <v>574</v>
      </c>
      <c r="D353" s="340" t="s">
        <v>1336</v>
      </c>
      <c r="E353" s="341">
        <v>2</v>
      </c>
      <c r="F353" s="340"/>
      <c r="G353" s="340"/>
      <c r="H353" s="340">
        <v>0</v>
      </c>
      <c r="I353" s="340" t="s">
        <v>1335</v>
      </c>
      <c r="J353" s="340"/>
      <c r="K353" s="340" t="s">
        <v>673</v>
      </c>
      <c r="L353" s="344">
        <v>42566</v>
      </c>
      <c r="M353" s="344">
        <v>42566</v>
      </c>
      <c r="N353" s="340" t="s">
        <v>1334</v>
      </c>
      <c r="O353" s="341">
        <v>1200</v>
      </c>
      <c r="P353" s="341">
        <v>14050</v>
      </c>
      <c r="Q353" s="342">
        <v>3675.85</v>
      </c>
      <c r="R353" s="341">
        <v>14056</v>
      </c>
      <c r="S353" s="342">
        <v>2169.77</v>
      </c>
      <c r="T353" s="342">
        <f t="shared" si="66"/>
        <v>1506.08</v>
      </c>
      <c r="U353" s="343">
        <v>178.69</v>
      </c>
      <c r="V353" s="341">
        <v>54260</v>
      </c>
      <c r="W353" s="342">
        <v>25.53</v>
      </c>
      <c r="X353" s="340" t="s">
        <v>574</v>
      </c>
      <c r="Y353" s="340"/>
      <c r="Z353" s="340" t="s">
        <v>1333</v>
      </c>
      <c r="AA353" s="340"/>
      <c r="AB353" s="340" t="s">
        <v>571</v>
      </c>
      <c r="AC353" s="340" t="s">
        <v>570</v>
      </c>
      <c r="AD353" s="341" t="s">
        <v>569</v>
      </c>
      <c r="AE353" s="346">
        <v>42735</v>
      </c>
      <c r="AF353" s="341" t="s">
        <v>568</v>
      </c>
      <c r="AG353" s="340">
        <v>0</v>
      </c>
      <c r="AH353" s="340">
        <v>153.16</v>
      </c>
      <c r="AI353" s="377"/>
      <c r="AK353" s="493">
        <f t="shared" si="56"/>
        <v>7</v>
      </c>
      <c r="AL353" s="493">
        <f t="shared" si="57"/>
        <v>2016</v>
      </c>
      <c r="AM353" s="493">
        <f t="shared" si="58"/>
        <v>2028</v>
      </c>
      <c r="AN353" s="494">
        <f t="shared" si="59"/>
        <v>2028.5833333333333</v>
      </c>
      <c r="AO353" s="505">
        <f t="shared" si="60"/>
        <v>25.526736111111109</v>
      </c>
      <c r="AP353" s="505">
        <f t="shared" si="61"/>
        <v>306.32083333333333</v>
      </c>
      <c r="AQ353" s="505">
        <f t="shared" si="62"/>
        <v>306.32083333333333</v>
      </c>
      <c r="AR353" s="505">
        <f t="shared" si="63"/>
        <v>1863.4517361111575</v>
      </c>
      <c r="AS353" s="505">
        <f t="shared" si="64"/>
        <v>2169.7725694444907</v>
      </c>
      <c r="AT353" s="506">
        <f t="shared" si="65"/>
        <v>1506.0774305555092</v>
      </c>
    </row>
    <row r="354" spans="1:46">
      <c r="A354" s="341">
        <v>2112</v>
      </c>
      <c r="B354" s="345">
        <v>173849</v>
      </c>
      <c r="C354" s="341" t="s">
        <v>574</v>
      </c>
      <c r="D354" s="340" t="s">
        <v>1332</v>
      </c>
      <c r="E354" s="341">
        <v>3</v>
      </c>
      <c r="F354" s="340"/>
      <c r="G354" s="340"/>
      <c r="H354" s="340">
        <v>0</v>
      </c>
      <c r="I354" s="340" t="s">
        <v>714</v>
      </c>
      <c r="J354" s="340"/>
      <c r="K354" s="340" t="s">
        <v>706</v>
      </c>
      <c r="L354" s="344">
        <v>42528</v>
      </c>
      <c r="M354" s="344">
        <v>42528</v>
      </c>
      <c r="N354" s="340" t="s">
        <v>1328</v>
      </c>
      <c r="O354" s="341">
        <v>1200</v>
      </c>
      <c r="P354" s="341">
        <v>14050</v>
      </c>
      <c r="Q354" s="342">
        <v>1466.65</v>
      </c>
      <c r="R354" s="341">
        <v>14056</v>
      </c>
      <c r="S354" s="342">
        <v>875.92</v>
      </c>
      <c r="T354" s="342">
        <f t="shared" si="66"/>
        <v>590.73000000000013</v>
      </c>
      <c r="U354" s="343">
        <v>71.3</v>
      </c>
      <c r="V354" s="341">
        <v>54260</v>
      </c>
      <c r="W354" s="342">
        <v>10.19</v>
      </c>
      <c r="X354" s="340" t="s">
        <v>574</v>
      </c>
      <c r="Y354" s="340"/>
      <c r="Z354" s="340">
        <v>7136</v>
      </c>
      <c r="AA354" s="340"/>
      <c r="AB354" s="340" t="s">
        <v>571</v>
      </c>
      <c r="AC354" s="340" t="s">
        <v>570</v>
      </c>
      <c r="AD354" s="341" t="s">
        <v>569</v>
      </c>
      <c r="AE354" s="346">
        <v>42735</v>
      </c>
      <c r="AF354" s="341" t="s">
        <v>568</v>
      </c>
      <c r="AG354" s="340">
        <v>0</v>
      </c>
      <c r="AH354" s="340">
        <v>71.3</v>
      </c>
      <c r="AI354" s="377"/>
      <c r="AK354" s="493">
        <f t="shared" si="56"/>
        <v>6</v>
      </c>
      <c r="AL354" s="493">
        <f t="shared" si="57"/>
        <v>2016</v>
      </c>
      <c r="AM354" s="493">
        <f t="shared" si="58"/>
        <v>2028</v>
      </c>
      <c r="AN354" s="494">
        <f t="shared" si="59"/>
        <v>2028.5</v>
      </c>
      <c r="AO354" s="505">
        <f t="shared" si="60"/>
        <v>10.185069444444446</v>
      </c>
      <c r="AP354" s="505">
        <f t="shared" si="61"/>
        <v>122.22083333333336</v>
      </c>
      <c r="AQ354" s="505">
        <f t="shared" si="62"/>
        <v>122.22083333333336</v>
      </c>
      <c r="AR354" s="505">
        <f t="shared" si="63"/>
        <v>753.6951388888981</v>
      </c>
      <c r="AS354" s="505">
        <f t="shared" si="64"/>
        <v>875.9159722222314</v>
      </c>
      <c r="AT354" s="506">
        <f t="shared" si="65"/>
        <v>590.73402777776869</v>
      </c>
    </row>
    <row r="355" spans="1:46">
      <c r="A355" s="341">
        <v>2112</v>
      </c>
      <c r="B355" s="345">
        <v>173848</v>
      </c>
      <c r="C355" s="341" t="s">
        <v>574</v>
      </c>
      <c r="D355" s="340" t="s">
        <v>336</v>
      </c>
      <c r="E355" s="341">
        <v>3</v>
      </c>
      <c r="F355" s="340"/>
      <c r="G355" s="340"/>
      <c r="H355" s="340">
        <v>0</v>
      </c>
      <c r="I355" s="340" t="s">
        <v>714</v>
      </c>
      <c r="J355" s="340"/>
      <c r="K355" s="340" t="s">
        <v>578</v>
      </c>
      <c r="L355" s="344">
        <v>42528</v>
      </c>
      <c r="M355" s="344">
        <v>42528</v>
      </c>
      <c r="N355" s="340" t="s">
        <v>1328</v>
      </c>
      <c r="O355" s="341">
        <v>1200</v>
      </c>
      <c r="P355" s="341">
        <v>14050</v>
      </c>
      <c r="Q355" s="342">
        <v>1434.13</v>
      </c>
      <c r="R355" s="341">
        <v>14056</v>
      </c>
      <c r="S355" s="342">
        <v>856.49</v>
      </c>
      <c r="T355" s="342">
        <f t="shared" si="66"/>
        <v>577.6400000000001</v>
      </c>
      <c r="U355" s="343">
        <v>69.709999999999994</v>
      </c>
      <c r="V355" s="341">
        <v>54260</v>
      </c>
      <c r="W355" s="342">
        <v>9.9499999999999993</v>
      </c>
      <c r="X355" s="340" t="s">
        <v>574</v>
      </c>
      <c r="Y355" s="340"/>
      <c r="Z355" s="340">
        <v>7136</v>
      </c>
      <c r="AA355" s="340"/>
      <c r="AB355" s="340" t="s">
        <v>571</v>
      </c>
      <c r="AC355" s="340" t="s">
        <v>570</v>
      </c>
      <c r="AD355" s="341" t="s">
        <v>569</v>
      </c>
      <c r="AE355" s="346">
        <v>42735</v>
      </c>
      <c r="AF355" s="341" t="s">
        <v>568</v>
      </c>
      <c r="AG355" s="340">
        <v>0</v>
      </c>
      <c r="AH355" s="340">
        <v>69.72</v>
      </c>
      <c r="AI355" s="377"/>
      <c r="AK355" s="493">
        <f t="shared" si="56"/>
        <v>6</v>
      </c>
      <c r="AL355" s="493">
        <f t="shared" si="57"/>
        <v>2016</v>
      </c>
      <c r="AM355" s="493">
        <f t="shared" si="58"/>
        <v>2028</v>
      </c>
      <c r="AN355" s="494">
        <f t="shared" si="59"/>
        <v>2028.5</v>
      </c>
      <c r="AO355" s="505">
        <f t="shared" si="60"/>
        <v>9.9592361111111121</v>
      </c>
      <c r="AP355" s="505">
        <f t="shared" si="61"/>
        <v>119.51083333333335</v>
      </c>
      <c r="AQ355" s="505">
        <f t="shared" si="62"/>
        <v>119.51083333333335</v>
      </c>
      <c r="AR355" s="505">
        <f t="shared" si="63"/>
        <v>736.98347222223128</v>
      </c>
      <c r="AS355" s="505">
        <f t="shared" si="64"/>
        <v>856.49430555556467</v>
      </c>
      <c r="AT355" s="506">
        <f t="shared" si="65"/>
        <v>577.63569444443544</v>
      </c>
    </row>
    <row r="356" spans="1:46">
      <c r="A356" s="341">
        <v>2112</v>
      </c>
      <c r="B356" s="345">
        <v>173847</v>
      </c>
      <c r="C356" s="341" t="s">
        <v>574</v>
      </c>
      <c r="D356" s="340" t="s">
        <v>1331</v>
      </c>
      <c r="E356" s="341">
        <v>6</v>
      </c>
      <c r="F356" s="340"/>
      <c r="G356" s="340"/>
      <c r="H356" s="340">
        <v>0</v>
      </c>
      <c r="I356" s="340" t="s">
        <v>714</v>
      </c>
      <c r="J356" s="340"/>
      <c r="K356" s="340" t="s">
        <v>671</v>
      </c>
      <c r="L356" s="344">
        <v>42516</v>
      </c>
      <c r="M356" s="344">
        <v>42516</v>
      </c>
      <c r="N356" s="340" t="s">
        <v>1328</v>
      </c>
      <c r="O356" s="341">
        <v>1200</v>
      </c>
      <c r="P356" s="341">
        <v>14050</v>
      </c>
      <c r="Q356" s="342">
        <v>2588.59</v>
      </c>
      <c r="R356" s="341">
        <v>14056</v>
      </c>
      <c r="S356" s="342">
        <v>1546</v>
      </c>
      <c r="T356" s="342">
        <f t="shared" si="66"/>
        <v>1042.5900000000001</v>
      </c>
      <c r="U356" s="343">
        <v>125.84</v>
      </c>
      <c r="V356" s="341">
        <v>54260</v>
      </c>
      <c r="W356" s="342">
        <v>17.98</v>
      </c>
      <c r="X356" s="340" t="s">
        <v>574</v>
      </c>
      <c r="Y356" s="340"/>
      <c r="Z356" s="340">
        <v>7121</v>
      </c>
      <c r="AA356" s="340"/>
      <c r="AB356" s="340" t="s">
        <v>571</v>
      </c>
      <c r="AC356" s="340" t="s">
        <v>570</v>
      </c>
      <c r="AD356" s="341" t="s">
        <v>569</v>
      </c>
      <c r="AE356" s="346">
        <v>42735</v>
      </c>
      <c r="AF356" s="341" t="s">
        <v>568</v>
      </c>
      <c r="AG356" s="340">
        <v>0</v>
      </c>
      <c r="AH356" s="340">
        <v>125.84</v>
      </c>
      <c r="AI356" s="377"/>
      <c r="AK356" s="493">
        <f t="shared" si="56"/>
        <v>5</v>
      </c>
      <c r="AL356" s="493">
        <f t="shared" si="57"/>
        <v>2016</v>
      </c>
      <c r="AM356" s="493">
        <f t="shared" si="58"/>
        <v>2028</v>
      </c>
      <c r="AN356" s="494">
        <f t="shared" si="59"/>
        <v>2028.4166666666667</v>
      </c>
      <c r="AO356" s="505">
        <f t="shared" si="60"/>
        <v>17.976319444444446</v>
      </c>
      <c r="AP356" s="505">
        <f t="shared" si="61"/>
        <v>215.71583333333336</v>
      </c>
      <c r="AQ356" s="505">
        <f t="shared" si="62"/>
        <v>215.71583333333336</v>
      </c>
      <c r="AR356" s="505">
        <f t="shared" si="63"/>
        <v>1348.2239583333335</v>
      </c>
      <c r="AS356" s="505">
        <f t="shared" si="64"/>
        <v>1563.9397916666669</v>
      </c>
      <c r="AT356" s="506">
        <f t="shared" si="65"/>
        <v>1024.6502083333332</v>
      </c>
    </row>
    <row r="357" spans="1:46">
      <c r="A357" s="341">
        <v>2112</v>
      </c>
      <c r="B357" s="345">
        <v>173846</v>
      </c>
      <c r="C357" s="341" t="s">
        <v>574</v>
      </c>
      <c r="D357" s="340" t="s">
        <v>1330</v>
      </c>
      <c r="E357" s="341">
        <v>10</v>
      </c>
      <c r="F357" s="340"/>
      <c r="G357" s="340"/>
      <c r="H357" s="340">
        <v>0</v>
      </c>
      <c r="I357" s="340" t="s">
        <v>714</v>
      </c>
      <c r="J357" s="340"/>
      <c r="K357" s="340" t="s">
        <v>671</v>
      </c>
      <c r="L357" s="344">
        <v>42516</v>
      </c>
      <c r="M357" s="344">
        <v>42516</v>
      </c>
      <c r="N357" s="340" t="s">
        <v>1328</v>
      </c>
      <c r="O357" s="341">
        <v>1200</v>
      </c>
      <c r="P357" s="341">
        <v>14050</v>
      </c>
      <c r="Q357" s="342">
        <v>5008.08</v>
      </c>
      <c r="R357" s="341">
        <v>14056</v>
      </c>
      <c r="S357" s="342">
        <v>2990.94</v>
      </c>
      <c r="T357" s="342">
        <f t="shared" si="66"/>
        <v>2017.1399999999999</v>
      </c>
      <c r="U357" s="343">
        <v>243.45</v>
      </c>
      <c r="V357" s="341">
        <v>54260</v>
      </c>
      <c r="W357" s="342">
        <v>34.78</v>
      </c>
      <c r="X357" s="340" t="s">
        <v>574</v>
      </c>
      <c r="Y357" s="340"/>
      <c r="Z357" s="340">
        <v>7121</v>
      </c>
      <c r="AA357" s="340"/>
      <c r="AB357" s="340" t="s">
        <v>571</v>
      </c>
      <c r="AC357" s="340" t="s">
        <v>570</v>
      </c>
      <c r="AD357" s="341" t="s">
        <v>569</v>
      </c>
      <c r="AE357" s="346">
        <v>42735</v>
      </c>
      <c r="AF357" s="341" t="s">
        <v>568</v>
      </c>
      <c r="AG357" s="340">
        <v>0</v>
      </c>
      <c r="AH357" s="340">
        <v>243.45</v>
      </c>
      <c r="AI357" s="377"/>
      <c r="AK357" s="493">
        <f t="shared" si="56"/>
        <v>5</v>
      </c>
      <c r="AL357" s="493">
        <f t="shared" si="57"/>
        <v>2016</v>
      </c>
      <c r="AM357" s="493">
        <f t="shared" si="58"/>
        <v>2028</v>
      </c>
      <c r="AN357" s="494">
        <f t="shared" si="59"/>
        <v>2028.4166666666667</v>
      </c>
      <c r="AO357" s="505">
        <f t="shared" si="60"/>
        <v>34.778333333333329</v>
      </c>
      <c r="AP357" s="505">
        <f t="shared" si="61"/>
        <v>417.33999999999992</v>
      </c>
      <c r="AQ357" s="505">
        <f t="shared" si="62"/>
        <v>417.33999999999992</v>
      </c>
      <c r="AR357" s="505">
        <f t="shared" si="63"/>
        <v>2608.3750000000005</v>
      </c>
      <c r="AS357" s="505">
        <f t="shared" si="64"/>
        <v>3025.7150000000001</v>
      </c>
      <c r="AT357" s="506">
        <f t="shared" si="65"/>
        <v>1982.3649999999998</v>
      </c>
    </row>
    <row r="358" spans="1:46">
      <c r="A358" s="341">
        <v>2112</v>
      </c>
      <c r="B358" s="345">
        <v>173845</v>
      </c>
      <c r="C358" s="341" t="s">
        <v>574</v>
      </c>
      <c r="D358" s="340" t="s">
        <v>1329</v>
      </c>
      <c r="E358" s="341">
        <v>4</v>
      </c>
      <c r="F358" s="340"/>
      <c r="G358" s="340"/>
      <c r="H358" s="340">
        <v>0</v>
      </c>
      <c r="I358" s="340" t="s">
        <v>714</v>
      </c>
      <c r="J358" s="340"/>
      <c r="K358" s="340" t="s">
        <v>706</v>
      </c>
      <c r="L358" s="344">
        <v>42516</v>
      </c>
      <c r="M358" s="344">
        <v>42516</v>
      </c>
      <c r="N358" s="340" t="s">
        <v>1328</v>
      </c>
      <c r="O358" s="341">
        <v>1200</v>
      </c>
      <c r="P358" s="341">
        <v>14050</v>
      </c>
      <c r="Q358" s="342">
        <v>1955.54</v>
      </c>
      <c r="R358" s="341">
        <v>14056</v>
      </c>
      <c r="S358" s="342">
        <v>1167.8800000000001</v>
      </c>
      <c r="T358" s="342">
        <f t="shared" si="66"/>
        <v>787.65999999999985</v>
      </c>
      <c r="U358" s="343">
        <v>95.06</v>
      </c>
      <c r="V358" s="341">
        <v>54260</v>
      </c>
      <c r="W358" s="342">
        <v>13.58</v>
      </c>
      <c r="X358" s="340" t="s">
        <v>574</v>
      </c>
      <c r="Y358" s="340"/>
      <c r="Z358" s="340">
        <v>7121</v>
      </c>
      <c r="AA358" s="340"/>
      <c r="AB358" s="340" t="s">
        <v>571</v>
      </c>
      <c r="AC358" s="340" t="s">
        <v>570</v>
      </c>
      <c r="AD358" s="341" t="s">
        <v>569</v>
      </c>
      <c r="AE358" s="346">
        <v>42735</v>
      </c>
      <c r="AF358" s="341" t="s">
        <v>568</v>
      </c>
      <c r="AG358" s="340">
        <v>0</v>
      </c>
      <c r="AH358" s="340">
        <v>95.06</v>
      </c>
      <c r="AI358" s="377"/>
      <c r="AK358" s="493">
        <f t="shared" si="56"/>
        <v>5</v>
      </c>
      <c r="AL358" s="493">
        <f t="shared" si="57"/>
        <v>2016</v>
      </c>
      <c r="AM358" s="493">
        <f t="shared" si="58"/>
        <v>2028</v>
      </c>
      <c r="AN358" s="494">
        <f t="shared" si="59"/>
        <v>2028.4166666666667</v>
      </c>
      <c r="AO358" s="505">
        <f t="shared" si="60"/>
        <v>13.580138888888889</v>
      </c>
      <c r="AP358" s="505">
        <f t="shared" si="61"/>
        <v>162.96166666666667</v>
      </c>
      <c r="AQ358" s="505">
        <f t="shared" si="62"/>
        <v>162.96166666666667</v>
      </c>
      <c r="AR358" s="505">
        <f t="shared" si="63"/>
        <v>1018.5104166666666</v>
      </c>
      <c r="AS358" s="505">
        <f t="shared" si="64"/>
        <v>1181.4720833333333</v>
      </c>
      <c r="AT358" s="506">
        <f t="shared" si="65"/>
        <v>774.06791666666663</v>
      </c>
    </row>
    <row r="359" spans="1:46">
      <c r="A359" s="341">
        <v>2112</v>
      </c>
      <c r="B359" s="345">
        <v>173844</v>
      </c>
      <c r="C359" s="341" t="s">
        <v>574</v>
      </c>
      <c r="D359" s="340" t="s">
        <v>1327</v>
      </c>
      <c r="E359" s="341">
        <v>10</v>
      </c>
      <c r="F359" s="340"/>
      <c r="G359" s="340"/>
      <c r="H359" s="340">
        <v>0</v>
      </c>
      <c r="I359" s="340" t="s">
        <v>1326</v>
      </c>
      <c r="J359" s="340"/>
      <c r="K359" s="340" t="s">
        <v>671</v>
      </c>
      <c r="L359" s="344">
        <v>42370</v>
      </c>
      <c r="M359" s="344">
        <v>42370</v>
      </c>
      <c r="N359" s="340" t="s">
        <v>1325</v>
      </c>
      <c r="O359" s="341">
        <v>1109</v>
      </c>
      <c r="P359" s="341">
        <v>14050</v>
      </c>
      <c r="Q359" s="342">
        <v>4314.32</v>
      </c>
      <c r="R359" s="341">
        <v>14056</v>
      </c>
      <c r="S359" s="342">
        <v>2784.45</v>
      </c>
      <c r="T359" s="342">
        <f t="shared" si="66"/>
        <v>1529.87</v>
      </c>
      <c r="U359" s="343">
        <v>214.19</v>
      </c>
      <c r="V359" s="341">
        <v>54260</v>
      </c>
      <c r="W359" s="342">
        <v>30.6</v>
      </c>
      <c r="X359" s="340" t="s">
        <v>574</v>
      </c>
      <c r="Y359" s="340"/>
      <c r="Z359" s="340">
        <v>6832</v>
      </c>
      <c r="AA359" s="340"/>
      <c r="AB359" s="340" t="s">
        <v>571</v>
      </c>
      <c r="AC359" s="340" t="s">
        <v>570</v>
      </c>
      <c r="AD359" s="341" t="s">
        <v>569</v>
      </c>
      <c r="AE359" s="346">
        <v>42735</v>
      </c>
      <c r="AF359" s="341" t="s">
        <v>568</v>
      </c>
      <c r="AG359" s="340">
        <v>0</v>
      </c>
      <c r="AH359" s="340">
        <v>367.18</v>
      </c>
      <c r="AI359" s="377"/>
      <c r="AK359" s="493">
        <f t="shared" si="56"/>
        <v>1</v>
      </c>
      <c r="AL359" s="493">
        <f t="shared" si="57"/>
        <v>2016</v>
      </c>
      <c r="AM359" s="493">
        <f t="shared" si="58"/>
        <v>2027.09</v>
      </c>
      <c r="AN359" s="494">
        <f t="shared" si="59"/>
        <v>2027.1733333333332</v>
      </c>
      <c r="AO359" s="505">
        <f t="shared" si="60"/>
        <v>32.418996092575888</v>
      </c>
      <c r="AP359" s="505">
        <f t="shared" si="61"/>
        <v>389.02795311091063</v>
      </c>
      <c r="AQ359" s="505">
        <f t="shared" si="62"/>
        <v>389.02795311091063</v>
      </c>
      <c r="AR359" s="505">
        <f t="shared" si="63"/>
        <v>2561.1006913135866</v>
      </c>
      <c r="AS359" s="505">
        <f t="shared" si="64"/>
        <v>2950.128644424497</v>
      </c>
      <c r="AT359" s="506">
        <f t="shared" si="65"/>
        <v>1364.1913555755027</v>
      </c>
    </row>
    <row r="360" spans="1:46">
      <c r="A360" s="341">
        <v>2112</v>
      </c>
      <c r="B360" s="345">
        <v>173843</v>
      </c>
      <c r="C360" s="341">
        <v>127366</v>
      </c>
      <c r="D360" s="340" t="s">
        <v>1324</v>
      </c>
      <c r="E360" s="341"/>
      <c r="F360" s="340"/>
      <c r="G360" s="340"/>
      <c r="H360" s="340">
        <v>0</v>
      </c>
      <c r="I360" s="340" t="s">
        <v>1323</v>
      </c>
      <c r="J360" s="340"/>
      <c r="K360" s="340" t="s">
        <v>572</v>
      </c>
      <c r="L360" s="344">
        <v>42200</v>
      </c>
      <c r="M360" s="344">
        <v>42200</v>
      </c>
      <c r="N360" s="340" t="s">
        <v>1322</v>
      </c>
      <c r="O360" s="341">
        <v>300</v>
      </c>
      <c r="P360" s="341">
        <v>14040</v>
      </c>
      <c r="Q360" s="342">
        <v>11313.74</v>
      </c>
      <c r="R360" s="341">
        <v>14046</v>
      </c>
      <c r="S360" s="342">
        <v>11313.74</v>
      </c>
      <c r="T360" s="342">
        <f t="shared" si="66"/>
        <v>0</v>
      </c>
      <c r="U360" s="343">
        <v>0</v>
      </c>
      <c r="V360" s="341">
        <v>51260</v>
      </c>
      <c r="W360" s="342">
        <v>0</v>
      </c>
      <c r="X360" s="340" t="s">
        <v>574</v>
      </c>
      <c r="Y360" s="340"/>
      <c r="Z360" s="340">
        <v>15077</v>
      </c>
      <c r="AA360" s="340"/>
      <c r="AB360" s="340" t="s">
        <v>571</v>
      </c>
      <c r="AC360" s="340" t="s">
        <v>570</v>
      </c>
      <c r="AD360" s="341" t="s">
        <v>569</v>
      </c>
      <c r="AE360" s="346">
        <v>42735</v>
      </c>
      <c r="AF360" s="341" t="s">
        <v>568</v>
      </c>
      <c r="AG360" s="340">
        <v>0</v>
      </c>
      <c r="AH360" s="340">
        <v>5656.87</v>
      </c>
      <c r="AI360" s="377"/>
      <c r="AK360" s="493">
        <f t="shared" si="56"/>
        <v>7</v>
      </c>
      <c r="AL360" s="493">
        <f t="shared" si="57"/>
        <v>2015</v>
      </c>
      <c r="AM360" s="493">
        <f t="shared" si="58"/>
        <v>2018</v>
      </c>
      <c r="AN360" s="494">
        <f t="shared" si="59"/>
        <v>2018.5833333333333</v>
      </c>
      <c r="AO360" s="505">
        <f t="shared" si="60"/>
        <v>314.27055555555552</v>
      </c>
      <c r="AP360" s="505">
        <f t="shared" si="61"/>
        <v>3771.246666666666</v>
      </c>
      <c r="AQ360" s="505">
        <f t="shared" si="62"/>
        <v>0</v>
      </c>
      <c r="AR360" s="505">
        <f t="shared" si="63"/>
        <v>11313.74</v>
      </c>
      <c r="AS360" s="505">
        <f t="shared" si="64"/>
        <v>11313.74</v>
      </c>
      <c r="AT360" s="506">
        <f t="shared" si="65"/>
        <v>0</v>
      </c>
    </row>
    <row r="361" spans="1:46">
      <c r="A361" s="341">
        <v>2112</v>
      </c>
      <c r="B361" s="345">
        <v>173842</v>
      </c>
      <c r="C361" s="341">
        <v>127366</v>
      </c>
      <c r="D361" s="340" t="s">
        <v>1321</v>
      </c>
      <c r="E361" s="341">
        <v>200</v>
      </c>
      <c r="F361" s="340" t="s">
        <v>1320</v>
      </c>
      <c r="G361" s="340"/>
      <c r="H361" s="340">
        <v>0</v>
      </c>
      <c r="I361" s="340"/>
      <c r="J361" s="340"/>
      <c r="K361" s="340" t="s">
        <v>572</v>
      </c>
      <c r="L361" s="344">
        <v>36633</v>
      </c>
      <c r="M361" s="344">
        <v>36633</v>
      </c>
      <c r="N361" s="340" t="s">
        <v>1319</v>
      </c>
      <c r="O361" s="341">
        <v>1000</v>
      </c>
      <c r="P361" s="341">
        <v>14040</v>
      </c>
      <c r="Q361" s="342">
        <v>46599</v>
      </c>
      <c r="R361" s="341">
        <v>14046</v>
      </c>
      <c r="S361" s="342">
        <v>46599</v>
      </c>
      <c r="T361" s="342">
        <f t="shared" si="66"/>
        <v>0</v>
      </c>
      <c r="U361" s="343">
        <v>0</v>
      </c>
      <c r="V361" s="341">
        <v>51260</v>
      </c>
      <c r="W361" s="342">
        <v>0</v>
      </c>
      <c r="X361" s="340" t="s">
        <v>574</v>
      </c>
      <c r="Y361" s="340"/>
      <c r="Z361" s="340"/>
      <c r="AA361" s="340">
        <v>243</v>
      </c>
      <c r="AB361" s="340" t="s">
        <v>571</v>
      </c>
      <c r="AC361" s="340" t="s">
        <v>570</v>
      </c>
      <c r="AD361" s="341" t="s">
        <v>569</v>
      </c>
      <c r="AE361" s="346">
        <v>42735</v>
      </c>
      <c r="AF361" s="341" t="s">
        <v>568</v>
      </c>
      <c r="AG361" s="340">
        <v>0</v>
      </c>
      <c r="AH361" s="340">
        <v>46599</v>
      </c>
      <c r="AI361" s="377"/>
      <c r="AK361" s="493">
        <f t="shared" si="56"/>
        <v>4</v>
      </c>
      <c r="AL361" s="493">
        <f t="shared" si="57"/>
        <v>2000</v>
      </c>
      <c r="AM361" s="493">
        <f t="shared" si="58"/>
        <v>2010</v>
      </c>
      <c r="AN361" s="494">
        <f t="shared" si="59"/>
        <v>2010.3333333333333</v>
      </c>
      <c r="AO361" s="505">
        <f t="shared" si="60"/>
        <v>388.32499999999999</v>
      </c>
      <c r="AP361" s="505">
        <f t="shared" si="61"/>
        <v>4659.8999999999996</v>
      </c>
      <c r="AQ361" s="505">
        <f t="shared" si="62"/>
        <v>0</v>
      </c>
      <c r="AR361" s="505">
        <f t="shared" si="63"/>
        <v>46599</v>
      </c>
      <c r="AS361" s="505">
        <f t="shared" si="64"/>
        <v>46599</v>
      </c>
      <c r="AT361" s="506">
        <f t="shared" si="65"/>
        <v>0</v>
      </c>
    </row>
    <row r="362" spans="1:46">
      <c r="A362" s="341">
        <v>2112</v>
      </c>
      <c r="B362" s="345">
        <v>173840</v>
      </c>
      <c r="C362" s="341" t="s">
        <v>574</v>
      </c>
      <c r="D362" s="340" t="s">
        <v>947</v>
      </c>
      <c r="E362" s="341"/>
      <c r="F362" s="340" t="s">
        <v>1318</v>
      </c>
      <c r="G362" s="340" t="s">
        <v>1317</v>
      </c>
      <c r="H362" s="340">
        <v>2016</v>
      </c>
      <c r="I362" s="340" t="s">
        <v>759</v>
      </c>
      <c r="J362" s="340" t="s">
        <v>855</v>
      </c>
      <c r="K362" s="340" t="s">
        <v>767</v>
      </c>
      <c r="L362" s="344">
        <v>42246</v>
      </c>
      <c r="M362" s="344">
        <v>42246</v>
      </c>
      <c r="N362" s="340" t="s">
        <v>1316</v>
      </c>
      <c r="O362" s="341">
        <v>1000</v>
      </c>
      <c r="P362" s="341">
        <v>14040</v>
      </c>
      <c r="Q362" s="342">
        <v>346063.4</v>
      </c>
      <c r="R362" s="341">
        <v>14046</v>
      </c>
      <c r="S362" s="342">
        <v>273966.86</v>
      </c>
      <c r="T362" s="342">
        <f t="shared" si="66"/>
        <v>72096.540000000037</v>
      </c>
      <c r="U362" s="343">
        <v>20187.03</v>
      </c>
      <c r="V362" s="341">
        <v>51260</v>
      </c>
      <c r="W362" s="342">
        <v>2883.86</v>
      </c>
      <c r="X362" s="340" t="s">
        <v>574</v>
      </c>
      <c r="Y362" s="340"/>
      <c r="Z362" s="340" t="s">
        <v>1315</v>
      </c>
      <c r="AA362" s="340">
        <v>886</v>
      </c>
      <c r="AB362" s="340" t="s">
        <v>571</v>
      </c>
      <c r="AC362" s="340" t="s">
        <v>570</v>
      </c>
      <c r="AD362" s="341" t="s">
        <v>569</v>
      </c>
      <c r="AE362" s="346">
        <v>42735</v>
      </c>
      <c r="AF362" s="341" t="s">
        <v>568</v>
      </c>
      <c r="AG362" s="340">
        <v>0</v>
      </c>
      <c r="AH362" s="340">
        <v>46141.79</v>
      </c>
      <c r="AI362" s="377"/>
      <c r="AK362" s="493">
        <f t="shared" si="56"/>
        <v>8</v>
      </c>
      <c r="AL362" s="493">
        <f t="shared" si="57"/>
        <v>2015</v>
      </c>
      <c r="AM362" s="493">
        <f t="shared" si="58"/>
        <v>2025</v>
      </c>
      <c r="AN362" s="494">
        <f t="shared" si="59"/>
        <v>2025.6666666666667</v>
      </c>
      <c r="AO362" s="505">
        <f t="shared" si="60"/>
        <v>2883.8616666666671</v>
      </c>
      <c r="AP362" s="505">
        <f t="shared" si="61"/>
        <v>34606.340000000004</v>
      </c>
      <c r="AQ362" s="505">
        <f t="shared" si="62"/>
        <v>34606.340000000004</v>
      </c>
      <c r="AR362" s="505">
        <f t="shared" si="63"/>
        <v>242244.38</v>
      </c>
      <c r="AS362" s="505">
        <f t="shared" si="64"/>
        <v>276850.72000000003</v>
      </c>
      <c r="AT362" s="506">
        <f t="shared" si="65"/>
        <v>69212.679999999993</v>
      </c>
    </row>
    <row r="363" spans="1:46">
      <c r="A363" s="341">
        <v>2112</v>
      </c>
      <c r="B363" s="345">
        <v>173839</v>
      </c>
      <c r="C363" s="341" t="s">
        <v>574</v>
      </c>
      <c r="D363" s="340" t="s">
        <v>1314</v>
      </c>
      <c r="E363" s="341">
        <v>3</v>
      </c>
      <c r="F363" s="340"/>
      <c r="G363" s="340"/>
      <c r="H363" s="340">
        <v>0</v>
      </c>
      <c r="I363" s="340" t="s">
        <v>707</v>
      </c>
      <c r="J363" s="340"/>
      <c r="K363" s="340" t="s">
        <v>722</v>
      </c>
      <c r="L363" s="344">
        <v>42220</v>
      </c>
      <c r="M363" s="344">
        <v>42220</v>
      </c>
      <c r="N363" s="340" t="s">
        <v>1313</v>
      </c>
      <c r="O363" s="341">
        <v>1200</v>
      </c>
      <c r="P363" s="341">
        <v>14050</v>
      </c>
      <c r="Q363" s="342">
        <v>18215</v>
      </c>
      <c r="R363" s="341">
        <v>14056</v>
      </c>
      <c r="S363" s="342">
        <v>12143.36</v>
      </c>
      <c r="T363" s="342">
        <f t="shared" si="66"/>
        <v>6071.6399999999994</v>
      </c>
      <c r="U363" s="343">
        <v>885.45</v>
      </c>
      <c r="V363" s="341">
        <v>54260</v>
      </c>
      <c r="W363" s="342">
        <v>126.49</v>
      </c>
      <c r="X363" s="340" t="s">
        <v>574</v>
      </c>
      <c r="Y363" s="340"/>
      <c r="Z363" s="340">
        <v>110751</v>
      </c>
      <c r="AA363" s="340"/>
      <c r="AB363" s="340" t="s">
        <v>571</v>
      </c>
      <c r="AC363" s="340" t="s">
        <v>570</v>
      </c>
      <c r="AD363" s="341" t="s">
        <v>569</v>
      </c>
      <c r="AE363" s="346">
        <v>42735</v>
      </c>
      <c r="AF363" s="341" t="s">
        <v>568</v>
      </c>
      <c r="AG363" s="340">
        <v>0</v>
      </c>
      <c r="AH363" s="340">
        <v>2150.39</v>
      </c>
      <c r="AI363" s="377"/>
      <c r="AK363" s="493">
        <f t="shared" si="56"/>
        <v>8</v>
      </c>
      <c r="AL363" s="493">
        <f t="shared" si="57"/>
        <v>2015</v>
      </c>
      <c r="AM363" s="493">
        <f t="shared" si="58"/>
        <v>2027</v>
      </c>
      <c r="AN363" s="494">
        <f t="shared" si="59"/>
        <v>2027.6666666666667</v>
      </c>
      <c r="AO363" s="505">
        <f t="shared" si="60"/>
        <v>126.49305555555556</v>
      </c>
      <c r="AP363" s="505">
        <f t="shared" si="61"/>
        <v>1517.9166666666667</v>
      </c>
      <c r="AQ363" s="505">
        <f t="shared" si="62"/>
        <v>1517.9166666666667</v>
      </c>
      <c r="AR363" s="505">
        <f t="shared" si="63"/>
        <v>10625.416666666668</v>
      </c>
      <c r="AS363" s="505">
        <f t="shared" si="64"/>
        <v>12143.333333333334</v>
      </c>
      <c r="AT363" s="506">
        <f t="shared" si="65"/>
        <v>6071.6666666666661</v>
      </c>
    </row>
    <row r="364" spans="1:46">
      <c r="A364" s="341">
        <v>2112</v>
      </c>
      <c r="B364" s="345">
        <v>173838</v>
      </c>
      <c r="C364" s="341" t="s">
        <v>574</v>
      </c>
      <c r="D364" s="340" t="s">
        <v>346</v>
      </c>
      <c r="E364" s="341">
        <v>600</v>
      </c>
      <c r="F364" s="340"/>
      <c r="G364" s="340"/>
      <c r="H364" s="340">
        <v>0</v>
      </c>
      <c r="I364" s="340" t="s">
        <v>784</v>
      </c>
      <c r="J364" s="340"/>
      <c r="K364" s="340"/>
      <c r="L364" s="344">
        <v>42154</v>
      </c>
      <c r="M364" s="344">
        <v>42154</v>
      </c>
      <c r="N364" s="340" t="s">
        <v>1312</v>
      </c>
      <c r="O364" s="341">
        <v>700</v>
      </c>
      <c r="P364" s="341">
        <v>14050</v>
      </c>
      <c r="Q364" s="342">
        <v>24964</v>
      </c>
      <c r="R364" s="341">
        <v>14056</v>
      </c>
      <c r="S364" s="342">
        <v>24964</v>
      </c>
      <c r="T364" s="342">
        <f t="shared" si="66"/>
        <v>0</v>
      </c>
      <c r="U364" s="343">
        <v>0</v>
      </c>
      <c r="V364" s="341">
        <v>54260</v>
      </c>
      <c r="W364" s="342">
        <v>0</v>
      </c>
      <c r="X364" s="340" t="s">
        <v>574</v>
      </c>
      <c r="Y364" s="340"/>
      <c r="Z364" s="340">
        <v>65369882</v>
      </c>
      <c r="AA364" s="340"/>
      <c r="AB364" s="340" t="s">
        <v>571</v>
      </c>
      <c r="AC364" s="340" t="s">
        <v>570</v>
      </c>
      <c r="AD364" s="341" t="s">
        <v>569</v>
      </c>
      <c r="AE364" s="346">
        <v>42735</v>
      </c>
      <c r="AF364" s="341" t="s">
        <v>568</v>
      </c>
      <c r="AG364" s="340">
        <v>0</v>
      </c>
      <c r="AH364" s="340">
        <v>5646.62</v>
      </c>
      <c r="AI364" s="377"/>
      <c r="AK364" s="493">
        <f t="shared" si="56"/>
        <v>5</v>
      </c>
      <c r="AL364" s="493">
        <f t="shared" si="57"/>
        <v>2015</v>
      </c>
      <c r="AM364" s="493">
        <f t="shared" si="58"/>
        <v>2022</v>
      </c>
      <c r="AN364" s="494">
        <f t="shared" si="59"/>
        <v>2022.4166666666667</v>
      </c>
      <c r="AO364" s="505">
        <f t="shared" si="60"/>
        <v>297.1904761904762</v>
      </c>
      <c r="AP364" s="505">
        <f t="shared" si="61"/>
        <v>3566.2857142857147</v>
      </c>
      <c r="AQ364" s="505">
        <f t="shared" si="62"/>
        <v>0</v>
      </c>
      <c r="AR364" s="505">
        <f t="shared" si="63"/>
        <v>24964</v>
      </c>
      <c r="AS364" s="505">
        <f t="shared" si="64"/>
        <v>24964</v>
      </c>
      <c r="AT364" s="506">
        <f t="shared" si="65"/>
        <v>0</v>
      </c>
    </row>
    <row r="365" spans="1:46">
      <c r="A365" s="341">
        <v>2112</v>
      </c>
      <c r="B365" s="345">
        <v>173837</v>
      </c>
      <c r="C365" s="341" t="s">
        <v>574</v>
      </c>
      <c r="D365" s="340" t="s">
        <v>427</v>
      </c>
      <c r="E365" s="341">
        <v>720</v>
      </c>
      <c r="F365" s="340"/>
      <c r="G365" s="340"/>
      <c r="H365" s="340">
        <v>0</v>
      </c>
      <c r="I365" s="340" t="s">
        <v>886</v>
      </c>
      <c r="J365" s="340"/>
      <c r="K365" s="340"/>
      <c r="L365" s="344">
        <v>42194</v>
      </c>
      <c r="M365" s="344">
        <v>42194</v>
      </c>
      <c r="N365" s="340" t="s">
        <v>1311</v>
      </c>
      <c r="O365" s="341">
        <v>500</v>
      </c>
      <c r="P365" s="341">
        <v>14050</v>
      </c>
      <c r="Q365" s="342">
        <v>6126.77</v>
      </c>
      <c r="R365" s="341">
        <v>14056</v>
      </c>
      <c r="S365" s="342">
        <v>6126.77</v>
      </c>
      <c r="T365" s="342">
        <f t="shared" si="66"/>
        <v>0</v>
      </c>
      <c r="U365" s="343">
        <v>0</v>
      </c>
      <c r="V365" s="341">
        <v>54260</v>
      </c>
      <c r="W365" s="342">
        <v>0</v>
      </c>
      <c r="X365" s="340" t="s">
        <v>574</v>
      </c>
      <c r="Y365" s="340"/>
      <c r="Z365" s="340">
        <v>24768</v>
      </c>
      <c r="AA365" s="340"/>
      <c r="AB365" s="340" t="s">
        <v>571</v>
      </c>
      <c r="AC365" s="340" t="s">
        <v>570</v>
      </c>
      <c r="AD365" s="341" t="s">
        <v>569</v>
      </c>
      <c r="AE365" s="346">
        <v>42735</v>
      </c>
      <c r="AF365" s="341" t="s">
        <v>568</v>
      </c>
      <c r="AG365" s="340">
        <v>0</v>
      </c>
      <c r="AH365" s="340">
        <v>1838.03</v>
      </c>
      <c r="AI365" s="377"/>
      <c r="AK365" s="493">
        <f t="shared" si="56"/>
        <v>7</v>
      </c>
      <c r="AL365" s="493">
        <f t="shared" si="57"/>
        <v>2015</v>
      </c>
      <c r="AM365" s="493">
        <f t="shared" si="58"/>
        <v>2020</v>
      </c>
      <c r="AN365" s="494">
        <f t="shared" si="59"/>
        <v>2020.5833333333333</v>
      </c>
      <c r="AO365" s="505">
        <f t="shared" si="60"/>
        <v>102.11283333333334</v>
      </c>
      <c r="AP365" s="505">
        <f t="shared" si="61"/>
        <v>1225.354</v>
      </c>
      <c r="AQ365" s="505">
        <f t="shared" si="62"/>
        <v>0</v>
      </c>
      <c r="AR365" s="505">
        <f t="shared" si="63"/>
        <v>6126.77</v>
      </c>
      <c r="AS365" s="505">
        <f t="shared" si="64"/>
        <v>6126.77</v>
      </c>
      <c r="AT365" s="506">
        <f t="shared" si="65"/>
        <v>0</v>
      </c>
    </row>
    <row r="366" spans="1:46">
      <c r="A366" s="341">
        <v>2112</v>
      </c>
      <c r="B366" s="345">
        <v>173836</v>
      </c>
      <c r="C366" s="341" t="s">
        <v>574</v>
      </c>
      <c r="D366" s="340" t="s">
        <v>1310</v>
      </c>
      <c r="E366" s="341"/>
      <c r="F366" s="340"/>
      <c r="G366" s="340"/>
      <c r="H366" s="340">
        <v>0</v>
      </c>
      <c r="I366" s="340" t="s">
        <v>831</v>
      </c>
      <c r="J366" s="340"/>
      <c r="K366" s="340"/>
      <c r="L366" s="344">
        <v>42124</v>
      </c>
      <c r="M366" s="344">
        <v>42124</v>
      </c>
      <c r="N366" s="340" t="s">
        <v>1309</v>
      </c>
      <c r="O366" s="341">
        <v>300</v>
      </c>
      <c r="P366" s="341">
        <v>14110</v>
      </c>
      <c r="Q366" s="342">
        <v>662.85</v>
      </c>
      <c r="R366" s="341">
        <v>14116</v>
      </c>
      <c r="S366" s="342">
        <v>662.85</v>
      </c>
      <c r="T366" s="342">
        <f t="shared" si="66"/>
        <v>0</v>
      </c>
      <c r="U366" s="343">
        <v>0</v>
      </c>
      <c r="V366" s="341">
        <v>70260</v>
      </c>
      <c r="W366" s="342">
        <v>0</v>
      </c>
      <c r="X366" s="340" t="s">
        <v>574</v>
      </c>
      <c r="Y366" s="340"/>
      <c r="Z366" s="340" t="s">
        <v>1308</v>
      </c>
      <c r="AA366" s="340"/>
      <c r="AB366" s="340" t="s">
        <v>571</v>
      </c>
      <c r="AC366" s="340" t="s">
        <v>570</v>
      </c>
      <c r="AD366" s="341" t="s">
        <v>569</v>
      </c>
      <c r="AE366" s="346">
        <v>42735</v>
      </c>
      <c r="AF366" s="341" t="s">
        <v>568</v>
      </c>
      <c r="AG366" s="340">
        <v>0</v>
      </c>
      <c r="AH366" s="340">
        <v>368.25</v>
      </c>
      <c r="AI366" s="377"/>
      <c r="AK366" s="493">
        <f t="shared" si="56"/>
        <v>4</v>
      </c>
      <c r="AL366" s="493">
        <f t="shared" si="57"/>
        <v>2015</v>
      </c>
      <c r="AM366" s="493">
        <f t="shared" si="58"/>
        <v>2018</v>
      </c>
      <c r="AN366" s="494">
        <f t="shared" si="59"/>
        <v>2018.3333333333333</v>
      </c>
      <c r="AO366" s="505">
        <f t="shared" si="60"/>
        <v>18.412500000000001</v>
      </c>
      <c r="AP366" s="505">
        <f t="shared" si="61"/>
        <v>220.95000000000002</v>
      </c>
      <c r="AQ366" s="505">
        <f t="shared" si="62"/>
        <v>0</v>
      </c>
      <c r="AR366" s="505">
        <f t="shared" si="63"/>
        <v>662.85</v>
      </c>
      <c r="AS366" s="505">
        <f t="shared" si="64"/>
        <v>662.85</v>
      </c>
      <c r="AT366" s="506">
        <f t="shared" si="65"/>
        <v>0</v>
      </c>
    </row>
    <row r="367" spans="1:46">
      <c r="A367" s="341">
        <v>2112</v>
      </c>
      <c r="B367" s="345">
        <v>173835</v>
      </c>
      <c r="C367" s="341">
        <v>121863</v>
      </c>
      <c r="D367" s="340" t="s">
        <v>1307</v>
      </c>
      <c r="E367" s="341"/>
      <c r="F367" s="340"/>
      <c r="G367" s="340"/>
      <c r="H367" s="340">
        <v>2010</v>
      </c>
      <c r="I367" s="340" t="s">
        <v>1306</v>
      </c>
      <c r="J367" s="340" t="s">
        <v>1305</v>
      </c>
      <c r="K367" s="340" t="s">
        <v>572</v>
      </c>
      <c r="L367" s="344">
        <v>42114</v>
      </c>
      <c r="M367" s="344">
        <v>42114</v>
      </c>
      <c r="N367" s="340" t="s">
        <v>1301</v>
      </c>
      <c r="O367" s="341">
        <v>500</v>
      </c>
      <c r="P367" s="341">
        <v>14040</v>
      </c>
      <c r="Q367" s="342">
        <v>8010</v>
      </c>
      <c r="R367" s="341">
        <v>14046</v>
      </c>
      <c r="S367" s="342">
        <v>8010</v>
      </c>
      <c r="T367" s="342">
        <f t="shared" si="66"/>
        <v>0</v>
      </c>
      <c r="U367" s="343">
        <v>0</v>
      </c>
      <c r="V367" s="341">
        <v>51260</v>
      </c>
      <c r="W367" s="342">
        <v>0</v>
      </c>
      <c r="X367" s="340" t="s">
        <v>574</v>
      </c>
      <c r="Y367" s="340"/>
      <c r="Z367" s="340" t="s">
        <v>1300</v>
      </c>
      <c r="AA367" s="340"/>
      <c r="AB367" s="340" t="s">
        <v>571</v>
      </c>
      <c r="AC367" s="340" t="s">
        <v>570</v>
      </c>
      <c r="AD367" s="341" t="s">
        <v>569</v>
      </c>
      <c r="AE367" s="346">
        <v>42735</v>
      </c>
      <c r="AF367" s="341" t="s">
        <v>568</v>
      </c>
      <c r="AG367" s="340">
        <v>0</v>
      </c>
      <c r="AH367" s="340">
        <v>2670</v>
      </c>
      <c r="AI367" s="377"/>
      <c r="AK367" s="493">
        <f t="shared" si="56"/>
        <v>4</v>
      </c>
      <c r="AL367" s="493">
        <f t="shared" si="57"/>
        <v>2015</v>
      </c>
      <c r="AM367" s="493">
        <f t="shared" si="58"/>
        <v>2020</v>
      </c>
      <c r="AN367" s="494">
        <f t="shared" si="59"/>
        <v>2020.3333333333333</v>
      </c>
      <c r="AO367" s="505">
        <f t="shared" si="60"/>
        <v>133.5</v>
      </c>
      <c r="AP367" s="505">
        <f t="shared" si="61"/>
        <v>1602</v>
      </c>
      <c r="AQ367" s="505">
        <f t="shared" si="62"/>
        <v>0</v>
      </c>
      <c r="AR367" s="505">
        <f t="shared" si="63"/>
        <v>8010</v>
      </c>
      <c r="AS367" s="505">
        <f t="shared" si="64"/>
        <v>8010</v>
      </c>
      <c r="AT367" s="506">
        <f t="shared" si="65"/>
        <v>0</v>
      </c>
    </row>
    <row r="368" spans="1:46">
      <c r="A368" s="341">
        <v>2112</v>
      </c>
      <c r="B368" s="345">
        <v>173834</v>
      </c>
      <c r="C368" s="341" t="s">
        <v>574</v>
      </c>
      <c r="D368" s="340" t="s">
        <v>1304</v>
      </c>
      <c r="E368" s="341"/>
      <c r="F368" s="340" t="s">
        <v>1303</v>
      </c>
      <c r="G368" s="340" t="s">
        <v>1302</v>
      </c>
      <c r="H368" s="340">
        <v>2010</v>
      </c>
      <c r="I368" s="340" t="s">
        <v>759</v>
      </c>
      <c r="J368" s="340" t="s">
        <v>876</v>
      </c>
      <c r="K368" s="340" t="s">
        <v>875</v>
      </c>
      <c r="L368" s="344">
        <v>42114</v>
      </c>
      <c r="M368" s="344">
        <v>42114</v>
      </c>
      <c r="N368" s="340" t="s">
        <v>1301</v>
      </c>
      <c r="O368" s="341">
        <v>500</v>
      </c>
      <c r="P368" s="341">
        <v>14040</v>
      </c>
      <c r="Q368" s="342">
        <v>89584.15</v>
      </c>
      <c r="R368" s="341">
        <v>14046</v>
      </c>
      <c r="S368" s="342">
        <v>89584.15</v>
      </c>
      <c r="T368" s="342">
        <f t="shared" si="66"/>
        <v>0</v>
      </c>
      <c r="U368" s="343">
        <v>0</v>
      </c>
      <c r="V368" s="341">
        <v>51260</v>
      </c>
      <c r="W368" s="342">
        <v>0</v>
      </c>
      <c r="X368" s="340" t="s">
        <v>574</v>
      </c>
      <c r="Y368" s="340"/>
      <c r="Z368" s="340" t="s">
        <v>1300</v>
      </c>
      <c r="AA368" s="340">
        <v>772</v>
      </c>
      <c r="AB368" s="340" t="s">
        <v>571</v>
      </c>
      <c r="AC368" s="340" t="s">
        <v>570</v>
      </c>
      <c r="AD368" s="341" t="s">
        <v>569</v>
      </c>
      <c r="AE368" s="346">
        <v>42735</v>
      </c>
      <c r="AF368" s="341" t="s">
        <v>568</v>
      </c>
      <c r="AG368" s="340">
        <v>0</v>
      </c>
      <c r="AH368" s="340">
        <v>29861.38</v>
      </c>
      <c r="AI368" s="377"/>
      <c r="AK368" s="493">
        <f t="shared" si="56"/>
        <v>4</v>
      </c>
      <c r="AL368" s="493">
        <f t="shared" si="57"/>
        <v>2015</v>
      </c>
      <c r="AM368" s="493">
        <f t="shared" si="58"/>
        <v>2020</v>
      </c>
      <c r="AN368" s="494">
        <f t="shared" si="59"/>
        <v>2020.3333333333333</v>
      </c>
      <c r="AO368" s="505">
        <f t="shared" si="60"/>
        <v>1493.0691666666664</v>
      </c>
      <c r="AP368" s="505">
        <f t="shared" si="61"/>
        <v>17916.829999999998</v>
      </c>
      <c r="AQ368" s="505">
        <f t="shared" si="62"/>
        <v>0</v>
      </c>
      <c r="AR368" s="505">
        <f t="shared" si="63"/>
        <v>89584.15</v>
      </c>
      <c r="AS368" s="505">
        <f t="shared" si="64"/>
        <v>89584.15</v>
      </c>
      <c r="AT368" s="506">
        <f t="shared" si="65"/>
        <v>0</v>
      </c>
    </row>
    <row r="369" spans="1:46">
      <c r="A369" s="341">
        <v>2112</v>
      </c>
      <c r="B369" s="345">
        <v>173832</v>
      </c>
      <c r="C369" s="341" t="s">
        <v>574</v>
      </c>
      <c r="D369" s="340" t="s">
        <v>1299</v>
      </c>
      <c r="E369" s="341">
        <v>243</v>
      </c>
      <c r="F369" s="340"/>
      <c r="G369" s="340"/>
      <c r="H369" s="340">
        <v>0</v>
      </c>
      <c r="I369" s="340" t="s">
        <v>730</v>
      </c>
      <c r="J369" s="340"/>
      <c r="K369" s="340"/>
      <c r="L369" s="344">
        <v>41839</v>
      </c>
      <c r="M369" s="344">
        <v>41839</v>
      </c>
      <c r="N369" s="340" t="s">
        <v>903</v>
      </c>
      <c r="O369" s="341">
        <v>700</v>
      </c>
      <c r="P369" s="341">
        <v>14050</v>
      </c>
      <c r="Q369" s="342">
        <v>15383.34</v>
      </c>
      <c r="R369" s="341">
        <v>14056</v>
      </c>
      <c r="S369" s="342">
        <v>15383.34</v>
      </c>
      <c r="T369" s="342">
        <f t="shared" si="66"/>
        <v>0</v>
      </c>
      <c r="U369" s="343">
        <v>0</v>
      </c>
      <c r="V369" s="341">
        <v>54260</v>
      </c>
      <c r="W369" s="342">
        <v>0</v>
      </c>
      <c r="X369" s="340" t="s">
        <v>574</v>
      </c>
      <c r="Y369" s="340"/>
      <c r="Z369" s="340" t="s">
        <v>1298</v>
      </c>
      <c r="AA369" s="340"/>
      <c r="AB369" s="340" t="s">
        <v>571</v>
      </c>
      <c r="AC369" s="340" t="s">
        <v>570</v>
      </c>
      <c r="AD369" s="341" t="s">
        <v>569</v>
      </c>
      <c r="AE369" s="346">
        <v>42735</v>
      </c>
      <c r="AF369" s="341" t="s">
        <v>568</v>
      </c>
      <c r="AG369" s="340">
        <v>0</v>
      </c>
      <c r="AH369" s="340">
        <v>5310.92</v>
      </c>
      <c r="AI369" s="377"/>
      <c r="AK369" s="493">
        <f t="shared" si="56"/>
        <v>7</v>
      </c>
      <c r="AL369" s="493">
        <f t="shared" si="57"/>
        <v>2014</v>
      </c>
      <c r="AM369" s="493">
        <f t="shared" si="58"/>
        <v>2021</v>
      </c>
      <c r="AN369" s="494">
        <f t="shared" si="59"/>
        <v>2021.5833333333333</v>
      </c>
      <c r="AO369" s="505">
        <f t="shared" si="60"/>
        <v>183.13499999999999</v>
      </c>
      <c r="AP369" s="505">
        <f t="shared" si="61"/>
        <v>2197.62</v>
      </c>
      <c r="AQ369" s="505">
        <f t="shared" si="62"/>
        <v>0</v>
      </c>
      <c r="AR369" s="505">
        <f t="shared" si="63"/>
        <v>15383.34</v>
      </c>
      <c r="AS369" s="505">
        <f t="shared" si="64"/>
        <v>15383.34</v>
      </c>
      <c r="AT369" s="506">
        <f t="shared" si="65"/>
        <v>0</v>
      </c>
    </row>
    <row r="370" spans="1:46">
      <c r="A370" s="341">
        <v>2112</v>
      </c>
      <c r="B370" s="345">
        <v>173831</v>
      </c>
      <c r="C370" s="341" t="s">
        <v>574</v>
      </c>
      <c r="D370" s="340" t="s">
        <v>1297</v>
      </c>
      <c r="E370" s="341">
        <v>3</v>
      </c>
      <c r="F370" s="340"/>
      <c r="G370" s="340"/>
      <c r="H370" s="340">
        <v>0</v>
      </c>
      <c r="I370" s="340" t="s">
        <v>714</v>
      </c>
      <c r="J370" s="340"/>
      <c r="K370" s="340" t="s">
        <v>722</v>
      </c>
      <c r="L370" s="344">
        <v>41915</v>
      </c>
      <c r="M370" s="344">
        <v>41915</v>
      </c>
      <c r="N370" s="340" t="s">
        <v>1296</v>
      </c>
      <c r="O370" s="341">
        <v>1200</v>
      </c>
      <c r="P370" s="341">
        <v>14050</v>
      </c>
      <c r="Q370" s="342">
        <v>18667</v>
      </c>
      <c r="R370" s="341">
        <v>14056</v>
      </c>
      <c r="S370" s="342">
        <v>13740.96</v>
      </c>
      <c r="T370" s="342">
        <f t="shared" si="66"/>
        <v>4926.0400000000009</v>
      </c>
      <c r="U370" s="343">
        <v>907.42</v>
      </c>
      <c r="V370" s="341">
        <v>54260</v>
      </c>
      <c r="W370" s="342">
        <v>129.63</v>
      </c>
      <c r="X370" s="340" t="s">
        <v>574</v>
      </c>
      <c r="Y370" s="340"/>
      <c r="Z370" s="340">
        <v>6446</v>
      </c>
      <c r="AA370" s="340"/>
      <c r="AB370" s="340" t="s">
        <v>571</v>
      </c>
      <c r="AC370" s="340" t="s">
        <v>570</v>
      </c>
      <c r="AD370" s="341" t="s">
        <v>569</v>
      </c>
      <c r="AE370" s="346">
        <v>42735</v>
      </c>
      <c r="AF370" s="341" t="s">
        <v>568</v>
      </c>
      <c r="AG370" s="340">
        <v>0</v>
      </c>
      <c r="AH370" s="340">
        <v>3500.06</v>
      </c>
      <c r="AI370" s="377"/>
      <c r="AK370" s="493">
        <f t="shared" si="56"/>
        <v>10</v>
      </c>
      <c r="AL370" s="493">
        <f t="shared" si="57"/>
        <v>2014</v>
      </c>
      <c r="AM370" s="493">
        <f t="shared" si="58"/>
        <v>2026</v>
      </c>
      <c r="AN370" s="494">
        <f t="shared" si="59"/>
        <v>2026.8333333333333</v>
      </c>
      <c r="AO370" s="505">
        <f t="shared" si="60"/>
        <v>129.63194444444443</v>
      </c>
      <c r="AP370" s="505">
        <f t="shared" si="61"/>
        <v>1555.583333333333</v>
      </c>
      <c r="AQ370" s="505">
        <f t="shared" si="62"/>
        <v>1555.583333333333</v>
      </c>
      <c r="AR370" s="505">
        <f t="shared" si="63"/>
        <v>12185.402777778014</v>
      </c>
      <c r="AS370" s="505">
        <f t="shared" si="64"/>
        <v>13740.986111111346</v>
      </c>
      <c r="AT370" s="506">
        <f t="shared" si="65"/>
        <v>4926.013888888654</v>
      </c>
    </row>
    <row r="371" spans="1:46">
      <c r="A371" s="341">
        <v>2112</v>
      </c>
      <c r="B371" s="345">
        <v>173830</v>
      </c>
      <c r="C371" s="341" t="s">
        <v>574</v>
      </c>
      <c r="D371" s="340" t="s">
        <v>543</v>
      </c>
      <c r="E371" s="341">
        <v>10</v>
      </c>
      <c r="F371" s="340"/>
      <c r="G371" s="340"/>
      <c r="H371" s="340">
        <v>0</v>
      </c>
      <c r="I371" s="340" t="s">
        <v>714</v>
      </c>
      <c r="J371" s="340"/>
      <c r="K371" s="340" t="s">
        <v>636</v>
      </c>
      <c r="L371" s="344">
        <v>41915</v>
      </c>
      <c r="M371" s="344">
        <v>41915</v>
      </c>
      <c r="N371" s="340" t="s">
        <v>1295</v>
      </c>
      <c r="O371" s="341">
        <v>1200</v>
      </c>
      <c r="P371" s="341">
        <v>14050</v>
      </c>
      <c r="Q371" s="342">
        <v>5702</v>
      </c>
      <c r="R371" s="341">
        <v>14056</v>
      </c>
      <c r="S371" s="342">
        <v>4197.33</v>
      </c>
      <c r="T371" s="342">
        <f t="shared" si="66"/>
        <v>1504.67</v>
      </c>
      <c r="U371" s="343">
        <v>277.18</v>
      </c>
      <c r="V371" s="341">
        <v>54260</v>
      </c>
      <c r="W371" s="342">
        <v>39.590000000000003</v>
      </c>
      <c r="X371" s="340" t="s">
        <v>574</v>
      </c>
      <c r="Y371" s="340"/>
      <c r="Z371" s="340">
        <v>6447</v>
      </c>
      <c r="AA371" s="340"/>
      <c r="AB371" s="340" t="s">
        <v>571</v>
      </c>
      <c r="AC371" s="340" t="s">
        <v>570</v>
      </c>
      <c r="AD371" s="341" t="s">
        <v>569</v>
      </c>
      <c r="AE371" s="346">
        <v>42735</v>
      </c>
      <c r="AF371" s="341" t="s">
        <v>568</v>
      </c>
      <c r="AG371" s="340">
        <v>0</v>
      </c>
      <c r="AH371" s="340">
        <v>1069.1300000000001</v>
      </c>
      <c r="AI371" s="377"/>
      <c r="AK371" s="493">
        <f t="shared" si="56"/>
        <v>10</v>
      </c>
      <c r="AL371" s="493">
        <f t="shared" si="57"/>
        <v>2014</v>
      </c>
      <c r="AM371" s="493">
        <f t="shared" si="58"/>
        <v>2026</v>
      </c>
      <c r="AN371" s="494">
        <f t="shared" si="59"/>
        <v>2026.8333333333333</v>
      </c>
      <c r="AO371" s="505">
        <f t="shared" si="60"/>
        <v>39.597222222222221</v>
      </c>
      <c r="AP371" s="505">
        <f t="shared" si="61"/>
        <v>475.16666666666663</v>
      </c>
      <c r="AQ371" s="505">
        <f t="shared" si="62"/>
        <v>475.16666666666663</v>
      </c>
      <c r="AR371" s="505">
        <f t="shared" si="63"/>
        <v>3722.138888888961</v>
      </c>
      <c r="AS371" s="505">
        <f t="shared" si="64"/>
        <v>4197.3055555556275</v>
      </c>
      <c r="AT371" s="506">
        <f t="shared" si="65"/>
        <v>1504.6944444443725</v>
      </c>
    </row>
    <row r="372" spans="1:46">
      <c r="A372" s="341">
        <v>2112</v>
      </c>
      <c r="B372" s="345">
        <v>173829</v>
      </c>
      <c r="C372" s="341" t="s">
        <v>574</v>
      </c>
      <c r="D372" s="340" t="s">
        <v>541</v>
      </c>
      <c r="E372" s="341">
        <v>10</v>
      </c>
      <c r="F372" s="340"/>
      <c r="G372" s="340"/>
      <c r="H372" s="340">
        <v>0</v>
      </c>
      <c r="I372" s="340" t="s">
        <v>714</v>
      </c>
      <c r="J372" s="340"/>
      <c r="K372" s="340" t="s">
        <v>706</v>
      </c>
      <c r="L372" s="344">
        <v>41915</v>
      </c>
      <c r="M372" s="344">
        <v>41915</v>
      </c>
      <c r="N372" s="340" t="s">
        <v>1295</v>
      </c>
      <c r="O372" s="341">
        <v>1200</v>
      </c>
      <c r="P372" s="341">
        <v>14050</v>
      </c>
      <c r="Q372" s="342">
        <v>5290.79</v>
      </c>
      <c r="R372" s="341">
        <v>14056</v>
      </c>
      <c r="S372" s="342">
        <v>3894.62</v>
      </c>
      <c r="T372" s="342">
        <f t="shared" si="66"/>
        <v>1396.17</v>
      </c>
      <c r="U372" s="343">
        <v>257.19</v>
      </c>
      <c r="V372" s="341">
        <v>54260</v>
      </c>
      <c r="W372" s="342">
        <v>36.74</v>
      </c>
      <c r="X372" s="340" t="s">
        <v>574</v>
      </c>
      <c r="Y372" s="340"/>
      <c r="Z372" s="340">
        <v>6447</v>
      </c>
      <c r="AA372" s="340"/>
      <c r="AB372" s="340" t="s">
        <v>571</v>
      </c>
      <c r="AC372" s="340" t="s">
        <v>570</v>
      </c>
      <c r="AD372" s="341" t="s">
        <v>569</v>
      </c>
      <c r="AE372" s="346">
        <v>42735</v>
      </c>
      <c r="AF372" s="341" t="s">
        <v>568</v>
      </c>
      <c r="AG372" s="340">
        <v>0</v>
      </c>
      <c r="AH372" s="340">
        <v>992.03</v>
      </c>
      <c r="AI372" s="377"/>
      <c r="AK372" s="493">
        <f t="shared" si="56"/>
        <v>10</v>
      </c>
      <c r="AL372" s="493">
        <f t="shared" si="57"/>
        <v>2014</v>
      </c>
      <c r="AM372" s="493">
        <f t="shared" si="58"/>
        <v>2026</v>
      </c>
      <c r="AN372" s="494">
        <f t="shared" si="59"/>
        <v>2026.8333333333333</v>
      </c>
      <c r="AO372" s="505">
        <f t="shared" si="60"/>
        <v>36.741597222222218</v>
      </c>
      <c r="AP372" s="505">
        <f t="shared" si="61"/>
        <v>440.89916666666659</v>
      </c>
      <c r="AQ372" s="505">
        <f t="shared" si="62"/>
        <v>440.89916666666659</v>
      </c>
      <c r="AR372" s="505">
        <f t="shared" si="63"/>
        <v>3453.710138888956</v>
      </c>
      <c r="AS372" s="505">
        <f t="shared" si="64"/>
        <v>3894.6093055556225</v>
      </c>
      <c r="AT372" s="506">
        <f t="shared" si="65"/>
        <v>1396.1806944443774</v>
      </c>
    </row>
    <row r="373" spans="1:46">
      <c r="A373" s="341">
        <v>2112</v>
      </c>
      <c r="B373" s="345">
        <v>173828</v>
      </c>
      <c r="C373" s="341" t="s">
        <v>574</v>
      </c>
      <c r="D373" s="340" t="s">
        <v>540</v>
      </c>
      <c r="E373" s="341">
        <v>10</v>
      </c>
      <c r="F373" s="340"/>
      <c r="G373" s="340"/>
      <c r="H373" s="340">
        <v>0</v>
      </c>
      <c r="I373" s="340" t="s">
        <v>714</v>
      </c>
      <c r="J373" s="340"/>
      <c r="K373" s="340" t="s">
        <v>578</v>
      </c>
      <c r="L373" s="344">
        <v>41915</v>
      </c>
      <c r="M373" s="344">
        <v>41915</v>
      </c>
      <c r="N373" s="340" t="s">
        <v>1295</v>
      </c>
      <c r="O373" s="341">
        <v>1200</v>
      </c>
      <c r="P373" s="341">
        <v>14050</v>
      </c>
      <c r="Q373" s="342">
        <v>5182.3900000000003</v>
      </c>
      <c r="R373" s="341">
        <v>14056</v>
      </c>
      <c r="S373" s="342">
        <v>3814.85</v>
      </c>
      <c r="T373" s="342">
        <f t="shared" si="66"/>
        <v>1367.5400000000004</v>
      </c>
      <c r="U373" s="343">
        <v>251.92</v>
      </c>
      <c r="V373" s="341">
        <v>54260</v>
      </c>
      <c r="W373" s="342">
        <v>35.979999999999997</v>
      </c>
      <c r="X373" s="340" t="s">
        <v>574</v>
      </c>
      <c r="Y373" s="340"/>
      <c r="Z373" s="340">
        <v>6447</v>
      </c>
      <c r="AA373" s="340"/>
      <c r="AB373" s="340" t="s">
        <v>571</v>
      </c>
      <c r="AC373" s="340" t="s">
        <v>570</v>
      </c>
      <c r="AD373" s="341" t="s">
        <v>569</v>
      </c>
      <c r="AE373" s="346">
        <v>42735</v>
      </c>
      <c r="AF373" s="341" t="s">
        <v>568</v>
      </c>
      <c r="AG373" s="340">
        <v>0</v>
      </c>
      <c r="AH373" s="340">
        <v>971.71</v>
      </c>
      <c r="AI373" s="377"/>
      <c r="AK373" s="493">
        <f t="shared" si="56"/>
        <v>10</v>
      </c>
      <c r="AL373" s="493">
        <f t="shared" si="57"/>
        <v>2014</v>
      </c>
      <c r="AM373" s="493">
        <f t="shared" si="58"/>
        <v>2026</v>
      </c>
      <c r="AN373" s="494">
        <f t="shared" si="59"/>
        <v>2026.8333333333333</v>
      </c>
      <c r="AO373" s="505">
        <f t="shared" si="60"/>
        <v>35.988819444444445</v>
      </c>
      <c r="AP373" s="505">
        <f t="shared" si="61"/>
        <v>431.86583333333334</v>
      </c>
      <c r="AQ373" s="505">
        <f t="shared" si="62"/>
        <v>431.86583333333334</v>
      </c>
      <c r="AR373" s="505">
        <f t="shared" si="63"/>
        <v>3382.9490277778436</v>
      </c>
      <c r="AS373" s="505">
        <f t="shared" si="64"/>
        <v>3814.8148611111769</v>
      </c>
      <c r="AT373" s="506">
        <f t="shared" si="65"/>
        <v>1367.5751388888234</v>
      </c>
    </row>
    <row r="374" spans="1:46">
      <c r="A374" s="341">
        <v>2112</v>
      </c>
      <c r="B374" s="345">
        <v>173827</v>
      </c>
      <c r="C374" s="341" t="s">
        <v>574</v>
      </c>
      <c r="D374" s="340" t="s">
        <v>538</v>
      </c>
      <c r="E374" s="341">
        <v>10</v>
      </c>
      <c r="F374" s="340"/>
      <c r="G374" s="340"/>
      <c r="H374" s="340">
        <v>0</v>
      </c>
      <c r="I374" s="340" t="s">
        <v>714</v>
      </c>
      <c r="J374" s="340"/>
      <c r="K374" s="340" t="s">
        <v>706</v>
      </c>
      <c r="L374" s="344">
        <v>41915</v>
      </c>
      <c r="M374" s="344">
        <v>41915</v>
      </c>
      <c r="N374" s="340" t="s">
        <v>1295</v>
      </c>
      <c r="O374" s="341">
        <v>1200</v>
      </c>
      <c r="P374" s="341">
        <v>14050</v>
      </c>
      <c r="Q374" s="342">
        <v>5128.1899999999996</v>
      </c>
      <c r="R374" s="341">
        <v>14056</v>
      </c>
      <c r="S374" s="342">
        <v>3774.93</v>
      </c>
      <c r="T374" s="342">
        <f t="shared" si="66"/>
        <v>1353.2599999999998</v>
      </c>
      <c r="U374" s="343">
        <v>249.29</v>
      </c>
      <c r="V374" s="341">
        <v>54260</v>
      </c>
      <c r="W374" s="342">
        <v>35.61</v>
      </c>
      <c r="X374" s="340" t="s">
        <v>574</v>
      </c>
      <c r="Y374" s="340"/>
      <c r="Z374" s="340">
        <v>6447</v>
      </c>
      <c r="AA374" s="340"/>
      <c r="AB374" s="340" t="s">
        <v>571</v>
      </c>
      <c r="AC374" s="340" t="s">
        <v>570</v>
      </c>
      <c r="AD374" s="341" t="s">
        <v>569</v>
      </c>
      <c r="AE374" s="346">
        <v>42735</v>
      </c>
      <c r="AF374" s="341" t="s">
        <v>568</v>
      </c>
      <c r="AG374" s="340">
        <v>0</v>
      </c>
      <c r="AH374" s="340">
        <v>961.54</v>
      </c>
      <c r="AI374" s="377"/>
      <c r="AK374" s="493">
        <f t="shared" si="56"/>
        <v>10</v>
      </c>
      <c r="AL374" s="493">
        <f t="shared" si="57"/>
        <v>2014</v>
      </c>
      <c r="AM374" s="493">
        <f t="shared" si="58"/>
        <v>2026</v>
      </c>
      <c r="AN374" s="494">
        <f t="shared" si="59"/>
        <v>2026.8333333333333</v>
      </c>
      <c r="AO374" s="505">
        <f t="shared" si="60"/>
        <v>35.612430555555555</v>
      </c>
      <c r="AP374" s="505">
        <f t="shared" si="61"/>
        <v>427.34916666666663</v>
      </c>
      <c r="AQ374" s="505">
        <f t="shared" si="62"/>
        <v>427.34916666666663</v>
      </c>
      <c r="AR374" s="505">
        <f t="shared" si="63"/>
        <v>3347.5684722222868</v>
      </c>
      <c r="AS374" s="505">
        <f t="shared" si="64"/>
        <v>3774.9176388889537</v>
      </c>
      <c r="AT374" s="506">
        <f t="shared" si="65"/>
        <v>1353.2723611110459</v>
      </c>
    </row>
    <row r="375" spans="1:46">
      <c r="A375" s="341">
        <v>2112</v>
      </c>
      <c r="B375" s="345">
        <v>173826</v>
      </c>
      <c r="C375" s="341" t="s">
        <v>574</v>
      </c>
      <c r="D375" s="340" t="s">
        <v>537</v>
      </c>
      <c r="E375" s="341">
        <v>10</v>
      </c>
      <c r="F375" s="340"/>
      <c r="G375" s="340"/>
      <c r="H375" s="340">
        <v>0</v>
      </c>
      <c r="I375" s="340" t="s">
        <v>714</v>
      </c>
      <c r="J375" s="340"/>
      <c r="K375" s="340" t="s">
        <v>578</v>
      </c>
      <c r="L375" s="344">
        <v>41915</v>
      </c>
      <c r="M375" s="344">
        <v>41915</v>
      </c>
      <c r="N375" s="340" t="s">
        <v>1295</v>
      </c>
      <c r="O375" s="341">
        <v>1200</v>
      </c>
      <c r="P375" s="341">
        <v>14050</v>
      </c>
      <c r="Q375" s="342">
        <v>5030.63</v>
      </c>
      <c r="R375" s="341">
        <v>14056</v>
      </c>
      <c r="S375" s="342">
        <v>3703.12</v>
      </c>
      <c r="T375" s="342">
        <f t="shared" si="66"/>
        <v>1327.5100000000002</v>
      </c>
      <c r="U375" s="343">
        <v>244.55</v>
      </c>
      <c r="V375" s="341">
        <v>54260</v>
      </c>
      <c r="W375" s="342">
        <v>34.94</v>
      </c>
      <c r="X375" s="340" t="s">
        <v>574</v>
      </c>
      <c r="Y375" s="340"/>
      <c r="Z375" s="340">
        <v>6447</v>
      </c>
      <c r="AA375" s="340"/>
      <c r="AB375" s="340" t="s">
        <v>571</v>
      </c>
      <c r="AC375" s="340" t="s">
        <v>570</v>
      </c>
      <c r="AD375" s="341" t="s">
        <v>569</v>
      </c>
      <c r="AE375" s="346">
        <v>42735</v>
      </c>
      <c r="AF375" s="341" t="s">
        <v>568</v>
      </c>
      <c r="AG375" s="340">
        <v>0</v>
      </c>
      <c r="AH375" s="340">
        <v>943.25</v>
      </c>
      <c r="AI375" s="377"/>
      <c r="AK375" s="493">
        <f t="shared" si="56"/>
        <v>10</v>
      </c>
      <c r="AL375" s="493">
        <f t="shared" si="57"/>
        <v>2014</v>
      </c>
      <c r="AM375" s="493">
        <f t="shared" si="58"/>
        <v>2026</v>
      </c>
      <c r="AN375" s="494">
        <f t="shared" si="59"/>
        <v>2026.8333333333333</v>
      </c>
      <c r="AO375" s="505">
        <f t="shared" si="60"/>
        <v>34.93493055555556</v>
      </c>
      <c r="AP375" s="505">
        <f t="shared" si="61"/>
        <v>419.21916666666675</v>
      </c>
      <c r="AQ375" s="505">
        <f t="shared" si="62"/>
        <v>419.21916666666675</v>
      </c>
      <c r="AR375" s="505">
        <f t="shared" si="63"/>
        <v>3283.8834722222855</v>
      </c>
      <c r="AS375" s="505">
        <f t="shared" si="64"/>
        <v>3703.1026388889522</v>
      </c>
      <c r="AT375" s="506">
        <f t="shared" si="65"/>
        <v>1327.5273611110479</v>
      </c>
    </row>
    <row r="376" spans="1:46">
      <c r="A376" s="341">
        <v>2112</v>
      </c>
      <c r="B376" s="345">
        <v>173825</v>
      </c>
      <c r="C376" s="341">
        <v>87712</v>
      </c>
      <c r="D376" s="340" t="s">
        <v>1294</v>
      </c>
      <c r="E376" s="341"/>
      <c r="F376" s="340"/>
      <c r="G376" s="340"/>
      <c r="H376" s="340">
        <v>0</v>
      </c>
      <c r="I376" s="340" t="s">
        <v>1293</v>
      </c>
      <c r="J376" s="340"/>
      <c r="K376" s="340" t="s">
        <v>572</v>
      </c>
      <c r="L376" s="344">
        <v>41834</v>
      </c>
      <c r="M376" s="344">
        <v>41834</v>
      </c>
      <c r="N376" s="340" t="s">
        <v>1292</v>
      </c>
      <c r="O376" s="341">
        <v>300</v>
      </c>
      <c r="P376" s="341">
        <v>14040</v>
      </c>
      <c r="Q376" s="342">
        <v>7964.15</v>
      </c>
      <c r="R376" s="341">
        <v>14046</v>
      </c>
      <c r="S376" s="342">
        <v>7964.15</v>
      </c>
      <c r="T376" s="342">
        <f t="shared" si="66"/>
        <v>0</v>
      </c>
      <c r="U376" s="343">
        <v>0</v>
      </c>
      <c r="V376" s="341">
        <v>51260</v>
      </c>
      <c r="W376" s="342">
        <v>0</v>
      </c>
      <c r="X376" s="340" t="s">
        <v>574</v>
      </c>
      <c r="Y376" s="340"/>
      <c r="Z376" s="340">
        <v>6575094</v>
      </c>
      <c r="AA376" s="340"/>
      <c r="AB376" s="340" t="s">
        <v>571</v>
      </c>
      <c r="AC376" s="340" t="s">
        <v>570</v>
      </c>
      <c r="AD376" s="341" t="s">
        <v>569</v>
      </c>
      <c r="AE376" s="346">
        <v>42735</v>
      </c>
      <c r="AF376" s="341" t="s">
        <v>568</v>
      </c>
      <c r="AG376" s="340">
        <v>0</v>
      </c>
      <c r="AH376" s="340">
        <v>6636.8</v>
      </c>
      <c r="AI376" s="377"/>
      <c r="AK376" s="493">
        <f t="shared" si="56"/>
        <v>7</v>
      </c>
      <c r="AL376" s="493">
        <f t="shared" si="57"/>
        <v>2014</v>
      </c>
      <c r="AM376" s="493">
        <f t="shared" si="58"/>
        <v>2017</v>
      </c>
      <c r="AN376" s="494">
        <f t="shared" si="59"/>
        <v>2017.5833333333333</v>
      </c>
      <c r="AO376" s="505">
        <f t="shared" si="60"/>
        <v>221.22638888888889</v>
      </c>
      <c r="AP376" s="505">
        <f t="shared" si="61"/>
        <v>2654.7166666666667</v>
      </c>
      <c r="AQ376" s="505">
        <f t="shared" si="62"/>
        <v>0</v>
      </c>
      <c r="AR376" s="505">
        <f t="shared" si="63"/>
        <v>7964.15</v>
      </c>
      <c r="AS376" s="505">
        <f t="shared" si="64"/>
        <v>7964.15</v>
      </c>
      <c r="AT376" s="506">
        <f t="shared" si="65"/>
        <v>0</v>
      </c>
    </row>
    <row r="377" spans="1:46">
      <c r="A377" s="341">
        <v>2112</v>
      </c>
      <c r="B377" s="345">
        <v>173824</v>
      </c>
      <c r="C377" s="341">
        <v>54942</v>
      </c>
      <c r="D377" s="340" t="s">
        <v>1291</v>
      </c>
      <c r="E377" s="341"/>
      <c r="F377" s="340"/>
      <c r="G377" s="340"/>
      <c r="H377" s="340">
        <v>0</v>
      </c>
      <c r="I377" s="340" t="s">
        <v>1290</v>
      </c>
      <c r="J377" s="340"/>
      <c r="K377" s="340" t="s">
        <v>572</v>
      </c>
      <c r="L377" s="344">
        <v>41934</v>
      </c>
      <c r="M377" s="344">
        <v>41934</v>
      </c>
      <c r="N377" s="340" t="s">
        <v>1289</v>
      </c>
      <c r="O377" s="341">
        <v>300</v>
      </c>
      <c r="P377" s="341">
        <v>14040</v>
      </c>
      <c r="Q377" s="342">
        <v>15851.75</v>
      </c>
      <c r="R377" s="341">
        <v>14046</v>
      </c>
      <c r="S377" s="342">
        <v>15851.75</v>
      </c>
      <c r="T377" s="342">
        <f t="shared" si="66"/>
        <v>0</v>
      </c>
      <c r="U377" s="343">
        <v>0</v>
      </c>
      <c r="V377" s="341">
        <v>51260</v>
      </c>
      <c r="W377" s="342">
        <v>0</v>
      </c>
      <c r="X377" s="340" t="s">
        <v>574</v>
      </c>
      <c r="Y377" s="340"/>
      <c r="Z377" s="340">
        <v>11501</v>
      </c>
      <c r="AA377" s="340"/>
      <c r="AB377" s="340" t="s">
        <v>571</v>
      </c>
      <c r="AC377" s="340" t="s">
        <v>570</v>
      </c>
      <c r="AD377" s="341" t="s">
        <v>569</v>
      </c>
      <c r="AE377" s="346">
        <v>42735</v>
      </c>
      <c r="AF377" s="341" t="s">
        <v>568</v>
      </c>
      <c r="AG377" s="340">
        <v>0</v>
      </c>
      <c r="AH377" s="340">
        <v>11448.49</v>
      </c>
      <c r="AI377" s="377"/>
      <c r="AK377" s="493">
        <f t="shared" si="56"/>
        <v>10</v>
      </c>
      <c r="AL377" s="493">
        <f t="shared" si="57"/>
        <v>2014</v>
      </c>
      <c r="AM377" s="493">
        <f t="shared" si="58"/>
        <v>2017</v>
      </c>
      <c r="AN377" s="494">
        <f t="shared" si="59"/>
        <v>2017.8333333333333</v>
      </c>
      <c r="AO377" s="505">
        <f t="shared" si="60"/>
        <v>440.32638888888891</v>
      </c>
      <c r="AP377" s="505">
        <f t="shared" si="61"/>
        <v>5283.916666666667</v>
      </c>
      <c r="AQ377" s="505">
        <f t="shared" si="62"/>
        <v>0</v>
      </c>
      <c r="AR377" s="505">
        <f t="shared" si="63"/>
        <v>15851.75</v>
      </c>
      <c r="AS377" s="505">
        <f t="shared" si="64"/>
        <v>15851.75</v>
      </c>
      <c r="AT377" s="506">
        <f t="shared" si="65"/>
        <v>0</v>
      </c>
    </row>
    <row r="378" spans="1:46">
      <c r="A378" s="341">
        <v>2112</v>
      </c>
      <c r="B378" s="345">
        <v>173823</v>
      </c>
      <c r="C378" s="341" t="s">
        <v>574</v>
      </c>
      <c r="D378" s="340" t="s">
        <v>1288</v>
      </c>
      <c r="E378" s="341">
        <v>3868</v>
      </c>
      <c r="F378" s="340"/>
      <c r="G378" s="340"/>
      <c r="H378" s="340">
        <v>0</v>
      </c>
      <c r="I378" s="340"/>
      <c r="J378" s="340"/>
      <c r="K378" s="340"/>
      <c r="L378" s="344">
        <v>35765</v>
      </c>
      <c r="M378" s="344">
        <v>35765</v>
      </c>
      <c r="N378" s="340"/>
      <c r="O378" s="341">
        <v>500</v>
      </c>
      <c r="P378" s="341">
        <v>14050</v>
      </c>
      <c r="Q378" s="342">
        <v>9477.09</v>
      </c>
      <c r="R378" s="341">
        <v>14056</v>
      </c>
      <c r="S378" s="342">
        <v>9477.09</v>
      </c>
      <c r="T378" s="342">
        <f t="shared" si="66"/>
        <v>0</v>
      </c>
      <c r="U378" s="343">
        <v>0</v>
      </c>
      <c r="V378" s="341">
        <v>54260</v>
      </c>
      <c r="W378" s="342">
        <v>0</v>
      </c>
      <c r="X378" s="340" t="s">
        <v>570</v>
      </c>
      <c r="Y378" s="340" t="s">
        <v>178</v>
      </c>
      <c r="Z378" s="340"/>
      <c r="AA378" s="340"/>
      <c r="AB378" s="340" t="s">
        <v>571</v>
      </c>
      <c r="AC378" s="340" t="s">
        <v>570</v>
      </c>
      <c r="AD378" s="341" t="s">
        <v>569</v>
      </c>
      <c r="AE378" s="346">
        <v>42735</v>
      </c>
      <c r="AF378" s="341" t="s">
        <v>568</v>
      </c>
      <c r="AG378" s="340">
        <v>0</v>
      </c>
      <c r="AH378" s="340">
        <v>9477.09</v>
      </c>
      <c r="AI378" s="377"/>
      <c r="AK378" s="493">
        <f t="shared" si="56"/>
        <v>12</v>
      </c>
      <c r="AL378" s="493">
        <f t="shared" si="57"/>
        <v>1997</v>
      </c>
      <c r="AM378" s="493">
        <f t="shared" si="58"/>
        <v>2002</v>
      </c>
      <c r="AN378" s="494">
        <f t="shared" si="59"/>
        <v>2003</v>
      </c>
      <c r="AO378" s="505">
        <f t="shared" si="60"/>
        <v>157.95150000000001</v>
      </c>
      <c r="AP378" s="505">
        <f t="shared" si="61"/>
        <v>1895.4180000000001</v>
      </c>
      <c r="AQ378" s="505">
        <f t="shared" si="62"/>
        <v>0</v>
      </c>
      <c r="AR378" s="505">
        <f t="shared" si="63"/>
        <v>9477.09</v>
      </c>
      <c r="AS378" s="505">
        <f t="shared" si="64"/>
        <v>9477.09</v>
      </c>
      <c r="AT378" s="506">
        <f t="shared" si="65"/>
        <v>0</v>
      </c>
    </row>
    <row r="379" spans="1:46">
      <c r="A379" s="341">
        <v>2112</v>
      </c>
      <c r="B379" s="345">
        <v>173822</v>
      </c>
      <c r="C379" s="341">
        <v>114605</v>
      </c>
      <c r="D379" s="340" t="s">
        <v>1287</v>
      </c>
      <c r="E379" s="341"/>
      <c r="F379" s="340"/>
      <c r="G379" s="340"/>
      <c r="H379" s="340">
        <v>0</v>
      </c>
      <c r="I379" s="340" t="s">
        <v>1286</v>
      </c>
      <c r="J379" s="340"/>
      <c r="K379" s="340"/>
      <c r="L379" s="344">
        <v>41821</v>
      </c>
      <c r="M379" s="344">
        <v>41821</v>
      </c>
      <c r="N379" s="340" t="s">
        <v>1273</v>
      </c>
      <c r="O379" s="341">
        <v>300</v>
      </c>
      <c r="P379" s="341">
        <v>14110</v>
      </c>
      <c r="Q379" s="342">
        <v>5788.99</v>
      </c>
      <c r="R379" s="341">
        <v>14116</v>
      </c>
      <c r="S379" s="342">
        <v>5788.99</v>
      </c>
      <c r="T379" s="342">
        <f t="shared" si="66"/>
        <v>0</v>
      </c>
      <c r="U379" s="343">
        <v>0</v>
      </c>
      <c r="V379" s="341">
        <v>70260</v>
      </c>
      <c r="W379" s="342">
        <v>0</v>
      </c>
      <c r="X379" s="340" t="s">
        <v>574</v>
      </c>
      <c r="Y379" s="340"/>
      <c r="Z379" s="340" t="s">
        <v>1285</v>
      </c>
      <c r="AA379" s="340"/>
      <c r="AB379" s="340" t="s">
        <v>571</v>
      </c>
      <c r="AC379" s="340" t="s">
        <v>570</v>
      </c>
      <c r="AD379" s="341" t="s">
        <v>569</v>
      </c>
      <c r="AE379" s="346">
        <v>42735</v>
      </c>
      <c r="AF379" s="341" t="s">
        <v>568</v>
      </c>
      <c r="AG379" s="340">
        <v>0</v>
      </c>
      <c r="AH379" s="340">
        <v>4824.1499999999996</v>
      </c>
      <c r="AI379" s="377"/>
      <c r="AK379" s="493">
        <f t="shared" si="56"/>
        <v>7</v>
      </c>
      <c r="AL379" s="493">
        <f t="shared" si="57"/>
        <v>2014</v>
      </c>
      <c r="AM379" s="493">
        <f t="shared" si="58"/>
        <v>2017</v>
      </c>
      <c r="AN379" s="494">
        <f t="shared" si="59"/>
        <v>2017.5833333333333</v>
      </c>
      <c r="AO379" s="505">
        <f t="shared" si="60"/>
        <v>160.80527777777777</v>
      </c>
      <c r="AP379" s="505">
        <f t="shared" si="61"/>
        <v>1929.6633333333334</v>
      </c>
      <c r="AQ379" s="505">
        <f t="shared" si="62"/>
        <v>0</v>
      </c>
      <c r="AR379" s="505">
        <f t="shared" si="63"/>
        <v>5788.99</v>
      </c>
      <c r="AS379" s="505">
        <f t="shared" si="64"/>
        <v>5788.99</v>
      </c>
      <c r="AT379" s="506">
        <f t="shared" si="65"/>
        <v>0</v>
      </c>
    </row>
    <row r="380" spans="1:46">
      <c r="A380" s="341">
        <v>2112</v>
      </c>
      <c r="B380" s="345">
        <v>173821</v>
      </c>
      <c r="C380" s="341">
        <v>114875</v>
      </c>
      <c r="D380" s="340" t="s">
        <v>1284</v>
      </c>
      <c r="E380" s="341">
        <v>0</v>
      </c>
      <c r="F380" s="340"/>
      <c r="G380" s="340"/>
      <c r="H380" s="340">
        <v>0</v>
      </c>
      <c r="I380" s="340" t="s">
        <v>1283</v>
      </c>
      <c r="J380" s="340"/>
      <c r="K380" s="340"/>
      <c r="L380" s="344">
        <v>39540</v>
      </c>
      <c r="M380" s="344">
        <v>39540</v>
      </c>
      <c r="N380" s="340" t="s">
        <v>1281</v>
      </c>
      <c r="O380" s="341">
        <v>500</v>
      </c>
      <c r="P380" s="341">
        <v>14050</v>
      </c>
      <c r="Q380" s="342">
        <v>2137.8000000000002</v>
      </c>
      <c r="R380" s="341">
        <v>14056</v>
      </c>
      <c r="S380" s="342">
        <v>2137.8000000000002</v>
      </c>
      <c r="T380" s="342">
        <f t="shared" si="66"/>
        <v>0</v>
      </c>
      <c r="U380" s="343">
        <v>0</v>
      </c>
      <c r="V380" s="341">
        <v>54260</v>
      </c>
      <c r="W380" s="342">
        <v>0</v>
      </c>
      <c r="X380" s="340" t="s">
        <v>574</v>
      </c>
      <c r="Y380" s="340"/>
      <c r="Z380" s="340">
        <v>16763</v>
      </c>
      <c r="AA380" s="340"/>
      <c r="AB380" s="340" t="s">
        <v>571</v>
      </c>
      <c r="AC380" s="340" t="s">
        <v>570</v>
      </c>
      <c r="AD380" s="341" t="s">
        <v>569</v>
      </c>
      <c r="AE380" s="346">
        <v>42735</v>
      </c>
      <c r="AF380" s="341" t="s">
        <v>568</v>
      </c>
      <c r="AG380" s="340">
        <v>0</v>
      </c>
      <c r="AH380" s="340">
        <v>2137.8000000000002</v>
      </c>
      <c r="AI380" s="377"/>
      <c r="AK380" s="493">
        <f t="shared" si="56"/>
        <v>4</v>
      </c>
      <c r="AL380" s="493">
        <f t="shared" si="57"/>
        <v>2008</v>
      </c>
      <c r="AM380" s="493">
        <f t="shared" si="58"/>
        <v>2013</v>
      </c>
      <c r="AN380" s="494">
        <f t="shared" si="59"/>
        <v>2013.3333333333333</v>
      </c>
      <c r="AO380" s="505">
        <f t="shared" si="60"/>
        <v>35.630000000000003</v>
      </c>
      <c r="AP380" s="505">
        <f t="shared" si="61"/>
        <v>427.56000000000006</v>
      </c>
      <c r="AQ380" s="505">
        <f t="shared" si="62"/>
        <v>0</v>
      </c>
      <c r="AR380" s="505">
        <f t="shared" si="63"/>
        <v>2137.8000000000002</v>
      </c>
      <c r="AS380" s="505">
        <f t="shared" si="64"/>
        <v>2137.8000000000002</v>
      </c>
      <c r="AT380" s="506">
        <f t="shared" si="65"/>
        <v>0</v>
      </c>
    </row>
    <row r="381" spans="1:46">
      <c r="A381" s="341">
        <v>2112</v>
      </c>
      <c r="B381" s="345">
        <v>173820</v>
      </c>
      <c r="C381" s="341" t="s">
        <v>574</v>
      </c>
      <c r="D381" s="340" t="s">
        <v>1282</v>
      </c>
      <c r="E381" s="341">
        <v>452</v>
      </c>
      <c r="F381" s="340"/>
      <c r="G381" s="340"/>
      <c r="H381" s="340">
        <v>0</v>
      </c>
      <c r="I381" s="340"/>
      <c r="J381" s="340"/>
      <c r="K381" s="340"/>
      <c r="L381" s="344">
        <v>39568</v>
      </c>
      <c r="M381" s="344">
        <v>39568</v>
      </c>
      <c r="N381" s="340" t="s">
        <v>1281</v>
      </c>
      <c r="O381" s="341">
        <v>500</v>
      </c>
      <c r="P381" s="341">
        <v>14050</v>
      </c>
      <c r="Q381" s="342">
        <v>25450</v>
      </c>
      <c r="R381" s="341">
        <v>14056</v>
      </c>
      <c r="S381" s="342">
        <v>25450</v>
      </c>
      <c r="T381" s="342">
        <f t="shared" si="66"/>
        <v>0</v>
      </c>
      <c r="U381" s="343">
        <v>0</v>
      </c>
      <c r="V381" s="341">
        <v>54260</v>
      </c>
      <c r="W381" s="342">
        <v>0</v>
      </c>
      <c r="X381" s="340" t="s">
        <v>574</v>
      </c>
      <c r="Y381" s="340"/>
      <c r="Z381" s="340"/>
      <c r="AA381" s="340"/>
      <c r="AB381" s="340" t="s">
        <v>571</v>
      </c>
      <c r="AC381" s="340" t="s">
        <v>570</v>
      </c>
      <c r="AD381" s="341" t="s">
        <v>569</v>
      </c>
      <c r="AE381" s="346">
        <v>42735</v>
      </c>
      <c r="AF381" s="341" t="s">
        <v>568</v>
      </c>
      <c r="AG381" s="340">
        <v>0</v>
      </c>
      <c r="AH381" s="340">
        <v>25450</v>
      </c>
      <c r="AI381" s="377"/>
      <c r="AK381" s="493">
        <f t="shared" si="56"/>
        <v>4</v>
      </c>
      <c r="AL381" s="493">
        <f t="shared" si="57"/>
        <v>2008</v>
      </c>
      <c r="AM381" s="493">
        <f t="shared" si="58"/>
        <v>2013</v>
      </c>
      <c r="AN381" s="494">
        <f t="shared" si="59"/>
        <v>2013.3333333333333</v>
      </c>
      <c r="AO381" s="505">
        <f t="shared" si="60"/>
        <v>424.16666666666669</v>
      </c>
      <c r="AP381" s="505">
        <f t="shared" si="61"/>
        <v>5090</v>
      </c>
      <c r="AQ381" s="505">
        <f t="shared" si="62"/>
        <v>0</v>
      </c>
      <c r="AR381" s="505">
        <f t="shared" si="63"/>
        <v>25450</v>
      </c>
      <c r="AS381" s="505">
        <f t="shared" si="64"/>
        <v>25450</v>
      </c>
      <c r="AT381" s="506">
        <f t="shared" si="65"/>
        <v>0</v>
      </c>
    </row>
    <row r="382" spans="1:46">
      <c r="A382" s="341">
        <v>2112</v>
      </c>
      <c r="B382" s="345">
        <v>173819</v>
      </c>
      <c r="C382" s="341" t="s">
        <v>574</v>
      </c>
      <c r="D382" s="340" t="s">
        <v>1280</v>
      </c>
      <c r="E382" s="341">
        <v>1050</v>
      </c>
      <c r="F382" s="340"/>
      <c r="G382" s="340"/>
      <c r="H382" s="340">
        <v>0</v>
      </c>
      <c r="I382" s="340" t="s">
        <v>661</v>
      </c>
      <c r="J382" s="340"/>
      <c r="K382" s="340"/>
      <c r="L382" s="344">
        <v>38048</v>
      </c>
      <c r="M382" s="344">
        <v>38048</v>
      </c>
      <c r="N382" s="340">
        <v>42112015</v>
      </c>
      <c r="O382" s="341">
        <v>500</v>
      </c>
      <c r="P382" s="341">
        <v>14050</v>
      </c>
      <c r="Q382" s="342">
        <v>5619.43</v>
      </c>
      <c r="R382" s="341">
        <v>14056</v>
      </c>
      <c r="S382" s="342">
        <v>5619.43</v>
      </c>
      <c r="T382" s="342">
        <f t="shared" si="66"/>
        <v>0</v>
      </c>
      <c r="U382" s="343">
        <v>0</v>
      </c>
      <c r="V382" s="341">
        <v>54260</v>
      </c>
      <c r="W382" s="342">
        <v>0</v>
      </c>
      <c r="X382" s="340" t="s">
        <v>574</v>
      </c>
      <c r="Y382" s="340">
        <v>0</v>
      </c>
      <c r="Z382" s="340" t="s">
        <v>1279</v>
      </c>
      <c r="AA382" s="340"/>
      <c r="AB382" s="340" t="s">
        <v>571</v>
      </c>
      <c r="AC382" s="340" t="s">
        <v>570</v>
      </c>
      <c r="AD382" s="341" t="s">
        <v>569</v>
      </c>
      <c r="AE382" s="346">
        <v>42735</v>
      </c>
      <c r="AF382" s="341" t="s">
        <v>568</v>
      </c>
      <c r="AG382" s="340">
        <v>0</v>
      </c>
      <c r="AH382" s="340">
        <v>5619.43</v>
      </c>
      <c r="AI382" s="377"/>
      <c r="AK382" s="493">
        <f t="shared" si="56"/>
        <v>3</v>
      </c>
      <c r="AL382" s="493">
        <f t="shared" si="57"/>
        <v>2004</v>
      </c>
      <c r="AM382" s="493">
        <f t="shared" si="58"/>
        <v>2009</v>
      </c>
      <c r="AN382" s="494">
        <f t="shared" si="59"/>
        <v>2009.25</v>
      </c>
      <c r="AO382" s="505">
        <f t="shared" si="60"/>
        <v>93.657166666666669</v>
      </c>
      <c r="AP382" s="505">
        <f t="shared" si="61"/>
        <v>1123.886</v>
      </c>
      <c r="AQ382" s="505">
        <f t="shared" si="62"/>
        <v>0</v>
      </c>
      <c r="AR382" s="505">
        <f t="shared" si="63"/>
        <v>5619.43</v>
      </c>
      <c r="AS382" s="505">
        <f t="shared" si="64"/>
        <v>5619.43</v>
      </c>
      <c r="AT382" s="506">
        <f t="shared" si="65"/>
        <v>0</v>
      </c>
    </row>
    <row r="383" spans="1:46">
      <c r="A383" s="341">
        <v>2112</v>
      </c>
      <c r="B383" s="345">
        <v>173818</v>
      </c>
      <c r="C383" s="341" t="s">
        <v>574</v>
      </c>
      <c r="D383" s="340" t="s">
        <v>1278</v>
      </c>
      <c r="E383" s="341">
        <v>500</v>
      </c>
      <c r="F383" s="340"/>
      <c r="G383" s="340"/>
      <c r="H383" s="340">
        <v>0</v>
      </c>
      <c r="I383" s="340" t="s">
        <v>630</v>
      </c>
      <c r="J383" s="340"/>
      <c r="K383" s="340"/>
      <c r="L383" s="344">
        <v>37711</v>
      </c>
      <c r="M383" s="344">
        <v>37711</v>
      </c>
      <c r="N383" s="340" t="s">
        <v>1277</v>
      </c>
      <c r="O383" s="341">
        <v>500</v>
      </c>
      <c r="P383" s="341">
        <v>14050</v>
      </c>
      <c r="Q383" s="342">
        <v>6138.47</v>
      </c>
      <c r="R383" s="341">
        <v>14056</v>
      </c>
      <c r="S383" s="342">
        <v>6138.47</v>
      </c>
      <c r="T383" s="342">
        <f t="shared" si="66"/>
        <v>0</v>
      </c>
      <c r="U383" s="343">
        <v>0</v>
      </c>
      <c r="V383" s="341">
        <v>54260</v>
      </c>
      <c r="W383" s="342">
        <v>0</v>
      </c>
      <c r="X383" s="340" t="s">
        <v>574</v>
      </c>
      <c r="Y383" s="340"/>
      <c r="Z383" s="340" t="s">
        <v>1276</v>
      </c>
      <c r="AA383" s="340"/>
      <c r="AB383" s="340" t="s">
        <v>571</v>
      </c>
      <c r="AC383" s="340" t="s">
        <v>570</v>
      </c>
      <c r="AD383" s="341" t="s">
        <v>569</v>
      </c>
      <c r="AE383" s="346">
        <v>42735</v>
      </c>
      <c r="AF383" s="341" t="s">
        <v>568</v>
      </c>
      <c r="AG383" s="340">
        <v>0</v>
      </c>
      <c r="AH383" s="340">
        <v>6138.47</v>
      </c>
      <c r="AI383" s="377"/>
      <c r="AK383" s="493">
        <f t="shared" si="56"/>
        <v>3</v>
      </c>
      <c r="AL383" s="493">
        <f t="shared" si="57"/>
        <v>2003</v>
      </c>
      <c r="AM383" s="493">
        <f t="shared" si="58"/>
        <v>2008</v>
      </c>
      <c r="AN383" s="494">
        <f t="shared" si="59"/>
        <v>2008.25</v>
      </c>
      <c r="AO383" s="505">
        <f t="shared" si="60"/>
        <v>102.30783333333333</v>
      </c>
      <c r="AP383" s="505">
        <f t="shared" si="61"/>
        <v>1227.694</v>
      </c>
      <c r="AQ383" s="505">
        <f t="shared" si="62"/>
        <v>0</v>
      </c>
      <c r="AR383" s="505">
        <f t="shared" si="63"/>
        <v>6138.47</v>
      </c>
      <c r="AS383" s="505">
        <f t="shared" si="64"/>
        <v>6138.47</v>
      </c>
      <c r="AT383" s="506">
        <f t="shared" si="65"/>
        <v>0</v>
      </c>
    </row>
    <row r="384" spans="1:46">
      <c r="A384" s="341">
        <v>2112</v>
      </c>
      <c r="B384" s="345">
        <v>173817</v>
      </c>
      <c r="C384" s="341" t="s">
        <v>574</v>
      </c>
      <c r="D384" s="340" t="s">
        <v>1275</v>
      </c>
      <c r="E384" s="341">
        <v>400</v>
      </c>
      <c r="F384" s="340"/>
      <c r="G384" s="340"/>
      <c r="H384" s="340">
        <v>0</v>
      </c>
      <c r="I384" s="340" t="s">
        <v>618</v>
      </c>
      <c r="J384" s="340"/>
      <c r="K384" s="340"/>
      <c r="L384" s="344">
        <v>37466</v>
      </c>
      <c r="M384" s="344">
        <v>37466</v>
      </c>
      <c r="N384" s="340" t="s">
        <v>617</v>
      </c>
      <c r="O384" s="341">
        <v>700</v>
      </c>
      <c r="P384" s="341">
        <v>14050</v>
      </c>
      <c r="Q384" s="342">
        <v>1950.66</v>
      </c>
      <c r="R384" s="341">
        <v>14056</v>
      </c>
      <c r="S384" s="342">
        <v>1950.66</v>
      </c>
      <c r="T384" s="342">
        <f t="shared" si="66"/>
        <v>0</v>
      </c>
      <c r="U384" s="343">
        <v>0</v>
      </c>
      <c r="V384" s="341">
        <v>54260</v>
      </c>
      <c r="W384" s="342">
        <v>0</v>
      </c>
      <c r="X384" s="340" t="s">
        <v>574</v>
      </c>
      <c r="Y384" s="340"/>
      <c r="Z384" s="340" t="s">
        <v>616</v>
      </c>
      <c r="AA384" s="340"/>
      <c r="AB384" s="340" t="s">
        <v>571</v>
      </c>
      <c r="AC384" s="340" t="s">
        <v>570</v>
      </c>
      <c r="AD384" s="341" t="s">
        <v>569</v>
      </c>
      <c r="AE384" s="346">
        <v>42735</v>
      </c>
      <c r="AF384" s="341" t="s">
        <v>568</v>
      </c>
      <c r="AG384" s="340">
        <v>0</v>
      </c>
      <c r="AH384" s="340">
        <v>1950.66</v>
      </c>
      <c r="AI384" s="377"/>
      <c r="AK384" s="493">
        <f t="shared" si="56"/>
        <v>7</v>
      </c>
      <c r="AL384" s="493">
        <f t="shared" si="57"/>
        <v>2002</v>
      </c>
      <c r="AM384" s="493">
        <f t="shared" si="58"/>
        <v>2009</v>
      </c>
      <c r="AN384" s="494">
        <f t="shared" si="59"/>
        <v>2009.5833333333333</v>
      </c>
      <c r="AO384" s="505">
        <f t="shared" si="60"/>
        <v>23.222142857142856</v>
      </c>
      <c r="AP384" s="505">
        <f t="shared" si="61"/>
        <v>278.66571428571427</v>
      </c>
      <c r="AQ384" s="505">
        <f t="shared" si="62"/>
        <v>0</v>
      </c>
      <c r="AR384" s="505">
        <f t="shared" si="63"/>
        <v>1950.66</v>
      </c>
      <c r="AS384" s="505">
        <f t="shared" si="64"/>
        <v>1950.66</v>
      </c>
      <c r="AT384" s="506">
        <f t="shared" si="65"/>
        <v>0</v>
      </c>
    </row>
    <row r="385" spans="1:46">
      <c r="A385" s="341">
        <v>2112</v>
      </c>
      <c r="B385" s="345">
        <v>173816</v>
      </c>
      <c r="C385" s="341" t="s">
        <v>574</v>
      </c>
      <c r="D385" s="340" t="s">
        <v>1274</v>
      </c>
      <c r="E385" s="341"/>
      <c r="F385" s="340"/>
      <c r="G385" s="340"/>
      <c r="H385" s="340">
        <v>0</v>
      </c>
      <c r="I385" s="340"/>
      <c r="J385" s="340"/>
      <c r="K385" s="340"/>
      <c r="L385" s="344">
        <v>41821</v>
      </c>
      <c r="M385" s="344">
        <v>41821</v>
      </c>
      <c r="N385" s="340" t="s">
        <v>1273</v>
      </c>
      <c r="O385" s="341">
        <v>300</v>
      </c>
      <c r="P385" s="341">
        <v>14110</v>
      </c>
      <c r="Q385" s="342">
        <v>1723.2</v>
      </c>
      <c r="R385" s="341">
        <v>14116</v>
      </c>
      <c r="S385" s="342">
        <v>1723.2</v>
      </c>
      <c r="T385" s="342">
        <f t="shared" si="66"/>
        <v>0</v>
      </c>
      <c r="U385" s="343">
        <v>0</v>
      </c>
      <c r="V385" s="341">
        <v>70260</v>
      </c>
      <c r="W385" s="342">
        <v>0</v>
      </c>
      <c r="X385" s="340" t="s">
        <v>574</v>
      </c>
      <c r="Y385" s="340"/>
      <c r="Z385" s="340"/>
      <c r="AA385" s="340"/>
      <c r="AB385" s="340" t="s">
        <v>571</v>
      </c>
      <c r="AC385" s="340" t="s">
        <v>570</v>
      </c>
      <c r="AD385" s="341" t="s">
        <v>569</v>
      </c>
      <c r="AE385" s="346">
        <v>42735</v>
      </c>
      <c r="AF385" s="341" t="s">
        <v>568</v>
      </c>
      <c r="AG385" s="340">
        <v>0</v>
      </c>
      <c r="AH385" s="340">
        <v>1436</v>
      </c>
      <c r="AI385" s="377"/>
      <c r="AK385" s="493">
        <f t="shared" si="56"/>
        <v>7</v>
      </c>
      <c r="AL385" s="493">
        <f t="shared" si="57"/>
        <v>2014</v>
      </c>
      <c r="AM385" s="493">
        <f t="shared" si="58"/>
        <v>2017</v>
      </c>
      <c r="AN385" s="494">
        <f t="shared" si="59"/>
        <v>2017.5833333333333</v>
      </c>
      <c r="AO385" s="505">
        <f t="shared" si="60"/>
        <v>47.866666666666667</v>
      </c>
      <c r="AP385" s="505">
        <f t="shared" si="61"/>
        <v>574.4</v>
      </c>
      <c r="AQ385" s="505">
        <f t="shared" si="62"/>
        <v>0</v>
      </c>
      <c r="AR385" s="505">
        <f t="shared" si="63"/>
        <v>1723.2</v>
      </c>
      <c r="AS385" s="505">
        <f t="shared" si="64"/>
        <v>1723.2</v>
      </c>
      <c r="AT385" s="506">
        <f t="shared" si="65"/>
        <v>0</v>
      </c>
    </row>
    <row r="386" spans="1:46">
      <c r="A386" s="341">
        <v>2112</v>
      </c>
      <c r="B386" s="345">
        <v>173815</v>
      </c>
      <c r="C386" s="341" t="s">
        <v>574</v>
      </c>
      <c r="D386" s="340" t="s">
        <v>1272</v>
      </c>
      <c r="E386" s="341"/>
      <c r="F386" s="340"/>
      <c r="G386" s="340"/>
      <c r="H386" s="340">
        <v>0</v>
      </c>
      <c r="I386" s="340" t="s">
        <v>1271</v>
      </c>
      <c r="J386" s="340"/>
      <c r="K386" s="340"/>
      <c r="L386" s="344">
        <v>41790</v>
      </c>
      <c r="M386" s="344">
        <v>41790</v>
      </c>
      <c r="N386" s="340" t="s">
        <v>1270</v>
      </c>
      <c r="O386" s="341">
        <v>1000</v>
      </c>
      <c r="P386" s="341">
        <v>14010</v>
      </c>
      <c r="Q386" s="342">
        <v>9903.0300000000007</v>
      </c>
      <c r="R386" s="341">
        <v>14016</v>
      </c>
      <c r="S386" s="342">
        <v>9077.76</v>
      </c>
      <c r="T386" s="342">
        <f t="shared" si="66"/>
        <v>825.27000000000044</v>
      </c>
      <c r="U386" s="343">
        <v>577.67999999999995</v>
      </c>
      <c r="V386" s="341">
        <v>57260</v>
      </c>
      <c r="W386" s="342">
        <v>82.53</v>
      </c>
      <c r="X386" s="340" t="s">
        <v>574</v>
      </c>
      <c r="Y386" s="340"/>
      <c r="Z386" s="340">
        <v>641106034</v>
      </c>
      <c r="AA386" s="340"/>
      <c r="AB386" s="340" t="s">
        <v>571</v>
      </c>
      <c r="AC386" s="340" t="s">
        <v>570</v>
      </c>
      <c r="AD386" s="341" t="s">
        <v>569</v>
      </c>
      <c r="AE386" s="346">
        <v>42735</v>
      </c>
      <c r="AF386" s="341" t="s">
        <v>568</v>
      </c>
      <c r="AG386" s="340">
        <v>0</v>
      </c>
      <c r="AH386" s="340">
        <v>2558.2800000000002</v>
      </c>
      <c r="AI386" s="377"/>
      <c r="AK386" s="493">
        <f t="shared" si="56"/>
        <v>5</v>
      </c>
      <c r="AL386" s="493">
        <f t="shared" si="57"/>
        <v>2014</v>
      </c>
      <c r="AM386" s="493">
        <f t="shared" si="58"/>
        <v>2024</v>
      </c>
      <c r="AN386" s="494">
        <f t="shared" si="59"/>
        <v>2024.4166666666667</v>
      </c>
      <c r="AO386" s="505">
        <f t="shared" si="60"/>
        <v>82.525250000000014</v>
      </c>
      <c r="AP386" s="505">
        <f t="shared" si="61"/>
        <v>990.30300000000011</v>
      </c>
      <c r="AQ386" s="505">
        <f t="shared" si="62"/>
        <v>990.30300000000011</v>
      </c>
      <c r="AR386" s="505">
        <f t="shared" si="63"/>
        <v>8169.9997500000009</v>
      </c>
      <c r="AS386" s="505">
        <f t="shared" si="64"/>
        <v>9160.3027500000007</v>
      </c>
      <c r="AT386" s="506">
        <f t="shared" si="65"/>
        <v>742.72724999999991</v>
      </c>
    </row>
    <row r="387" spans="1:46">
      <c r="A387" s="341">
        <v>2112</v>
      </c>
      <c r="B387" s="345">
        <v>173814</v>
      </c>
      <c r="C387" s="341" t="s">
        <v>574</v>
      </c>
      <c r="D387" s="340" t="s">
        <v>1269</v>
      </c>
      <c r="E387" s="341">
        <v>306</v>
      </c>
      <c r="F387" s="340"/>
      <c r="G387" s="340"/>
      <c r="H387" s="340">
        <v>0</v>
      </c>
      <c r="I387" s="340" t="s">
        <v>730</v>
      </c>
      <c r="J387" s="340"/>
      <c r="K387" s="340"/>
      <c r="L387" s="344">
        <v>41809</v>
      </c>
      <c r="M387" s="344">
        <v>41809</v>
      </c>
      <c r="N387" s="340" t="s">
        <v>1265</v>
      </c>
      <c r="O387" s="341">
        <v>700</v>
      </c>
      <c r="P387" s="341">
        <v>14050</v>
      </c>
      <c r="Q387" s="342">
        <v>15060.22</v>
      </c>
      <c r="R387" s="341">
        <v>14056</v>
      </c>
      <c r="S387" s="342">
        <v>15060.22</v>
      </c>
      <c r="T387" s="342">
        <f t="shared" si="66"/>
        <v>0</v>
      </c>
      <c r="U387" s="343">
        <v>0</v>
      </c>
      <c r="V387" s="341">
        <v>54260</v>
      </c>
      <c r="W387" s="342">
        <v>0</v>
      </c>
      <c r="X387" s="340" t="s">
        <v>574</v>
      </c>
      <c r="Y387" s="340"/>
      <c r="Z387" s="340" t="s">
        <v>1268</v>
      </c>
      <c r="AA387" s="340"/>
      <c r="AB387" s="340" t="s">
        <v>571</v>
      </c>
      <c r="AC387" s="340" t="s">
        <v>570</v>
      </c>
      <c r="AD387" s="341" t="s">
        <v>569</v>
      </c>
      <c r="AE387" s="346">
        <v>42735</v>
      </c>
      <c r="AF387" s="341" t="s">
        <v>568</v>
      </c>
      <c r="AG387" s="340">
        <v>0</v>
      </c>
      <c r="AH387" s="340">
        <v>5378.65</v>
      </c>
      <c r="AI387" s="377"/>
      <c r="AK387" s="493">
        <f t="shared" si="56"/>
        <v>6</v>
      </c>
      <c r="AL387" s="493">
        <f t="shared" si="57"/>
        <v>2014</v>
      </c>
      <c r="AM387" s="493">
        <f t="shared" si="58"/>
        <v>2021</v>
      </c>
      <c r="AN387" s="494">
        <f t="shared" si="59"/>
        <v>2021.5</v>
      </c>
      <c r="AO387" s="505">
        <f t="shared" si="60"/>
        <v>179.28833333333333</v>
      </c>
      <c r="AP387" s="505">
        <f t="shared" si="61"/>
        <v>2151.46</v>
      </c>
      <c r="AQ387" s="505">
        <f t="shared" si="62"/>
        <v>0</v>
      </c>
      <c r="AR387" s="505">
        <f t="shared" si="63"/>
        <v>15060.22</v>
      </c>
      <c r="AS387" s="505">
        <f t="shared" si="64"/>
        <v>15060.22</v>
      </c>
      <c r="AT387" s="506">
        <f t="shared" si="65"/>
        <v>0</v>
      </c>
    </row>
    <row r="388" spans="1:46">
      <c r="A388" s="341">
        <v>2112</v>
      </c>
      <c r="B388" s="345">
        <v>173813</v>
      </c>
      <c r="C388" s="341" t="s">
        <v>574</v>
      </c>
      <c r="D388" s="340" t="s">
        <v>1267</v>
      </c>
      <c r="E388" s="341">
        <v>240</v>
      </c>
      <c r="F388" s="340"/>
      <c r="G388" s="340"/>
      <c r="H388" s="340">
        <v>0</v>
      </c>
      <c r="I388" s="340" t="s">
        <v>886</v>
      </c>
      <c r="J388" s="340"/>
      <c r="K388" s="340"/>
      <c r="L388" s="344">
        <v>41818</v>
      </c>
      <c r="M388" s="344">
        <v>41818</v>
      </c>
      <c r="N388" s="340" t="s">
        <v>1266</v>
      </c>
      <c r="O388" s="341">
        <v>500</v>
      </c>
      <c r="P388" s="341">
        <v>14050</v>
      </c>
      <c r="Q388" s="342">
        <v>6126.77</v>
      </c>
      <c r="R388" s="341">
        <v>14056</v>
      </c>
      <c r="S388" s="342">
        <v>6126.77</v>
      </c>
      <c r="T388" s="342">
        <f t="shared" si="66"/>
        <v>0</v>
      </c>
      <c r="U388" s="343">
        <v>0</v>
      </c>
      <c r="V388" s="341">
        <v>54260</v>
      </c>
      <c r="W388" s="342">
        <v>0</v>
      </c>
      <c r="X388" s="340" t="s">
        <v>574</v>
      </c>
      <c r="Y388" s="340"/>
      <c r="Z388" s="340">
        <v>23454</v>
      </c>
      <c r="AA388" s="340"/>
      <c r="AB388" s="340" t="s">
        <v>571</v>
      </c>
      <c r="AC388" s="340" t="s">
        <v>570</v>
      </c>
      <c r="AD388" s="341" t="s">
        <v>569</v>
      </c>
      <c r="AE388" s="346">
        <v>42735</v>
      </c>
      <c r="AF388" s="341" t="s">
        <v>568</v>
      </c>
      <c r="AG388" s="340">
        <v>0</v>
      </c>
      <c r="AH388" s="340">
        <v>3063.38</v>
      </c>
      <c r="AI388" s="377"/>
      <c r="AK388" s="493">
        <f t="shared" si="56"/>
        <v>6</v>
      </c>
      <c r="AL388" s="493">
        <f t="shared" si="57"/>
        <v>2014</v>
      </c>
      <c r="AM388" s="493">
        <f t="shared" si="58"/>
        <v>2019</v>
      </c>
      <c r="AN388" s="494">
        <f t="shared" si="59"/>
        <v>2019.5</v>
      </c>
      <c r="AO388" s="505">
        <f t="shared" si="60"/>
        <v>102.11283333333334</v>
      </c>
      <c r="AP388" s="505">
        <f t="shared" si="61"/>
        <v>1225.354</v>
      </c>
      <c r="AQ388" s="505">
        <f t="shared" si="62"/>
        <v>0</v>
      </c>
      <c r="AR388" s="505">
        <f t="shared" si="63"/>
        <v>6126.77</v>
      </c>
      <c r="AS388" s="505">
        <f t="shared" si="64"/>
        <v>6126.77</v>
      </c>
      <c r="AT388" s="506">
        <f t="shared" si="65"/>
        <v>0</v>
      </c>
    </row>
    <row r="389" spans="1:46">
      <c r="A389" s="341">
        <v>2112</v>
      </c>
      <c r="B389" s="345">
        <v>173812</v>
      </c>
      <c r="C389" s="341" t="s">
        <v>574</v>
      </c>
      <c r="D389" s="340" t="s">
        <v>530</v>
      </c>
      <c r="E389" s="341">
        <v>252</v>
      </c>
      <c r="F389" s="340"/>
      <c r="G389" s="340"/>
      <c r="H389" s="340">
        <v>0</v>
      </c>
      <c r="I389" s="340" t="s">
        <v>730</v>
      </c>
      <c r="J389" s="340"/>
      <c r="K389" s="340"/>
      <c r="L389" s="344">
        <v>41809</v>
      </c>
      <c r="M389" s="344">
        <v>41809</v>
      </c>
      <c r="N389" s="340" t="s">
        <v>1265</v>
      </c>
      <c r="O389" s="341">
        <v>700</v>
      </c>
      <c r="P389" s="341">
        <v>14050</v>
      </c>
      <c r="Q389" s="342">
        <v>14541.4</v>
      </c>
      <c r="R389" s="341">
        <v>14056</v>
      </c>
      <c r="S389" s="342">
        <v>14541.4</v>
      </c>
      <c r="T389" s="342">
        <f t="shared" si="66"/>
        <v>0</v>
      </c>
      <c r="U389" s="343">
        <v>0</v>
      </c>
      <c r="V389" s="341">
        <v>54260</v>
      </c>
      <c r="W389" s="342">
        <v>0</v>
      </c>
      <c r="X389" s="340" t="s">
        <v>574</v>
      </c>
      <c r="Y389" s="340"/>
      <c r="Z389" s="340" t="s">
        <v>1264</v>
      </c>
      <c r="AA389" s="340"/>
      <c r="AB389" s="340" t="s">
        <v>571</v>
      </c>
      <c r="AC389" s="340" t="s">
        <v>570</v>
      </c>
      <c r="AD389" s="341" t="s">
        <v>569</v>
      </c>
      <c r="AE389" s="346">
        <v>42735</v>
      </c>
      <c r="AF389" s="341" t="s">
        <v>568</v>
      </c>
      <c r="AG389" s="340">
        <v>0</v>
      </c>
      <c r="AH389" s="340">
        <v>5193.3500000000004</v>
      </c>
      <c r="AI389" s="377"/>
      <c r="AK389" s="493">
        <f t="shared" si="56"/>
        <v>6</v>
      </c>
      <c r="AL389" s="493">
        <f t="shared" si="57"/>
        <v>2014</v>
      </c>
      <c r="AM389" s="493">
        <f t="shared" si="58"/>
        <v>2021</v>
      </c>
      <c r="AN389" s="494">
        <f t="shared" si="59"/>
        <v>2021.5</v>
      </c>
      <c r="AO389" s="505">
        <f t="shared" si="60"/>
        <v>173.11190476190475</v>
      </c>
      <c r="AP389" s="505">
        <f t="shared" si="61"/>
        <v>2077.3428571428572</v>
      </c>
      <c r="AQ389" s="505">
        <f t="shared" si="62"/>
        <v>0</v>
      </c>
      <c r="AR389" s="505">
        <f t="shared" si="63"/>
        <v>14541.4</v>
      </c>
      <c r="AS389" s="505">
        <f t="shared" si="64"/>
        <v>14541.4</v>
      </c>
      <c r="AT389" s="506">
        <f t="shared" si="65"/>
        <v>0</v>
      </c>
    </row>
    <row r="390" spans="1:46">
      <c r="A390" s="341">
        <v>2112</v>
      </c>
      <c r="B390" s="345">
        <v>173811</v>
      </c>
      <c r="C390" s="341" t="s">
        <v>574</v>
      </c>
      <c r="D390" s="340" t="s">
        <v>281</v>
      </c>
      <c r="E390" s="341">
        <v>2</v>
      </c>
      <c r="F390" s="340"/>
      <c r="G390" s="340"/>
      <c r="H390" s="340">
        <v>0</v>
      </c>
      <c r="I390" s="340" t="s">
        <v>831</v>
      </c>
      <c r="J390" s="340"/>
      <c r="K390" s="340"/>
      <c r="L390" s="344">
        <v>41749</v>
      </c>
      <c r="M390" s="344">
        <v>41749</v>
      </c>
      <c r="N390" s="340" t="s">
        <v>892</v>
      </c>
      <c r="O390" s="341">
        <v>300</v>
      </c>
      <c r="P390" s="341">
        <v>14110</v>
      </c>
      <c r="Q390" s="342">
        <v>668.01</v>
      </c>
      <c r="R390" s="341">
        <v>14116</v>
      </c>
      <c r="S390" s="342">
        <v>668.01</v>
      </c>
      <c r="T390" s="342">
        <f t="shared" si="66"/>
        <v>0</v>
      </c>
      <c r="U390" s="343">
        <v>0</v>
      </c>
      <c r="V390" s="341">
        <v>70260</v>
      </c>
      <c r="W390" s="342">
        <v>0</v>
      </c>
      <c r="X390" s="340" t="s">
        <v>574</v>
      </c>
      <c r="Y390" s="340"/>
      <c r="Z390" s="340" t="s">
        <v>891</v>
      </c>
      <c r="AA390" s="340"/>
      <c r="AB390" s="340" t="s">
        <v>571</v>
      </c>
      <c r="AC390" s="340" t="s">
        <v>570</v>
      </c>
      <c r="AD390" s="341" t="s">
        <v>569</v>
      </c>
      <c r="AE390" s="346">
        <v>42735</v>
      </c>
      <c r="AF390" s="341" t="s">
        <v>568</v>
      </c>
      <c r="AG390" s="340">
        <v>0</v>
      </c>
      <c r="AH390" s="340">
        <v>593.79</v>
      </c>
      <c r="AI390" s="377"/>
      <c r="AK390" s="493">
        <f t="shared" si="56"/>
        <v>4</v>
      </c>
      <c r="AL390" s="493">
        <f t="shared" si="57"/>
        <v>2014</v>
      </c>
      <c r="AM390" s="493">
        <f t="shared" si="58"/>
        <v>2017</v>
      </c>
      <c r="AN390" s="494">
        <f t="shared" si="59"/>
        <v>2017.3333333333333</v>
      </c>
      <c r="AO390" s="505">
        <f t="shared" si="60"/>
        <v>18.555833333333332</v>
      </c>
      <c r="AP390" s="505">
        <f t="shared" si="61"/>
        <v>222.67</v>
      </c>
      <c r="AQ390" s="505">
        <f t="shared" si="62"/>
        <v>0</v>
      </c>
      <c r="AR390" s="505">
        <f t="shared" si="63"/>
        <v>668.01</v>
      </c>
      <c r="AS390" s="505">
        <f t="shared" si="64"/>
        <v>668.01</v>
      </c>
      <c r="AT390" s="506">
        <f t="shared" si="65"/>
        <v>0</v>
      </c>
    </row>
    <row r="391" spans="1:46">
      <c r="A391" s="341">
        <v>2112</v>
      </c>
      <c r="B391" s="345">
        <v>173810</v>
      </c>
      <c r="C391" s="341" t="s">
        <v>574</v>
      </c>
      <c r="D391" s="340" t="s">
        <v>1248</v>
      </c>
      <c r="E391" s="341">
        <v>112</v>
      </c>
      <c r="F391" s="340"/>
      <c r="G391" s="340"/>
      <c r="H391" s="340">
        <v>0</v>
      </c>
      <c r="I391" s="340" t="s">
        <v>730</v>
      </c>
      <c r="J391" s="340"/>
      <c r="K391" s="340"/>
      <c r="L391" s="344">
        <v>41640</v>
      </c>
      <c r="M391" s="344">
        <v>41640</v>
      </c>
      <c r="N391" s="340" t="s">
        <v>1263</v>
      </c>
      <c r="O391" s="341">
        <v>700</v>
      </c>
      <c r="P391" s="341">
        <v>14050</v>
      </c>
      <c r="Q391" s="342">
        <v>5756.78</v>
      </c>
      <c r="R391" s="341">
        <v>14056</v>
      </c>
      <c r="S391" s="342">
        <v>5756.78</v>
      </c>
      <c r="T391" s="342">
        <f t="shared" si="66"/>
        <v>0</v>
      </c>
      <c r="U391" s="343">
        <v>0</v>
      </c>
      <c r="V391" s="341">
        <v>54260</v>
      </c>
      <c r="W391" s="342">
        <v>0</v>
      </c>
      <c r="X391" s="340" t="s">
        <v>574</v>
      </c>
      <c r="Y391" s="340"/>
      <c r="Z391" s="340" t="s">
        <v>1262</v>
      </c>
      <c r="AA391" s="340"/>
      <c r="AB391" s="340" t="s">
        <v>571</v>
      </c>
      <c r="AC391" s="340" t="s">
        <v>570</v>
      </c>
      <c r="AD391" s="341" t="s">
        <v>569</v>
      </c>
      <c r="AE391" s="346">
        <v>42735</v>
      </c>
      <c r="AF391" s="341" t="s">
        <v>568</v>
      </c>
      <c r="AG391" s="340">
        <v>0</v>
      </c>
      <c r="AH391" s="340">
        <v>2467.1999999999998</v>
      </c>
      <c r="AI391" s="377"/>
      <c r="AK391" s="493">
        <f t="shared" si="56"/>
        <v>1</v>
      </c>
      <c r="AL391" s="493">
        <f t="shared" si="57"/>
        <v>2014</v>
      </c>
      <c r="AM391" s="493">
        <f t="shared" si="58"/>
        <v>2021</v>
      </c>
      <c r="AN391" s="494">
        <f t="shared" si="59"/>
        <v>2021.0833333333333</v>
      </c>
      <c r="AO391" s="505">
        <f t="shared" si="60"/>
        <v>68.533095238095243</v>
      </c>
      <c r="AP391" s="505">
        <f t="shared" si="61"/>
        <v>822.39714285714285</v>
      </c>
      <c r="AQ391" s="505">
        <f t="shared" si="62"/>
        <v>0</v>
      </c>
      <c r="AR391" s="505">
        <f t="shared" si="63"/>
        <v>5756.78</v>
      </c>
      <c r="AS391" s="505">
        <f t="shared" si="64"/>
        <v>5756.78</v>
      </c>
      <c r="AT391" s="506">
        <f t="shared" si="65"/>
        <v>0</v>
      </c>
    </row>
    <row r="392" spans="1:46">
      <c r="A392" s="341">
        <v>2112</v>
      </c>
      <c r="B392" s="345">
        <v>173808</v>
      </c>
      <c r="C392" s="341" t="s">
        <v>574</v>
      </c>
      <c r="D392" s="340" t="s">
        <v>1261</v>
      </c>
      <c r="E392" s="341"/>
      <c r="F392" s="340"/>
      <c r="G392" s="340"/>
      <c r="H392" s="340">
        <v>0</v>
      </c>
      <c r="I392" s="340" t="s">
        <v>1260</v>
      </c>
      <c r="J392" s="340"/>
      <c r="K392" s="340"/>
      <c r="L392" s="344">
        <v>41676</v>
      </c>
      <c r="M392" s="344">
        <v>41676</v>
      </c>
      <c r="N392" s="340" t="s">
        <v>1259</v>
      </c>
      <c r="O392" s="341">
        <v>300</v>
      </c>
      <c r="P392" s="341">
        <v>14110</v>
      </c>
      <c r="Q392" s="342">
        <v>1802.86</v>
      </c>
      <c r="R392" s="341">
        <v>14116</v>
      </c>
      <c r="S392" s="342">
        <v>1802.86</v>
      </c>
      <c r="T392" s="342">
        <f t="shared" si="66"/>
        <v>0</v>
      </c>
      <c r="U392" s="343">
        <v>0</v>
      </c>
      <c r="V392" s="341">
        <v>70260</v>
      </c>
      <c r="W392" s="342">
        <v>0</v>
      </c>
      <c r="X392" s="340" t="s">
        <v>574</v>
      </c>
      <c r="Y392" s="340"/>
      <c r="Z392" s="340">
        <v>11548343</v>
      </c>
      <c r="AA392" s="340"/>
      <c r="AB392" s="340" t="s">
        <v>571</v>
      </c>
      <c r="AC392" s="340" t="s">
        <v>570</v>
      </c>
      <c r="AD392" s="341" t="s">
        <v>569</v>
      </c>
      <c r="AE392" s="346">
        <v>42735</v>
      </c>
      <c r="AF392" s="341" t="s">
        <v>568</v>
      </c>
      <c r="AG392" s="340">
        <v>0</v>
      </c>
      <c r="AH392" s="340">
        <v>1752.77</v>
      </c>
      <c r="AI392" s="377"/>
      <c r="AK392" s="493">
        <f t="shared" si="56"/>
        <v>2</v>
      </c>
      <c r="AL392" s="493">
        <f t="shared" si="57"/>
        <v>2014</v>
      </c>
      <c r="AM392" s="493">
        <f t="shared" si="58"/>
        <v>2017</v>
      </c>
      <c r="AN392" s="494">
        <f t="shared" si="59"/>
        <v>2017.1666666666667</v>
      </c>
      <c r="AO392" s="505">
        <f t="shared" si="60"/>
        <v>50.079444444444441</v>
      </c>
      <c r="AP392" s="505">
        <f t="shared" si="61"/>
        <v>600.95333333333326</v>
      </c>
      <c r="AQ392" s="505">
        <f t="shared" si="62"/>
        <v>0</v>
      </c>
      <c r="AR392" s="505">
        <f t="shared" si="63"/>
        <v>1802.86</v>
      </c>
      <c r="AS392" s="505">
        <f t="shared" si="64"/>
        <v>1802.86</v>
      </c>
      <c r="AT392" s="506">
        <f t="shared" si="65"/>
        <v>0</v>
      </c>
    </row>
    <row r="393" spans="1:46">
      <c r="A393" s="341">
        <v>2112</v>
      </c>
      <c r="B393" s="345">
        <v>173807</v>
      </c>
      <c r="C393" s="341" t="s">
        <v>574</v>
      </c>
      <c r="D393" s="340" t="s">
        <v>890</v>
      </c>
      <c r="E393" s="341">
        <v>12</v>
      </c>
      <c r="F393" s="340"/>
      <c r="G393" s="340"/>
      <c r="H393" s="340">
        <v>0</v>
      </c>
      <c r="I393" s="340" t="s">
        <v>889</v>
      </c>
      <c r="J393" s="340"/>
      <c r="K393" s="340"/>
      <c r="L393" s="344">
        <v>41639</v>
      </c>
      <c r="M393" s="344">
        <v>41639</v>
      </c>
      <c r="N393" s="340" t="s">
        <v>1258</v>
      </c>
      <c r="O393" s="341">
        <v>500</v>
      </c>
      <c r="P393" s="341">
        <v>14110</v>
      </c>
      <c r="Q393" s="342">
        <v>18014.57</v>
      </c>
      <c r="R393" s="341">
        <v>14116</v>
      </c>
      <c r="S393" s="342">
        <v>18014.57</v>
      </c>
      <c r="T393" s="342">
        <f t="shared" si="66"/>
        <v>0</v>
      </c>
      <c r="U393" s="343">
        <v>0</v>
      </c>
      <c r="V393" s="341">
        <v>70260</v>
      </c>
      <c r="W393" s="342">
        <v>0</v>
      </c>
      <c r="X393" s="340" t="s">
        <v>574</v>
      </c>
      <c r="Y393" s="340"/>
      <c r="Z393" s="340">
        <v>556913</v>
      </c>
      <c r="AA393" s="340"/>
      <c r="AB393" s="340" t="s">
        <v>571</v>
      </c>
      <c r="AC393" s="340" t="s">
        <v>570</v>
      </c>
      <c r="AD393" s="341" t="s">
        <v>569</v>
      </c>
      <c r="AE393" s="346">
        <v>42735</v>
      </c>
      <c r="AF393" s="341" t="s">
        <v>568</v>
      </c>
      <c r="AG393" s="340">
        <v>0</v>
      </c>
      <c r="AH393" s="340">
        <v>10808.73</v>
      </c>
      <c r="AI393" s="377"/>
      <c r="AK393" s="493">
        <f t="shared" si="56"/>
        <v>12</v>
      </c>
      <c r="AL393" s="493">
        <f t="shared" si="57"/>
        <v>2013</v>
      </c>
      <c r="AM393" s="493">
        <f t="shared" si="58"/>
        <v>2018</v>
      </c>
      <c r="AN393" s="494">
        <f t="shared" si="59"/>
        <v>2019</v>
      </c>
      <c r="AO393" s="505">
        <f t="shared" si="60"/>
        <v>300.24283333333329</v>
      </c>
      <c r="AP393" s="505">
        <f t="shared" si="61"/>
        <v>3602.9139999999998</v>
      </c>
      <c r="AQ393" s="505">
        <f t="shared" si="62"/>
        <v>0</v>
      </c>
      <c r="AR393" s="505">
        <f t="shared" si="63"/>
        <v>18014.57</v>
      </c>
      <c r="AS393" s="505">
        <f t="shared" si="64"/>
        <v>18014.57</v>
      </c>
      <c r="AT393" s="506">
        <f t="shared" si="65"/>
        <v>0</v>
      </c>
    </row>
    <row r="394" spans="1:46">
      <c r="A394" s="341">
        <v>2112</v>
      </c>
      <c r="B394" s="345">
        <v>173806</v>
      </c>
      <c r="C394" s="341" t="s">
        <v>574</v>
      </c>
      <c r="D394" s="340" t="s">
        <v>1257</v>
      </c>
      <c r="E394" s="341">
        <v>100</v>
      </c>
      <c r="F394" s="340"/>
      <c r="G394" s="340"/>
      <c r="H394" s="340">
        <v>0</v>
      </c>
      <c r="I394" s="340" t="s">
        <v>730</v>
      </c>
      <c r="J394" s="340"/>
      <c r="K394" s="340"/>
      <c r="L394" s="344">
        <v>41541</v>
      </c>
      <c r="M394" s="344">
        <v>41541</v>
      </c>
      <c r="N394" s="340" t="s">
        <v>1256</v>
      </c>
      <c r="O394" s="341">
        <v>700</v>
      </c>
      <c r="P394" s="341">
        <v>14050</v>
      </c>
      <c r="Q394" s="342">
        <v>6294.75</v>
      </c>
      <c r="R394" s="341">
        <v>14056</v>
      </c>
      <c r="S394" s="342">
        <v>6294.75</v>
      </c>
      <c r="T394" s="342">
        <f t="shared" si="66"/>
        <v>0</v>
      </c>
      <c r="U394" s="343">
        <v>0</v>
      </c>
      <c r="V394" s="341">
        <v>54260</v>
      </c>
      <c r="W394" s="342">
        <v>0</v>
      </c>
      <c r="X394" s="340" t="s">
        <v>574</v>
      </c>
      <c r="Y394" s="340"/>
      <c r="Z394" s="340" t="s">
        <v>1255</v>
      </c>
      <c r="AA394" s="340"/>
      <c r="AB394" s="340" t="s">
        <v>571</v>
      </c>
      <c r="AC394" s="340" t="s">
        <v>570</v>
      </c>
      <c r="AD394" s="341" t="s">
        <v>569</v>
      </c>
      <c r="AE394" s="346">
        <v>42735</v>
      </c>
      <c r="AF394" s="341" t="s">
        <v>568</v>
      </c>
      <c r="AG394" s="340">
        <v>0</v>
      </c>
      <c r="AH394" s="340">
        <v>2922.56</v>
      </c>
      <c r="AI394" s="377"/>
      <c r="AK394" s="493">
        <f t="shared" si="56"/>
        <v>9</v>
      </c>
      <c r="AL394" s="493">
        <f t="shared" si="57"/>
        <v>2013</v>
      </c>
      <c r="AM394" s="493">
        <f t="shared" si="58"/>
        <v>2020</v>
      </c>
      <c r="AN394" s="494">
        <f t="shared" si="59"/>
        <v>2020.75</v>
      </c>
      <c r="AO394" s="505">
        <f t="shared" si="60"/>
        <v>74.9375</v>
      </c>
      <c r="AP394" s="505">
        <f t="shared" si="61"/>
        <v>899.25</v>
      </c>
      <c r="AQ394" s="505">
        <f t="shared" si="62"/>
        <v>0</v>
      </c>
      <c r="AR394" s="505">
        <f t="shared" si="63"/>
        <v>6294.75</v>
      </c>
      <c r="AS394" s="505">
        <f t="shared" si="64"/>
        <v>6294.75</v>
      </c>
      <c r="AT394" s="506">
        <f t="shared" si="65"/>
        <v>0</v>
      </c>
    </row>
    <row r="395" spans="1:46">
      <c r="A395" s="341">
        <v>2112</v>
      </c>
      <c r="B395" s="345">
        <v>173805</v>
      </c>
      <c r="C395" s="341" t="s">
        <v>574</v>
      </c>
      <c r="D395" s="340" t="s">
        <v>1254</v>
      </c>
      <c r="E395" s="341"/>
      <c r="F395" s="340" t="s">
        <v>1253</v>
      </c>
      <c r="G395" s="340" t="s">
        <v>1252</v>
      </c>
      <c r="H395" s="340">
        <v>2004</v>
      </c>
      <c r="I395" s="340" t="s">
        <v>1251</v>
      </c>
      <c r="J395" s="340" t="s">
        <v>1250</v>
      </c>
      <c r="K395" s="340" t="s">
        <v>1227</v>
      </c>
      <c r="L395" s="344">
        <v>41547</v>
      </c>
      <c r="M395" s="344">
        <v>41547</v>
      </c>
      <c r="N395" s="340" t="s">
        <v>1249</v>
      </c>
      <c r="O395" s="341">
        <v>300</v>
      </c>
      <c r="P395" s="341">
        <v>14040</v>
      </c>
      <c r="Q395" s="342">
        <v>65220</v>
      </c>
      <c r="R395" s="341">
        <v>14046</v>
      </c>
      <c r="S395" s="342">
        <v>65220</v>
      </c>
      <c r="T395" s="342">
        <f t="shared" si="66"/>
        <v>0</v>
      </c>
      <c r="U395" s="343">
        <v>0</v>
      </c>
      <c r="V395" s="341">
        <v>51260</v>
      </c>
      <c r="W395" s="342">
        <v>0</v>
      </c>
      <c r="X395" s="340" t="s">
        <v>574</v>
      </c>
      <c r="Y395" s="340"/>
      <c r="Z395" s="340">
        <v>1037</v>
      </c>
      <c r="AA395" s="340">
        <v>7205</v>
      </c>
      <c r="AB395" s="340" t="s">
        <v>571</v>
      </c>
      <c r="AC395" s="340" t="s">
        <v>570</v>
      </c>
      <c r="AD395" s="341" t="s">
        <v>569</v>
      </c>
      <c r="AE395" s="346">
        <v>42735</v>
      </c>
      <c r="AF395" s="341" t="s">
        <v>568</v>
      </c>
      <c r="AG395" s="340">
        <v>0</v>
      </c>
      <c r="AH395" s="340">
        <v>65220</v>
      </c>
      <c r="AI395" s="377"/>
      <c r="AK395" s="493">
        <f t="shared" si="56"/>
        <v>9</v>
      </c>
      <c r="AL395" s="493">
        <f t="shared" si="57"/>
        <v>2013</v>
      </c>
      <c r="AM395" s="493">
        <f t="shared" si="58"/>
        <v>2016</v>
      </c>
      <c r="AN395" s="494">
        <f t="shared" si="59"/>
        <v>2016.75</v>
      </c>
      <c r="AO395" s="505">
        <f t="shared" si="60"/>
        <v>1811.6666666666667</v>
      </c>
      <c r="AP395" s="505">
        <f t="shared" si="61"/>
        <v>21740</v>
      </c>
      <c r="AQ395" s="505">
        <f t="shared" si="62"/>
        <v>0</v>
      </c>
      <c r="AR395" s="505">
        <f t="shared" si="63"/>
        <v>65220</v>
      </c>
      <c r="AS395" s="505">
        <f t="shared" si="64"/>
        <v>65220</v>
      </c>
      <c r="AT395" s="506">
        <f t="shared" si="65"/>
        <v>0</v>
      </c>
    </row>
    <row r="396" spans="1:46">
      <c r="A396" s="341">
        <v>2112</v>
      </c>
      <c r="B396" s="345">
        <v>173804</v>
      </c>
      <c r="C396" s="341" t="s">
        <v>574</v>
      </c>
      <c r="D396" s="340" t="s">
        <v>1248</v>
      </c>
      <c r="E396" s="341">
        <v>81</v>
      </c>
      <c r="F396" s="340"/>
      <c r="G396" s="340"/>
      <c r="H396" s="340">
        <v>0</v>
      </c>
      <c r="I396" s="340" t="s">
        <v>730</v>
      </c>
      <c r="J396" s="340"/>
      <c r="K396" s="340"/>
      <c r="L396" s="344">
        <v>41533</v>
      </c>
      <c r="M396" s="344">
        <v>41533</v>
      </c>
      <c r="N396" s="340" t="s">
        <v>1247</v>
      </c>
      <c r="O396" s="341">
        <v>700</v>
      </c>
      <c r="P396" s="341">
        <v>14050</v>
      </c>
      <c r="Q396" s="342">
        <v>6434.37</v>
      </c>
      <c r="R396" s="341">
        <v>14056</v>
      </c>
      <c r="S396" s="342">
        <v>6434.37</v>
      </c>
      <c r="T396" s="342">
        <f t="shared" si="66"/>
        <v>0</v>
      </c>
      <c r="U396" s="343">
        <v>0</v>
      </c>
      <c r="V396" s="341">
        <v>54260</v>
      </c>
      <c r="W396" s="342">
        <v>0</v>
      </c>
      <c r="X396" s="340" t="s">
        <v>574</v>
      </c>
      <c r="Y396" s="340"/>
      <c r="Z396" s="340" t="s">
        <v>1246</v>
      </c>
      <c r="AA396" s="340"/>
      <c r="AB396" s="340" t="s">
        <v>571</v>
      </c>
      <c r="AC396" s="340" t="s">
        <v>570</v>
      </c>
      <c r="AD396" s="341" t="s">
        <v>569</v>
      </c>
      <c r="AE396" s="346">
        <v>42735</v>
      </c>
      <c r="AF396" s="341" t="s">
        <v>568</v>
      </c>
      <c r="AG396" s="340">
        <v>0</v>
      </c>
      <c r="AH396" s="340">
        <v>2987.4</v>
      </c>
      <c r="AI396" s="377"/>
      <c r="AK396" s="493">
        <f t="shared" si="56"/>
        <v>9</v>
      </c>
      <c r="AL396" s="493">
        <f t="shared" si="57"/>
        <v>2013</v>
      </c>
      <c r="AM396" s="493">
        <f t="shared" si="58"/>
        <v>2020</v>
      </c>
      <c r="AN396" s="494">
        <f t="shared" si="59"/>
        <v>2020.75</v>
      </c>
      <c r="AO396" s="505">
        <f t="shared" si="60"/>
        <v>76.599642857142854</v>
      </c>
      <c r="AP396" s="505">
        <f t="shared" si="61"/>
        <v>919.1957142857143</v>
      </c>
      <c r="AQ396" s="505">
        <f t="shared" si="62"/>
        <v>0</v>
      </c>
      <c r="AR396" s="505">
        <f t="shared" si="63"/>
        <v>6434.37</v>
      </c>
      <c r="AS396" s="505">
        <f t="shared" si="64"/>
        <v>6434.37</v>
      </c>
      <c r="AT396" s="506">
        <f t="shared" si="65"/>
        <v>0</v>
      </c>
    </row>
    <row r="397" spans="1:46">
      <c r="A397" s="341">
        <v>2112</v>
      </c>
      <c r="B397" s="345">
        <v>173803</v>
      </c>
      <c r="C397" s="341" t="s">
        <v>574</v>
      </c>
      <c r="D397" s="340" t="s">
        <v>931</v>
      </c>
      <c r="E397" s="341">
        <v>193</v>
      </c>
      <c r="F397" s="340"/>
      <c r="G397" s="340"/>
      <c r="H397" s="340">
        <v>0</v>
      </c>
      <c r="I397" s="340" t="s">
        <v>730</v>
      </c>
      <c r="J397" s="340"/>
      <c r="K397" s="340"/>
      <c r="L397" s="344">
        <v>41530</v>
      </c>
      <c r="M397" s="344">
        <v>41530</v>
      </c>
      <c r="N397" s="340" t="s">
        <v>1245</v>
      </c>
      <c r="O397" s="341">
        <v>700</v>
      </c>
      <c r="P397" s="341">
        <v>14050</v>
      </c>
      <c r="Q397" s="342">
        <v>10537.33</v>
      </c>
      <c r="R397" s="341">
        <v>14056</v>
      </c>
      <c r="S397" s="342">
        <v>10537.33</v>
      </c>
      <c r="T397" s="342">
        <f t="shared" si="66"/>
        <v>0</v>
      </c>
      <c r="U397" s="343">
        <v>0</v>
      </c>
      <c r="V397" s="341">
        <v>54260</v>
      </c>
      <c r="W397" s="342">
        <v>0</v>
      </c>
      <c r="X397" s="340" t="s">
        <v>574</v>
      </c>
      <c r="Y397" s="340"/>
      <c r="Z397" s="340" t="s">
        <v>1244</v>
      </c>
      <c r="AA397" s="340"/>
      <c r="AB397" s="340" t="s">
        <v>571</v>
      </c>
      <c r="AC397" s="340" t="s">
        <v>570</v>
      </c>
      <c r="AD397" s="341" t="s">
        <v>569</v>
      </c>
      <c r="AE397" s="346">
        <v>42735</v>
      </c>
      <c r="AF397" s="341" t="s">
        <v>568</v>
      </c>
      <c r="AG397" s="340">
        <v>0</v>
      </c>
      <c r="AH397" s="340">
        <v>5017.7700000000004</v>
      </c>
      <c r="AI397" s="377"/>
      <c r="AK397" s="493">
        <f t="shared" si="56"/>
        <v>9</v>
      </c>
      <c r="AL397" s="493">
        <f t="shared" si="57"/>
        <v>2013</v>
      </c>
      <c r="AM397" s="493">
        <f t="shared" si="58"/>
        <v>2020</v>
      </c>
      <c r="AN397" s="494">
        <f t="shared" si="59"/>
        <v>2020.75</v>
      </c>
      <c r="AO397" s="505">
        <f t="shared" si="60"/>
        <v>125.44440476190476</v>
      </c>
      <c r="AP397" s="505">
        <f t="shared" si="61"/>
        <v>1505.3328571428572</v>
      </c>
      <c r="AQ397" s="505">
        <f t="shared" si="62"/>
        <v>0</v>
      </c>
      <c r="AR397" s="505">
        <f t="shared" si="63"/>
        <v>10537.33</v>
      </c>
      <c r="AS397" s="505">
        <f t="shared" si="64"/>
        <v>10537.33</v>
      </c>
      <c r="AT397" s="506">
        <f t="shared" si="65"/>
        <v>0</v>
      </c>
    </row>
    <row r="398" spans="1:46">
      <c r="A398" s="341">
        <v>2112</v>
      </c>
      <c r="B398" s="345">
        <v>173802</v>
      </c>
      <c r="C398" s="341" t="s">
        <v>574</v>
      </c>
      <c r="D398" s="340" t="s">
        <v>1243</v>
      </c>
      <c r="E398" s="341">
        <v>10</v>
      </c>
      <c r="F398" s="340"/>
      <c r="G398" s="340"/>
      <c r="H398" s="340">
        <v>0</v>
      </c>
      <c r="I398" s="340" t="s">
        <v>714</v>
      </c>
      <c r="J398" s="340"/>
      <c r="K398" s="340"/>
      <c r="L398" s="344">
        <v>41455</v>
      </c>
      <c r="M398" s="344">
        <v>41455</v>
      </c>
      <c r="N398" s="340" t="s">
        <v>1235</v>
      </c>
      <c r="O398" s="341">
        <v>1200</v>
      </c>
      <c r="P398" s="341">
        <v>14050</v>
      </c>
      <c r="Q398" s="342">
        <v>32.54</v>
      </c>
      <c r="R398" s="341">
        <v>14056</v>
      </c>
      <c r="S398" s="342">
        <v>27.33</v>
      </c>
      <c r="T398" s="342">
        <f t="shared" si="66"/>
        <v>5.2100000000000009</v>
      </c>
      <c r="U398" s="343">
        <v>1.58</v>
      </c>
      <c r="V398" s="341">
        <v>54260</v>
      </c>
      <c r="W398" s="342">
        <v>0.22</v>
      </c>
      <c r="X398" s="340" t="s">
        <v>574</v>
      </c>
      <c r="Y398" s="340"/>
      <c r="Z398" s="340" t="s">
        <v>1241</v>
      </c>
      <c r="AA398" s="340"/>
      <c r="AB398" s="340" t="s">
        <v>571</v>
      </c>
      <c r="AC398" s="340" t="s">
        <v>570</v>
      </c>
      <c r="AD398" s="341" t="s">
        <v>569</v>
      </c>
      <c r="AE398" s="346">
        <v>42735</v>
      </c>
      <c r="AF398" s="341" t="s">
        <v>568</v>
      </c>
      <c r="AG398" s="340">
        <v>0</v>
      </c>
      <c r="AH398" s="340">
        <v>9.49</v>
      </c>
      <c r="AI398" s="377"/>
      <c r="AK398" s="493">
        <f t="shared" ref="AK398:AK461" si="67">MONTH($L398)</f>
        <v>6</v>
      </c>
      <c r="AL398" s="493">
        <f t="shared" ref="AL398:AL461" si="68">YEAR($L398)</f>
        <v>2013</v>
      </c>
      <c r="AM398" s="493">
        <f t="shared" ref="AM398:AM461" si="69">$AL398+($O398/100)</f>
        <v>2025</v>
      </c>
      <c r="AN398" s="494">
        <f t="shared" ref="AN398:AN461" si="70">$AM398+($AK398/12)</f>
        <v>2025.5</v>
      </c>
      <c r="AO398" s="505">
        <f t="shared" ref="AO398:AO461" si="71">IFERROR($Q398/($O398/100)/12,0)</f>
        <v>0.22597222222222221</v>
      </c>
      <c r="AP398" s="505">
        <f t="shared" ref="AP398:AP461" si="72">$AO398*12</f>
        <v>2.7116666666666664</v>
      </c>
      <c r="AQ398" s="505">
        <f t="shared" ref="AQ398:AQ461" si="73">+IF(AN398&lt;=$AI$9,0,AP398)</f>
        <v>2.7116666666666664</v>
      </c>
      <c r="AR398" s="505">
        <f t="shared" ref="AR398:AR461" si="74">+IF(AN398&lt;=$AI$10,Q398,IF((AL398+(AK398/12))&gt;=$AI$10,0,((Q398-((AN398-$AI$10)*12)*AO398))))</f>
        <v>24.85694444444465</v>
      </c>
      <c r="AS398" s="505">
        <f t="shared" ref="AS398:AS461" si="75">+IF(AN398&lt;$AI$9,Q398,AQ398+AR398)</f>
        <v>27.568611111111316</v>
      </c>
      <c r="AT398" s="506">
        <f t="shared" ref="AT398:AT461" si="76">$Q398-$AS398</f>
        <v>4.9713888888886828</v>
      </c>
    </row>
    <row r="399" spans="1:46">
      <c r="A399" s="341">
        <v>2112</v>
      </c>
      <c r="B399" s="345">
        <v>173801</v>
      </c>
      <c r="C399" s="341" t="s">
        <v>574</v>
      </c>
      <c r="D399" s="340" t="s">
        <v>1242</v>
      </c>
      <c r="E399" s="341">
        <v>10</v>
      </c>
      <c r="F399" s="340"/>
      <c r="G399" s="340"/>
      <c r="H399" s="340">
        <v>0</v>
      </c>
      <c r="I399" s="340" t="s">
        <v>714</v>
      </c>
      <c r="J399" s="340"/>
      <c r="K399" s="340"/>
      <c r="L399" s="344">
        <v>41455</v>
      </c>
      <c r="M399" s="344">
        <v>41455</v>
      </c>
      <c r="N399" s="340" t="s">
        <v>1233</v>
      </c>
      <c r="O399" s="341">
        <v>1200</v>
      </c>
      <c r="P399" s="341">
        <v>14050</v>
      </c>
      <c r="Q399" s="342">
        <v>36.14</v>
      </c>
      <c r="R399" s="341">
        <v>14056</v>
      </c>
      <c r="S399" s="342">
        <v>30.36</v>
      </c>
      <c r="T399" s="342">
        <f t="shared" si="66"/>
        <v>5.7800000000000011</v>
      </c>
      <c r="U399" s="343">
        <v>1.76</v>
      </c>
      <c r="V399" s="341">
        <v>54260</v>
      </c>
      <c r="W399" s="342">
        <v>0.25</v>
      </c>
      <c r="X399" s="340" t="s">
        <v>574</v>
      </c>
      <c r="Y399" s="340"/>
      <c r="Z399" s="340" t="s">
        <v>1241</v>
      </c>
      <c r="AA399" s="340"/>
      <c r="AB399" s="340" t="s">
        <v>571</v>
      </c>
      <c r="AC399" s="340" t="s">
        <v>570</v>
      </c>
      <c r="AD399" s="341" t="s">
        <v>569</v>
      </c>
      <c r="AE399" s="346">
        <v>42735</v>
      </c>
      <c r="AF399" s="341" t="s">
        <v>568</v>
      </c>
      <c r="AG399" s="340">
        <v>0</v>
      </c>
      <c r="AH399" s="340">
        <v>10.54</v>
      </c>
      <c r="AI399" s="377"/>
      <c r="AK399" s="493">
        <f t="shared" si="67"/>
        <v>6</v>
      </c>
      <c r="AL399" s="493">
        <f t="shared" si="68"/>
        <v>2013</v>
      </c>
      <c r="AM399" s="493">
        <f t="shared" si="69"/>
        <v>2025</v>
      </c>
      <c r="AN399" s="494">
        <f t="shared" si="70"/>
        <v>2025.5</v>
      </c>
      <c r="AO399" s="505">
        <f t="shared" si="71"/>
        <v>0.25097222222222221</v>
      </c>
      <c r="AP399" s="505">
        <f t="shared" si="72"/>
        <v>3.0116666666666667</v>
      </c>
      <c r="AQ399" s="505">
        <f t="shared" si="73"/>
        <v>3.0116666666666667</v>
      </c>
      <c r="AR399" s="505">
        <f t="shared" si="74"/>
        <v>27.606944444444672</v>
      </c>
      <c r="AS399" s="505">
        <f t="shared" si="75"/>
        <v>30.618611111111338</v>
      </c>
      <c r="AT399" s="506">
        <f t="shared" si="76"/>
        <v>5.5213888888886622</v>
      </c>
    </row>
    <row r="400" spans="1:46">
      <c r="A400" s="341">
        <v>2112</v>
      </c>
      <c r="B400" s="345">
        <v>173800</v>
      </c>
      <c r="C400" s="341">
        <v>54942</v>
      </c>
      <c r="D400" s="340" t="s">
        <v>1240</v>
      </c>
      <c r="E400" s="341">
        <v>0</v>
      </c>
      <c r="F400" s="340"/>
      <c r="G400" s="340"/>
      <c r="H400" s="340">
        <v>0</v>
      </c>
      <c r="I400" s="340" t="s">
        <v>1239</v>
      </c>
      <c r="J400" s="340"/>
      <c r="K400" s="340" t="s">
        <v>572</v>
      </c>
      <c r="L400" s="344">
        <v>41501</v>
      </c>
      <c r="M400" s="344">
        <v>41501</v>
      </c>
      <c r="N400" s="340" t="s">
        <v>1238</v>
      </c>
      <c r="O400" s="341">
        <v>300</v>
      </c>
      <c r="P400" s="341">
        <v>14040</v>
      </c>
      <c r="Q400" s="342">
        <v>6514.93</v>
      </c>
      <c r="R400" s="341">
        <v>14046</v>
      </c>
      <c r="S400" s="342">
        <v>6514.93</v>
      </c>
      <c r="T400" s="342">
        <f t="shared" si="66"/>
        <v>0</v>
      </c>
      <c r="U400" s="343">
        <v>0</v>
      </c>
      <c r="V400" s="341">
        <v>51260</v>
      </c>
      <c r="W400" s="342">
        <v>0</v>
      </c>
      <c r="X400" s="340" t="s">
        <v>574</v>
      </c>
      <c r="Y400" s="340"/>
      <c r="Z400" s="340" t="s">
        <v>1237</v>
      </c>
      <c r="AA400" s="340"/>
      <c r="AB400" s="340" t="s">
        <v>571</v>
      </c>
      <c r="AC400" s="340" t="s">
        <v>570</v>
      </c>
      <c r="AD400" s="341" t="s">
        <v>569</v>
      </c>
      <c r="AE400" s="346">
        <v>42735</v>
      </c>
      <c r="AF400" s="341" t="s">
        <v>568</v>
      </c>
      <c r="AG400" s="340">
        <v>0</v>
      </c>
      <c r="AH400" s="340">
        <v>6514.93</v>
      </c>
      <c r="AI400" s="377"/>
      <c r="AK400" s="493">
        <f t="shared" si="67"/>
        <v>8</v>
      </c>
      <c r="AL400" s="493">
        <f t="shared" si="68"/>
        <v>2013</v>
      </c>
      <c r="AM400" s="493">
        <f t="shared" si="69"/>
        <v>2016</v>
      </c>
      <c r="AN400" s="494">
        <f t="shared" si="70"/>
        <v>2016.6666666666667</v>
      </c>
      <c r="AO400" s="505">
        <f t="shared" si="71"/>
        <v>180.9702777777778</v>
      </c>
      <c r="AP400" s="505">
        <f t="shared" si="72"/>
        <v>2171.6433333333334</v>
      </c>
      <c r="AQ400" s="505">
        <f t="shared" si="73"/>
        <v>0</v>
      </c>
      <c r="AR400" s="505">
        <f t="shared" si="74"/>
        <v>6514.93</v>
      </c>
      <c r="AS400" s="505">
        <f t="shared" si="75"/>
        <v>6514.93</v>
      </c>
      <c r="AT400" s="506">
        <f t="shared" si="76"/>
        <v>0</v>
      </c>
    </row>
    <row r="401" spans="1:46">
      <c r="A401" s="341">
        <v>2112</v>
      </c>
      <c r="B401" s="345">
        <v>173799</v>
      </c>
      <c r="C401" s="341" t="s">
        <v>574</v>
      </c>
      <c r="D401" s="340" t="s">
        <v>1236</v>
      </c>
      <c r="E401" s="341">
        <v>10</v>
      </c>
      <c r="F401" s="340"/>
      <c r="G401" s="340"/>
      <c r="H401" s="340">
        <v>0</v>
      </c>
      <c r="I401" s="340" t="s">
        <v>714</v>
      </c>
      <c r="J401" s="340"/>
      <c r="K401" s="340" t="s">
        <v>671</v>
      </c>
      <c r="L401" s="344">
        <v>41455</v>
      </c>
      <c r="M401" s="344">
        <v>41455</v>
      </c>
      <c r="N401" s="340" t="s">
        <v>1235</v>
      </c>
      <c r="O401" s="341">
        <v>1200</v>
      </c>
      <c r="P401" s="341">
        <v>14050</v>
      </c>
      <c r="Q401" s="342">
        <v>5878.53</v>
      </c>
      <c r="R401" s="341">
        <v>14056</v>
      </c>
      <c r="S401" s="342">
        <v>4939.62</v>
      </c>
      <c r="T401" s="342">
        <f t="shared" si="66"/>
        <v>938.90999999999985</v>
      </c>
      <c r="U401" s="343">
        <v>285.76</v>
      </c>
      <c r="V401" s="341">
        <v>54260</v>
      </c>
      <c r="W401" s="342">
        <v>40.82</v>
      </c>
      <c r="X401" s="340" t="s">
        <v>574</v>
      </c>
      <c r="Y401" s="340"/>
      <c r="Z401" s="340">
        <v>5900</v>
      </c>
      <c r="AA401" s="340"/>
      <c r="AB401" s="340" t="s">
        <v>571</v>
      </c>
      <c r="AC401" s="340" t="s">
        <v>570</v>
      </c>
      <c r="AD401" s="341" t="s">
        <v>569</v>
      </c>
      <c r="AE401" s="346">
        <v>42735</v>
      </c>
      <c r="AF401" s="341" t="s">
        <v>568</v>
      </c>
      <c r="AG401" s="340">
        <v>0</v>
      </c>
      <c r="AH401" s="340">
        <v>1714.58</v>
      </c>
      <c r="AI401" s="377"/>
      <c r="AK401" s="493">
        <f t="shared" si="67"/>
        <v>6</v>
      </c>
      <c r="AL401" s="493">
        <f t="shared" si="68"/>
        <v>2013</v>
      </c>
      <c r="AM401" s="493">
        <f t="shared" si="69"/>
        <v>2025</v>
      </c>
      <c r="AN401" s="494">
        <f t="shared" si="70"/>
        <v>2025.5</v>
      </c>
      <c r="AO401" s="505">
        <f t="shared" si="71"/>
        <v>40.823124999999997</v>
      </c>
      <c r="AP401" s="505">
        <f t="shared" si="72"/>
        <v>489.87749999999994</v>
      </c>
      <c r="AQ401" s="505">
        <f t="shared" si="73"/>
        <v>489.87749999999994</v>
      </c>
      <c r="AR401" s="505">
        <f t="shared" si="74"/>
        <v>4490.5437500000371</v>
      </c>
      <c r="AS401" s="505">
        <f t="shared" si="75"/>
        <v>4980.4212500000367</v>
      </c>
      <c r="AT401" s="506">
        <f t="shared" si="76"/>
        <v>898.10874999996304</v>
      </c>
    </row>
    <row r="402" spans="1:46">
      <c r="A402" s="341">
        <v>2112</v>
      </c>
      <c r="B402" s="345">
        <v>173798</v>
      </c>
      <c r="C402" s="341" t="s">
        <v>574</v>
      </c>
      <c r="D402" s="340" t="s">
        <v>1234</v>
      </c>
      <c r="E402" s="341">
        <v>10</v>
      </c>
      <c r="F402" s="340"/>
      <c r="G402" s="340"/>
      <c r="H402" s="340">
        <v>0</v>
      </c>
      <c r="I402" s="340" t="s">
        <v>714</v>
      </c>
      <c r="J402" s="340"/>
      <c r="K402" s="340" t="s">
        <v>782</v>
      </c>
      <c r="L402" s="344">
        <v>41455</v>
      </c>
      <c r="M402" s="344">
        <v>41455</v>
      </c>
      <c r="N402" s="340" t="s">
        <v>1233</v>
      </c>
      <c r="O402" s="341">
        <v>1200</v>
      </c>
      <c r="P402" s="341">
        <v>14050</v>
      </c>
      <c r="Q402" s="342">
        <v>6528.93</v>
      </c>
      <c r="R402" s="341">
        <v>14056</v>
      </c>
      <c r="S402" s="342">
        <v>5486.14</v>
      </c>
      <c r="T402" s="342">
        <f t="shared" si="66"/>
        <v>1042.79</v>
      </c>
      <c r="U402" s="343">
        <v>317.38</v>
      </c>
      <c r="V402" s="341">
        <v>54260</v>
      </c>
      <c r="W402" s="342">
        <v>45.34</v>
      </c>
      <c r="X402" s="340" t="s">
        <v>574</v>
      </c>
      <c r="Y402" s="340"/>
      <c r="Z402" s="340">
        <v>5900</v>
      </c>
      <c r="AA402" s="340"/>
      <c r="AB402" s="340" t="s">
        <v>571</v>
      </c>
      <c r="AC402" s="340" t="s">
        <v>570</v>
      </c>
      <c r="AD402" s="341" t="s">
        <v>569</v>
      </c>
      <c r="AE402" s="346">
        <v>42735</v>
      </c>
      <c r="AF402" s="341" t="s">
        <v>568</v>
      </c>
      <c r="AG402" s="340">
        <v>0</v>
      </c>
      <c r="AH402" s="340">
        <v>1904.28</v>
      </c>
      <c r="AI402" s="377"/>
      <c r="AK402" s="493">
        <f t="shared" si="67"/>
        <v>6</v>
      </c>
      <c r="AL402" s="493">
        <f t="shared" si="68"/>
        <v>2013</v>
      </c>
      <c r="AM402" s="493">
        <f t="shared" si="69"/>
        <v>2025</v>
      </c>
      <c r="AN402" s="494">
        <f t="shared" si="70"/>
        <v>2025.5</v>
      </c>
      <c r="AO402" s="505">
        <f t="shared" si="71"/>
        <v>45.339791666666663</v>
      </c>
      <c r="AP402" s="505">
        <f t="shared" si="72"/>
        <v>544.07749999999999</v>
      </c>
      <c r="AQ402" s="505">
        <f t="shared" si="73"/>
        <v>544.07749999999999</v>
      </c>
      <c r="AR402" s="505">
        <f t="shared" si="74"/>
        <v>4987.3770833333747</v>
      </c>
      <c r="AS402" s="505">
        <f t="shared" si="75"/>
        <v>5531.454583333375</v>
      </c>
      <c r="AT402" s="506">
        <f t="shared" si="76"/>
        <v>997.47541666662528</v>
      </c>
    </row>
    <row r="403" spans="1:46">
      <c r="A403" s="341">
        <v>2112</v>
      </c>
      <c r="B403" s="345">
        <v>173797</v>
      </c>
      <c r="C403" s="341" t="s">
        <v>574</v>
      </c>
      <c r="D403" s="340" t="s">
        <v>1232</v>
      </c>
      <c r="E403" s="341">
        <v>0</v>
      </c>
      <c r="F403" s="340" t="s">
        <v>1231</v>
      </c>
      <c r="G403" s="340" t="s">
        <v>1230</v>
      </c>
      <c r="H403" s="340">
        <v>2004</v>
      </c>
      <c r="I403" s="340" t="s">
        <v>1229</v>
      </c>
      <c r="J403" s="340" t="s">
        <v>1228</v>
      </c>
      <c r="K403" s="340" t="s">
        <v>1227</v>
      </c>
      <c r="L403" s="344">
        <v>39407</v>
      </c>
      <c r="M403" s="344">
        <v>39407</v>
      </c>
      <c r="N403" s="340" t="s">
        <v>1226</v>
      </c>
      <c r="O403" s="341">
        <v>500</v>
      </c>
      <c r="P403" s="341">
        <v>14040</v>
      </c>
      <c r="Q403" s="342">
        <v>30747.200000000001</v>
      </c>
      <c r="R403" s="341">
        <v>14046</v>
      </c>
      <c r="S403" s="342">
        <v>30747.200000000001</v>
      </c>
      <c r="T403" s="342">
        <f t="shared" si="66"/>
        <v>0</v>
      </c>
      <c r="U403" s="343">
        <v>0</v>
      </c>
      <c r="V403" s="341">
        <v>51260</v>
      </c>
      <c r="W403" s="342">
        <v>0</v>
      </c>
      <c r="X403" s="340" t="s">
        <v>574</v>
      </c>
      <c r="Y403" s="340"/>
      <c r="Z403" s="340" t="s">
        <v>1225</v>
      </c>
      <c r="AA403" s="340" t="s">
        <v>210</v>
      </c>
      <c r="AB403" s="340" t="s">
        <v>571</v>
      </c>
      <c r="AC403" s="340" t="s">
        <v>570</v>
      </c>
      <c r="AD403" s="341" t="s">
        <v>569</v>
      </c>
      <c r="AE403" s="346">
        <v>42735</v>
      </c>
      <c r="AF403" s="341" t="s">
        <v>568</v>
      </c>
      <c r="AG403" s="340">
        <v>0</v>
      </c>
      <c r="AH403" s="340">
        <v>30747.200000000001</v>
      </c>
      <c r="AI403" s="377"/>
      <c r="AK403" s="493">
        <f t="shared" si="67"/>
        <v>11</v>
      </c>
      <c r="AL403" s="493">
        <f t="shared" si="68"/>
        <v>2007</v>
      </c>
      <c r="AM403" s="493">
        <f t="shared" si="69"/>
        <v>2012</v>
      </c>
      <c r="AN403" s="494">
        <f t="shared" si="70"/>
        <v>2012.9166666666667</v>
      </c>
      <c r="AO403" s="505">
        <f t="shared" si="71"/>
        <v>512.45333333333338</v>
      </c>
      <c r="AP403" s="505">
        <f t="shared" si="72"/>
        <v>6149.4400000000005</v>
      </c>
      <c r="AQ403" s="505">
        <f t="shared" si="73"/>
        <v>0</v>
      </c>
      <c r="AR403" s="505">
        <f t="shared" si="74"/>
        <v>30747.200000000001</v>
      </c>
      <c r="AS403" s="505">
        <f t="shared" si="75"/>
        <v>30747.200000000001</v>
      </c>
      <c r="AT403" s="506">
        <f t="shared" si="76"/>
        <v>0</v>
      </c>
    </row>
    <row r="404" spans="1:46">
      <c r="A404" s="341">
        <v>2112</v>
      </c>
      <c r="B404" s="345">
        <v>173796</v>
      </c>
      <c r="C404" s="341">
        <v>103337</v>
      </c>
      <c r="D404" s="340" t="s">
        <v>1224</v>
      </c>
      <c r="E404" s="341">
        <v>960</v>
      </c>
      <c r="F404" s="340"/>
      <c r="G404" s="340"/>
      <c r="H404" s="340">
        <v>0</v>
      </c>
      <c r="I404" s="340" t="s">
        <v>886</v>
      </c>
      <c r="J404" s="340"/>
      <c r="K404" s="340"/>
      <c r="L404" s="344">
        <v>41365</v>
      </c>
      <c r="M404" s="344">
        <v>41365</v>
      </c>
      <c r="N404" s="340" t="s">
        <v>1204</v>
      </c>
      <c r="O404" s="341">
        <v>500</v>
      </c>
      <c r="P404" s="341">
        <v>14050</v>
      </c>
      <c r="Q404" s="342">
        <v>691.5</v>
      </c>
      <c r="R404" s="341">
        <v>14056</v>
      </c>
      <c r="S404" s="342">
        <v>691.5</v>
      </c>
      <c r="T404" s="342">
        <f t="shared" si="66"/>
        <v>0</v>
      </c>
      <c r="U404" s="343">
        <v>0</v>
      </c>
      <c r="V404" s="341">
        <v>54260</v>
      </c>
      <c r="W404" s="342">
        <v>0</v>
      </c>
      <c r="X404" s="340" t="s">
        <v>574</v>
      </c>
      <c r="Y404" s="340"/>
      <c r="Z404" s="340" t="s">
        <v>1223</v>
      </c>
      <c r="AA404" s="340"/>
      <c r="AB404" s="340" t="s">
        <v>571</v>
      </c>
      <c r="AC404" s="340" t="s">
        <v>570</v>
      </c>
      <c r="AD404" s="341" t="s">
        <v>569</v>
      </c>
      <c r="AE404" s="346">
        <v>42735</v>
      </c>
      <c r="AF404" s="341" t="s">
        <v>568</v>
      </c>
      <c r="AG404" s="340">
        <v>0</v>
      </c>
      <c r="AH404" s="340">
        <v>518.63</v>
      </c>
      <c r="AI404" s="377"/>
      <c r="AK404" s="493">
        <f t="shared" si="67"/>
        <v>4</v>
      </c>
      <c r="AL404" s="493">
        <f t="shared" si="68"/>
        <v>2013</v>
      </c>
      <c r="AM404" s="493">
        <f t="shared" si="69"/>
        <v>2018</v>
      </c>
      <c r="AN404" s="494">
        <f t="shared" si="70"/>
        <v>2018.3333333333333</v>
      </c>
      <c r="AO404" s="505">
        <f t="shared" si="71"/>
        <v>11.525</v>
      </c>
      <c r="AP404" s="505">
        <f t="shared" si="72"/>
        <v>138.30000000000001</v>
      </c>
      <c r="AQ404" s="505">
        <f t="shared" si="73"/>
        <v>0</v>
      </c>
      <c r="AR404" s="505">
        <f t="shared" si="74"/>
        <v>691.5</v>
      </c>
      <c r="AS404" s="505">
        <f t="shared" si="75"/>
        <v>691.5</v>
      </c>
      <c r="AT404" s="506">
        <f t="shared" si="76"/>
        <v>0</v>
      </c>
    </row>
    <row r="405" spans="1:46">
      <c r="A405" s="341">
        <v>2112</v>
      </c>
      <c r="B405" s="345">
        <v>173795</v>
      </c>
      <c r="C405" s="341">
        <v>87711</v>
      </c>
      <c r="D405" s="340" t="s">
        <v>1222</v>
      </c>
      <c r="E405" s="341">
        <v>0</v>
      </c>
      <c r="F405" s="340"/>
      <c r="G405" s="340"/>
      <c r="H405" s="340">
        <v>0</v>
      </c>
      <c r="I405" s="340" t="s">
        <v>1221</v>
      </c>
      <c r="J405" s="340"/>
      <c r="K405" s="340" t="s">
        <v>572</v>
      </c>
      <c r="L405" s="344">
        <v>41428</v>
      </c>
      <c r="M405" s="344">
        <v>41428</v>
      </c>
      <c r="N405" s="340" t="s">
        <v>1220</v>
      </c>
      <c r="O405" s="341">
        <v>300</v>
      </c>
      <c r="P405" s="341">
        <v>14040</v>
      </c>
      <c r="Q405" s="342">
        <v>7159.82</v>
      </c>
      <c r="R405" s="341">
        <v>14046</v>
      </c>
      <c r="S405" s="342">
        <v>7159.82</v>
      </c>
      <c r="T405" s="342">
        <f t="shared" ref="T405:T468" si="77">Q405-S405</f>
        <v>0</v>
      </c>
      <c r="U405" s="343">
        <v>0</v>
      </c>
      <c r="V405" s="341">
        <v>51260</v>
      </c>
      <c r="W405" s="342">
        <v>0</v>
      </c>
      <c r="X405" s="340" t="s">
        <v>574</v>
      </c>
      <c r="Y405" s="340"/>
      <c r="Z405" s="340" t="s">
        <v>1219</v>
      </c>
      <c r="AA405" s="340"/>
      <c r="AB405" s="340" t="s">
        <v>571</v>
      </c>
      <c r="AC405" s="340" t="s">
        <v>570</v>
      </c>
      <c r="AD405" s="341" t="s">
        <v>569</v>
      </c>
      <c r="AE405" s="346">
        <v>42735</v>
      </c>
      <c r="AF405" s="341" t="s">
        <v>568</v>
      </c>
      <c r="AG405" s="340">
        <v>0</v>
      </c>
      <c r="AH405" s="340">
        <v>7159.82</v>
      </c>
      <c r="AI405" s="377"/>
      <c r="AK405" s="493">
        <f t="shared" si="67"/>
        <v>6</v>
      </c>
      <c r="AL405" s="493">
        <f t="shared" si="68"/>
        <v>2013</v>
      </c>
      <c r="AM405" s="493">
        <f t="shared" si="69"/>
        <v>2016</v>
      </c>
      <c r="AN405" s="494">
        <f t="shared" si="70"/>
        <v>2016.5</v>
      </c>
      <c r="AO405" s="505">
        <f t="shared" si="71"/>
        <v>198.88388888888889</v>
      </c>
      <c r="AP405" s="505">
        <f t="shared" si="72"/>
        <v>2386.6066666666666</v>
      </c>
      <c r="AQ405" s="505">
        <f t="shared" si="73"/>
        <v>0</v>
      </c>
      <c r="AR405" s="505">
        <f t="shared" si="74"/>
        <v>7159.82</v>
      </c>
      <c r="AS405" s="505">
        <f t="shared" si="75"/>
        <v>7159.82</v>
      </c>
      <c r="AT405" s="506">
        <f t="shared" si="76"/>
        <v>0</v>
      </c>
    </row>
    <row r="406" spans="1:46">
      <c r="A406" s="341">
        <v>2112</v>
      </c>
      <c r="B406" s="345">
        <v>173794</v>
      </c>
      <c r="C406" s="341" t="s">
        <v>574</v>
      </c>
      <c r="D406" s="340" t="s">
        <v>869</v>
      </c>
      <c r="E406" s="341">
        <v>270</v>
      </c>
      <c r="F406" s="340"/>
      <c r="G406" s="340"/>
      <c r="H406" s="340">
        <v>0</v>
      </c>
      <c r="I406" s="340" t="s">
        <v>730</v>
      </c>
      <c r="J406" s="340"/>
      <c r="K406" s="340"/>
      <c r="L406" s="344">
        <v>41387</v>
      </c>
      <c r="M406" s="344">
        <v>41387</v>
      </c>
      <c r="N406" s="340" t="s">
        <v>1218</v>
      </c>
      <c r="O406" s="341">
        <v>700</v>
      </c>
      <c r="P406" s="341">
        <v>14050</v>
      </c>
      <c r="Q406" s="342">
        <v>9859.27</v>
      </c>
      <c r="R406" s="341">
        <v>14056</v>
      </c>
      <c r="S406" s="342">
        <v>9859.27</v>
      </c>
      <c r="T406" s="342">
        <f t="shared" si="77"/>
        <v>0</v>
      </c>
      <c r="U406" s="343">
        <v>0</v>
      </c>
      <c r="V406" s="341">
        <v>54260</v>
      </c>
      <c r="W406" s="342">
        <v>0</v>
      </c>
      <c r="X406" s="340" t="s">
        <v>574</v>
      </c>
      <c r="Y406" s="340"/>
      <c r="Z406" s="340" t="s">
        <v>1217</v>
      </c>
      <c r="AA406" s="340"/>
      <c r="AB406" s="340" t="s">
        <v>571</v>
      </c>
      <c r="AC406" s="340" t="s">
        <v>570</v>
      </c>
      <c r="AD406" s="341" t="s">
        <v>569</v>
      </c>
      <c r="AE406" s="346">
        <v>42735</v>
      </c>
      <c r="AF406" s="341" t="s">
        <v>568</v>
      </c>
      <c r="AG406" s="340">
        <v>0</v>
      </c>
      <c r="AH406" s="340">
        <v>5164.3900000000003</v>
      </c>
      <c r="AI406" s="377"/>
      <c r="AK406" s="493">
        <f t="shared" si="67"/>
        <v>4</v>
      </c>
      <c r="AL406" s="493">
        <f t="shared" si="68"/>
        <v>2013</v>
      </c>
      <c r="AM406" s="493">
        <f t="shared" si="69"/>
        <v>2020</v>
      </c>
      <c r="AN406" s="494">
        <f t="shared" si="70"/>
        <v>2020.3333333333333</v>
      </c>
      <c r="AO406" s="505">
        <f t="shared" si="71"/>
        <v>117.37226190476191</v>
      </c>
      <c r="AP406" s="505">
        <f t="shared" si="72"/>
        <v>1408.467142857143</v>
      </c>
      <c r="AQ406" s="505">
        <f t="shared" si="73"/>
        <v>0</v>
      </c>
      <c r="AR406" s="505">
        <f t="shared" si="74"/>
        <v>9859.27</v>
      </c>
      <c r="AS406" s="505">
        <f t="shared" si="75"/>
        <v>9859.27</v>
      </c>
      <c r="AT406" s="506">
        <f t="shared" si="76"/>
        <v>0</v>
      </c>
    </row>
    <row r="407" spans="1:46">
      <c r="A407" s="341">
        <v>2112</v>
      </c>
      <c r="B407" s="345">
        <v>173793</v>
      </c>
      <c r="C407" s="341" t="s">
        <v>574</v>
      </c>
      <c r="D407" s="340" t="s">
        <v>1216</v>
      </c>
      <c r="E407" s="341">
        <v>3</v>
      </c>
      <c r="F407" s="340"/>
      <c r="G407" s="340"/>
      <c r="H407" s="340">
        <v>0</v>
      </c>
      <c r="I407" s="340" t="s">
        <v>714</v>
      </c>
      <c r="J407" s="340"/>
      <c r="K407" s="340" t="s">
        <v>722</v>
      </c>
      <c r="L407" s="344">
        <v>41424</v>
      </c>
      <c r="M407" s="344">
        <v>41424</v>
      </c>
      <c r="N407" s="340" t="s">
        <v>1215</v>
      </c>
      <c r="O407" s="341">
        <v>1200</v>
      </c>
      <c r="P407" s="341">
        <v>14050</v>
      </c>
      <c r="Q407" s="342">
        <v>18255.64</v>
      </c>
      <c r="R407" s="341">
        <v>14056</v>
      </c>
      <c r="S407" s="342">
        <v>15466.56</v>
      </c>
      <c r="T407" s="342">
        <f t="shared" si="77"/>
        <v>2789.08</v>
      </c>
      <c r="U407" s="343">
        <v>887.43</v>
      </c>
      <c r="V407" s="341">
        <v>54260</v>
      </c>
      <c r="W407" s="342">
        <v>126.78</v>
      </c>
      <c r="X407" s="340" t="s">
        <v>574</v>
      </c>
      <c r="Y407" s="340"/>
      <c r="Z407" s="340">
        <v>5852</v>
      </c>
      <c r="AA407" s="340"/>
      <c r="AB407" s="340" t="s">
        <v>571</v>
      </c>
      <c r="AC407" s="340" t="s">
        <v>570</v>
      </c>
      <c r="AD407" s="341" t="s">
        <v>569</v>
      </c>
      <c r="AE407" s="346">
        <v>42735</v>
      </c>
      <c r="AF407" s="341" t="s">
        <v>568</v>
      </c>
      <c r="AG407" s="340">
        <v>0</v>
      </c>
      <c r="AH407" s="340">
        <v>5451.33</v>
      </c>
      <c r="AI407" s="377"/>
      <c r="AK407" s="493">
        <f t="shared" si="67"/>
        <v>5</v>
      </c>
      <c r="AL407" s="493">
        <f t="shared" si="68"/>
        <v>2013</v>
      </c>
      <c r="AM407" s="493">
        <f t="shared" si="69"/>
        <v>2025</v>
      </c>
      <c r="AN407" s="494">
        <f t="shared" si="70"/>
        <v>2025.4166666666667</v>
      </c>
      <c r="AO407" s="505">
        <f t="shared" si="71"/>
        <v>126.77527777777777</v>
      </c>
      <c r="AP407" s="505">
        <f t="shared" si="72"/>
        <v>1521.3033333333333</v>
      </c>
      <c r="AQ407" s="505">
        <f t="shared" si="73"/>
        <v>1521.3033333333333</v>
      </c>
      <c r="AR407" s="505">
        <f t="shared" si="74"/>
        <v>14072.055833333332</v>
      </c>
      <c r="AS407" s="505">
        <f t="shared" si="75"/>
        <v>15593.359166666665</v>
      </c>
      <c r="AT407" s="506">
        <f t="shared" si="76"/>
        <v>2662.2808333333342</v>
      </c>
    </row>
    <row r="408" spans="1:46">
      <c r="A408" s="341">
        <v>2112</v>
      </c>
      <c r="B408" s="345">
        <v>173792</v>
      </c>
      <c r="C408" s="341" t="s">
        <v>574</v>
      </c>
      <c r="D408" s="340" t="s">
        <v>1214</v>
      </c>
      <c r="E408" s="341">
        <v>3</v>
      </c>
      <c r="F408" s="340"/>
      <c r="G408" s="340"/>
      <c r="H408" s="340">
        <v>0</v>
      </c>
      <c r="I408" s="340" t="s">
        <v>714</v>
      </c>
      <c r="J408" s="340"/>
      <c r="K408" s="340" t="s">
        <v>673</v>
      </c>
      <c r="L408" s="344">
        <v>41424</v>
      </c>
      <c r="M408" s="344">
        <v>41424</v>
      </c>
      <c r="N408" s="340" t="s">
        <v>1213</v>
      </c>
      <c r="O408" s="341">
        <v>1200</v>
      </c>
      <c r="P408" s="341">
        <v>14050</v>
      </c>
      <c r="Q408" s="342">
        <v>2563.66</v>
      </c>
      <c r="R408" s="341">
        <v>14056</v>
      </c>
      <c r="S408" s="342">
        <v>2172</v>
      </c>
      <c r="T408" s="342">
        <f t="shared" si="77"/>
        <v>391.65999999999985</v>
      </c>
      <c r="U408" s="343">
        <v>124.62</v>
      </c>
      <c r="V408" s="341">
        <v>54260</v>
      </c>
      <c r="W408" s="342">
        <v>17.8</v>
      </c>
      <c r="X408" s="340" t="s">
        <v>574</v>
      </c>
      <c r="Y408" s="340"/>
      <c r="Z408" s="340" t="s">
        <v>1212</v>
      </c>
      <c r="AA408" s="340"/>
      <c r="AB408" s="340" t="s">
        <v>571</v>
      </c>
      <c r="AC408" s="340" t="s">
        <v>570</v>
      </c>
      <c r="AD408" s="341" t="s">
        <v>569</v>
      </c>
      <c r="AE408" s="346">
        <v>42735</v>
      </c>
      <c r="AF408" s="341" t="s">
        <v>568</v>
      </c>
      <c r="AG408" s="340">
        <v>0</v>
      </c>
      <c r="AH408" s="340">
        <v>765.54</v>
      </c>
      <c r="AI408" s="377"/>
      <c r="AK408" s="493">
        <f t="shared" si="67"/>
        <v>5</v>
      </c>
      <c r="AL408" s="493">
        <f t="shared" si="68"/>
        <v>2013</v>
      </c>
      <c r="AM408" s="493">
        <f t="shared" si="69"/>
        <v>2025</v>
      </c>
      <c r="AN408" s="494">
        <f t="shared" si="70"/>
        <v>2025.4166666666667</v>
      </c>
      <c r="AO408" s="505">
        <f t="shared" si="71"/>
        <v>17.803194444444443</v>
      </c>
      <c r="AP408" s="505">
        <f t="shared" si="72"/>
        <v>213.63833333333332</v>
      </c>
      <c r="AQ408" s="505">
        <f t="shared" si="73"/>
        <v>213.63833333333332</v>
      </c>
      <c r="AR408" s="505">
        <f t="shared" si="74"/>
        <v>1976.1545833333332</v>
      </c>
      <c r="AS408" s="505">
        <f t="shared" si="75"/>
        <v>2189.7929166666663</v>
      </c>
      <c r="AT408" s="506">
        <f t="shared" si="76"/>
        <v>373.86708333333354</v>
      </c>
    </row>
    <row r="409" spans="1:46">
      <c r="A409" s="341">
        <v>2112</v>
      </c>
      <c r="B409" s="345">
        <v>173791</v>
      </c>
      <c r="C409" s="341" t="s">
        <v>574</v>
      </c>
      <c r="D409" s="340" t="s">
        <v>1211</v>
      </c>
      <c r="E409" s="341">
        <v>5</v>
      </c>
      <c r="F409" s="340"/>
      <c r="G409" s="340"/>
      <c r="H409" s="340">
        <v>0</v>
      </c>
      <c r="I409" s="340" t="s">
        <v>714</v>
      </c>
      <c r="J409" s="340"/>
      <c r="K409" s="340" t="s">
        <v>782</v>
      </c>
      <c r="L409" s="344">
        <v>41424</v>
      </c>
      <c r="M409" s="344">
        <v>41424</v>
      </c>
      <c r="N409" s="340" t="s">
        <v>1210</v>
      </c>
      <c r="O409" s="341">
        <v>1200</v>
      </c>
      <c r="P409" s="341">
        <v>14050</v>
      </c>
      <c r="Q409" s="342">
        <v>2976.66</v>
      </c>
      <c r="R409" s="341">
        <v>14056</v>
      </c>
      <c r="S409" s="342">
        <v>2521.94</v>
      </c>
      <c r="T409" s="342">
        <f t="shared" si="77"/>
        <v>454.7199999999998</v>
      </c>
      <c r="U409" s="343">
        <v>144.69999999999999</v>
      </c>
      <c r="V409" s="341">
        <v>54260</v>
      </c>
      <c r="W409" s="342">
        <v>20.67</v>
      </c>
      <c r="X409" s="340" t="s">
        <v>574</v>
      </c>
      <c r="Y409" s="340"/>
      <c r="Z409" s="340">
        <v>5850</v>
      </c>
      <c r="AA409" s="340"/>
      <c r="AB409" s="340" t="s">
        <v>571</v>
      </c>
      <c r="AC409" s="340" t="s">
        <v>570</v>
      </c>
      <c r="AD409" s="341" t="s">
        <v>569</v>
      </c>
      <c r="AE409" s="346">
        <v>42735</v>
      </c>
      <c r="AF409" s="341" t="s">
        <v>568</v>
      </c>
      <c r="AG409" s="340">
        <v>0</v>
      </c>
      <c r="AH409" s="340">
        <v>888.88</v>
      </c>
      <c r="AI409" s="377"/>
      <c r="AK409" s="493">
        <f t="shared" si="67"/>
        <v>5</v>
      </c>
      <c r="AL409" s="493">
        <f t="shared" si="68"/>
        <v>2013</v>
      </c>
      <c r="AM409" s="493">
        <f t="shared" si="69"/>
        <v>2025</v>
      </c>
      <c r="AN409" s="494">
        <f t="shared" si="70"/>
        <v>2025.4166666666667</v>
      </c>
      <c r="AO409" s="505">
        <f t="shared" si="71"/>
        <v>20.671249999999997</v>
      </c>
      <c r="AP409" s="505">
        <f t="shared" si="72"/>
        <v>248.05499999999995</v>
      </c>
      <c r="AQ409" s="505">
        <f t="shared" si="73"/>
        <v>248.05499999999995</v>
      </c>
      <c r="AR409" s="505">
        <f t="shared" si="74"/>
        <v>2294.50875</v>
      </c>
      <c r="AS409" s="505">
        <f t="shared" si="75"/>
        <v>2542.5637499999998</v>
      </c>
      <c r="AT409" s="506">
        <f t="shared" si="76"/>
        <v>434.09625000000005</v>
      </c>
    </row>
    <row r="410" spans="1:46">
      <c r="A410" s="341">
        <v>2112</v>
      </c>
      <c r="B410" s="345">
        <v>173790</v>
      </c>
      <c r="C410" s="341" t="s">
        <v>574</v>
      </c>
      <c r="D410" s="340" t="s">
        <v>1209</v>
      </c>
      <c r="E410" s="341">
        <v>10</v>
      </c>
      <c r="F410" s="340"/>
      <c r="G410" s="340"/>
      <c r="H410" s="340">
        <v>0</v>
      </c>
      <c r="I410" s="340" t="s">
        <v>714</v>
      </c>
      <c r="J410" s="340"/>
      <c r="K410" s="340" t="s">
        <v>636</v>
      </c>
      <c r="L410" s="344">
        <v>41424</v>
      </c>
      <c r="M410" s="344">
        <v>41424</v>
      </c>
      <c r="N410" s="340" t="s">
        <v>1208</v>
      </c>
      <c r="O410" s="341">
        <v>1200</v>
      </c>
      <c r="P410" s="341">
        <v>14050</v>
      </c>
      <c r="Q410" s="342">
        <v>4944.12</v>
      </c>
      <c r="R410" s="341">
        <v>14056</v>
      </c>
      <c r="S410" s="342">
        <v>4188.7700000000004</v>
      </c>
      <c r="T410" s="342">
        <f t="shared" si="77"/>
        <v>755.34999999999945</v>
      </c>
      <c r="U410" s="343">
        <v>240.34</v>
      </c>
      <c r="V410" s="341">
        <v>54260</v>
      </c>
      <c r="W410" s="342">
        <v>34.33</v>
      </c>
      <c r="X410" s="340" t="s">
        <v>574</v>
      </c>
      <c r="Y410" s="340"/>
      <c r="Z410" s="340">
        <v>5849</v>
      </c>
      <c r="AA410" s="340"/>
      <c r="AB410" s="340" t="s">
        <v>571</v>
      </c>
      <c r="AC410" s="340" t="s">
        <v>570</v>
      </c>
      <c r="AD410" s="341" t="s">
        <v>569</v>
      </c>
      <c r="AE410" s="346">
        <v>42735</v>
      </c>
      <c r="AF410" s="341" t="s">
        <v>568</v>
      </c>
      <c r="AG410" s="340">
        <v>0</v>
      </c>
      <c r="AH410" s="340">
        <v>1476.37</v>
      </c>
      <c r="AI410" s="377"/>
      <c r="AK410" s="493">
        <f t="shared" si="67"/>
        <v>5</v>
      </c>
      <c r="AL410" s="493">
        <f t="shared" si="68"/>
        <v>2013</v>
      </c>
      <c r="AM410" s="493">
        <f t="shared" si="69"/>
        <v>2025</v>
      </c>
      <c r="AN410" s="494">
        <f t="shared" si="70"/>
        <v>2025.4166666666667</v>
      </c>
      <c r="AO410" s="505">
        <f t="shared" si="71"/>
        <v>34.334166666666668</v>
      </c>
      <c r="AP410" s="505">
        <f t="shared" si="72"/>
        <v>412.01</v>
      </c>
      <c r="AQ410" s="505">
        <f t="shared" si="73"/>
        <v>412.01</v>
      </c>
      <c r="AR410" s="505">
        <f t="shared" si="74"/>
        <v>3811.0924999999997</v>
      </c>
      <c r="AS410" s="505">
        <f t="shared" si="75"/>
        <v>4223.1025</v>
      </c>
      <c r="AT410" s="506">
        <f t="shared" si="76"/>
        <v>721.01749999999993</v>
      </c>
    </row>
    <row r="411" spans="1:46">
      <c r="A411" s="341">
        <v>2112</v>
      </c>
      <c r="B411" s="345">
        <v>173789</v>
      </c>
      <c r="C411" s="341" t="s">
        <v>574</v>
      </c>
      <c r="D411" s="340" t="s">
        <v>853</v>
      </c>
      <c r="E411" s="341">
        <v>243</v>
      </c>
      <c r="F411" s="340"/>
      <c r="G411" s="340"/>
      <c r="H411" s="340">
        <v>0</v>
      </c>
      <c r="I411" s="340" t="s">
        <v>730</v>
      </c>
      <c r="J411" s="340"/>
      <c r="K411" s="340"/>
      <c r="L411" s="344">
        <v>41400</v>
      </c>
      <c r="M411" s="344">
        <v>41400</v>
      </c>
      <c r="N411" s="340" t="s">
        <v>1207</v>
      </c>
      <c r="O411" s="341">
        <v>700</v>
      </c>
      <c r="P411" s="341">
        <v>14050</v>
      </c>
      <c r="Q411" s="342">
        <v>11506.99</v>
      </c>
      <c r="R411" s="341">
        <v>14056</v>
      </c>
      <c r="S411" s="342">
        <v>11506.99</v>
      </c>
      <c r="T411" s="342">
        <f t="shared" si="77"/>
        <v>0</v>
      </c>
      <c r="U411" s="343">
        <v>0</v>
      </c>
      <c r="V411" s="341">
        <v>54260</v>
      </c>
      <c r="W411" s="342">
        <v>0</v>
      </c>
      <c r="X411" s="340" t="s">
        <v>574</v>
      </c>
      <c r="Y411" s="340"/>
      <c r="Z411" s="340" t="s">
        <v>1206</v>
      </c>
      <c r="AA411" s="340"/>
      <c r="AB411" s="340" t="s">
        <v>571</v>
      </c>
      <c r="AC411" s="340" t="s">
        <v>570</v>
      </c>
      <c r="AD411" s="341" t="s">
        <v>569</v>
      </c>
      <c r="AE411" s="346">
        <v>42735</v>
      </c>
      <c r="AF411" s="341" t="s">
        <v>568</v>
      </c>
      <c r="AG411" s="340">
        <v>0</v>
      </c>
      <c r="AH411" s="340">
        <v>6027.48</v>
      </c>
      <c r="AI411" s="377"/>
      <c r="AK411" s="493">
        <f t="shared" si="67"/>
        <v>5</v>
      </c>
      <c r="AL411" s="493">
        <f t="shared" si="68"/>
        <v>2013</v>
      </c>
      <c r="AM411" s="493">
        <f t="shared" si="69"/>
        <v>2020</v>
      </c>
      <c r="AN411" s="494">
        <f t="shared" si="70"/>
        <v>2020.4166666666667</v>
      </c>
      <c r="AO411" s="505">
        <f t="shared" si="71"/>
        <v>136.98797619047619</v>
      </c>
      <c r="AP411" s="505">
        <f t="shared" si="72"/>
        <v>1643.8557142857144</v>
      </c>
      <c r="AQ411" s="505">
        <f t="shared" si="73"/>
        <v>0</v>
      </c>
      <c r="AR411" s="505">
        <f t="shared" si="74"/>
        <v>11506.99</v>
      </c>
      <c r="AS411" s="505">
        <f t="shared" si="75"/>
        <v>11506.99</v>
      </c>
      <c r="AT411" s="506">
        <f t="shared" si="76"/>
        <v>0</v>
      </c>
    </row>
    <row r="412" spans="1:46">
      <c r="A412" s="341">
        <v>2112</v>
      </c>
      <c r="B412" s="345">
        <v>173788</v>
      </c>
      <c r="C412" s="341" t="s">
        <v>574</v>
      </c>
      <c r="D412" s="340" t="s">
        <v>1205</v>
      </c>
      <c r="E412" s="341">
        <v>960</v>
      </c>
      <c r="F412" s="340"/>
      <c r="G412" s="340"/>
      <c r="H412" s="340">
        <v>0</v>
      </c>
      <c r="I412" s="340" t="s">
        <v>886</v>
      </c>
      <c r="J412" s="340"/>
      <c r="K412" s="340"/>
      <c r="L412" s="344">
        <v>41365</v>
      </c>
      <c r="M412" s="344">
        <v>41365</v>
      </c>
      <c r="N412" s="340" t="s">
        <v>1204</v>
      </c>
      <c r="O412" s="341">
        <v>500</v>
      </c>
      <c r="P412" s="341">
        <v>14050</v>
      </c>
      <c r="Q412" s="342">
        <v>6580.98</v>
      </c>
      <c r="R412" s="341">
        <v>14056</v>
      </c>
      <c r="S412" s="342">
        <v>6580.98</v>
      </c>
      <c r="T412" s="342">
        <f t="shared" si="77"/>
        <v>0</v>
      </c>
      <c r="U412" s="343">
        <v>0</v>
      </c>
      <c r="V412" s="341">
        <v>54260</v>
      </c>
      <c r="W412" s="342">
        <v>0</v>
      </c>
      <c r="X412" s="340" t="s">
        <v>574</v>
      </c>
      <c r="Y412" s="340"/>
      <c r="Z412" s="340">
        <v>21951</v>
      </c>
      <c r="AA412" s="340"/>
      <c r="AB412" s="340" t="s">
        <v>571</v>
      </c>
      <c r="AC412" s="340" t="s">
        <v>570</v>
      </c>
      <c r="AD412" s="341" t="s">
        <v>569</v>
      </c>
      <c r="AE412" s="346">
        <v>42735</v>
      </c>
      <c r="AF412" s="341" t="s">
        <v>568</v>
      </c>
      <c r="AG412" s="340">
        <v>0</v>
      </c>
      <c r="AH412" s="340">
        <v>4935.75</v>
      </c>
      <c r="AI412" s="377"/>
      <c r="AK412" s="493">
        <f t="shared" si="67"/>
        <v>4</v>
      </c>
      <c r="AL412" s="493">
        <f t="shared" si="68"/>
        <v>2013</v>
      </c>
      <c r="AM412" s="493">
        <f t="shared" si="69"/>
        <v>2018</v>
      </c>
      <c r="AN412" s="494">
        <f t="shared" si="70"/>
        <v>2018.3333333333333</v>
      </c>
      <c r="AO412" s="505">
        <f t="shared" si="71"/>
        <v>109.68299999999999</v>
      </c>
      <c r="AP412" s="505">
        <f t="shared" si="72"/>
        <v>1316.1959999999999</v>
      </c>
      <c r="AQ412" s="505">
        <f t="shared" si="73"/>
        <v>0</v>
      </c>
      <c r="AR412" s="505">
        <f t="shared" si="74"/>
        <v>6580.98</v>
      </c>
      <c r="AS412" s="505">
        <f t="shared" si="75"/>
        <v>6580.98</v>
      </c>
      <c r="AT412" s="506">
        <f t="shared" si="76"/>
        <v>0</v>
      </c>
    </row>
    <row r="413" spans="1:46">
      <c r="A413" s="341">
        <v>2112</v>
      </c>
      <c r="B413" s="345">
        <v>173787</v>
      </c>
      <c r="C413" s="341" t="s">
        <v>574</v>
      </c>
      <c r="D413" s="340" t="s">
        <v>1203</v>
      </c>
      <c r="E413" s="341">
        <v>0</v>
      </c>
      <c r="F413" s="340"/>
      <c r="G413" s="340"/>
      <c r="H413" s="340">
        <v>0</v>
      </c>
      <c r="I413" s="340" t="s">
        <v>1202</v>
      </c>
      <c r="J413" s="340"/>
      <c r="K413" s="340"/>
      <c r="L413" s="344">
        <v>41302</v>
      </c>
      <c r="M413" s="344">
        <v>41302</v>
      </c>
      <c r="N413" s="340" t="s">
        <v>1201</v>
      </c>
      <c r="O413" s="341">
        <v>500</v>
      </c>
      <c r="P413" s="341">
        <v>14070</v>
      </c>
      <c r="Q413" s="342">
        <v>4848.63</v>
      </c>
      <c r="R413" s="341">
        <v>14076</v>
      </c>
      <c r="S413" s="342">
        <v>4848.63</v>
      </c>
      <c r="T413" s="342">
        <f t="shared" si="77"/>
        <v>0</v>
      </c>
      <c r="U413" s="343">
        <v>0</v>
      </c>
      <c r="V413" s="341">
        <v>51260</v>
      </c>
      <c r="W413" s="342">
        <v>0</v>
      </c>
      <c r="X413" s="340" t="s">
        <v>574</v>
      </c>
      <c r="Y413" s="340"/>
      <c r="Z413" s="340">
        <v>130798</v>
      </c>
      <c r="AA413" s="340"/>
      <c r="AB413" s="340" t="s">
        <v>571</v>
      </c>
      <c r="AC413" s="340" t="s">
        <v>570</v>
      </c>
      <c r="AD413" s="341" t="s">
        <v>569</v>
      </c>
      <c r="AE413" s="346">
        <v>42735</v>
      </c>
      <c r="AF413" s="341" t="s">
        <v>568</v>
      </c>
      <c r="AG413" s="340">
        <v>0</v>
      </c>
      <c r="AH413" s="340">
        <v>3798.08</v>
      </c>
      <c r="AI413" s="377"/>
      <c r="AK413" s="493">
        <f t="shared" si="67"/>
        <v>1</v>
      </c>
      <c r="AL413" s="493">
        <f t="shared" si="68"/>
        <v>2013</v>
      </c>
      <c r="AM413" s="493">
        <f t="shared" si="69"/>
        <v>2018</v>
      </c>
      <c r="AN413" s="494">
        <f t="shared" si="70"/>
        <v>2018.0833333333333</v>
      </c>
      <c r="AO413" s="505">
        <f t="shared" si="71"/>
        <v>80.810500000000005</v>
      </c>
      <c r="AP413" s="505">
        <f t="shared" si="72"/>
        <v>969.72600000000011</v>
      </c>
      <c r="AQ413" s="505">
        <f t="shared" si="73"/>
        <v>0</v>
      </c>
      <c r="AR413" s="505">
        <f t="shared" si="74"/>
        <v>4848.63</v>
      </c>
      <c r="AS413" s="505">
        <f t="shared" si="75"/>
        <v>4848.63</v>
      </c>
      <c r="AT413" s="506">
        <f t="shared" si="76"/>
        <v>0</v>
      </c>
    </row>
    <row r="414" spans="1:46">
      <c r="A414" s="341">
        <v>2112</v>
      </c>
      <c r="B414" s="345">
        <v>173786</v>
      </c>
      <c r="C414" s="341" t="s">
        <v>574</v>
      </c>
      <c r="D414" s="340" t="s">
        <v>1200</v>
      </c>
      <c r="E414" s="341">
        <v>243</v>
      </c>
      <c r="F414" s="340" t="s">
        <v>1199</v>
      </c>
      <c r="G414" s="340"/>
      <c r="H414" s="340">
        <v>0</v>
      </c>
      <c r="I414" s="340" t="s">
        <v>730</v>
      </c>
      <c r="J414" s="340"/>
      <c r="K414" s="340"/>
      <c r="L414" s="344">
        <v>41215</v>
      </c>
      <c r="M414" s="344">
        <v>41215</v>
      </c>
      <c r="N414" s="340" t="s">
        <v>1198</v>
      </c>
      <c r="O414" s="341">
        <v>700</v>
      </c>
      <c r="P414" s="341">
        <v>14050</v>
      </c>
      <c r="Q414" s="342">
        <v>12783.38</v>
      </c>
      <c r="R414" s="341">
        <v>14056</v>
      </c>
      <c r="S414" s="342">
        <v>12783.38</v>
      </c>
      <c r="T414" s="342">
        <f t="shared" si="77"/>
        <v>0</v>
      </c>
      <c r="U414" s="343">
        <v>0</v>
      </c>
      <c r="V414" s="341">
        <v>54260</v>
      </c>
      <c r="W414" s="342">
        <v>0</v>
      </c>
      <c r="X414" s="340" t="s">
        <v>574</v>
      </c>
      <c r="Y414" s="340"/>
      <c r="Z414" s="340" t="s">
        <v>1197</v>
      </c>
      <c r="AA414" s="340"/>
      <c r="AB414" s="340" t="s">
        <v>571</v>
      </c>
      <c r="AC414" s="340" t="s">
        <v>570</v>
      </c>
      <c r="AD414" s="341" t="s">
        <v>569</v>
      </c>
      <c r="AE414" s="346">
        <v>42735</v>
      </c>
      <c r="AF414" s="341" t="s">
        <v>568</v>
      </c>
      <c r="AG414" s="340">
        <v>0</v>
      </c>
      <c r="AH414" s="340">
        <v>7609.17</v>
      </c>
      <c r="AI414" s="377"/>
      <c r="AK414" s="493">
        <f t="shared" si="67"/>
        <v>11</v>
      </c>
      <c r="AL414" s="493">
        <f t="shared" si="68"/>
        <v>2012</v>
      </c>
      <c r="AM414" s="493">
        <f t="shared" si="69"/>
        <v>2019</v>
      </c>
      <c r="AN414" s="494">
        <f t="shared" si="70"/>
        <v>2019.9166666666667</v>
      </c>
      <c r="AO414" s="505">
        <f t="shared" si="71"/>
        <v>152.18309523809523</v>
      </c>
      <c r="AP414" s="505">
        <f t="shared" si="72"/>
        <v>1826.1971428571428</v>
      </c>
      <c r="AQ414" s="505">
        <f t="shared" si="73"/>
        <v>0</v>
      </c>
      <c r="AR414" s="505">
        <f t="shared" si="74"/>
        <v>12783.38</v>
      </c>
      <c r="AS414" s="505">
        <f t="shared" si="75"/>
        <v>12783.38</v>
      </c>
      <c r="AT414" s="506">
        <f t="shared" si="76"/>
        <v>0</v>
      </c>
    </row>
    <row r="415" spans="1:46">
      <c r="A415" s="341">
        <v>2112</v>
      </c>
      <c r="B415" s="345">
        <v>173785</v>
      </c>
      <c r="C415" s="341" t="s">
        <v>574</v>
      </c>
      <c r="D415" s="340" t="s">
        <v>1196</v>
      </c>
      <c r="E415" s="341">
        <v>18</v>
      </c>
      <c r="F415" s="340"/>
      <c r="G415" s="340"/>
      <c r="H415" s="340">
        <v>0</v>
      </c>
      <c r="I415" s="340" t="s">
        <v>714</v>
      </c>
      <c r="J415" s="340"/>
      <c r="K415" s="340" t="s">
        <v>673</v>
      </c>
      <c r="L415" s="344">
        <v>41214</v>
      </c>
      <c r="M415" s="344">
        <v>41214</v>
      </c>
      <c r="N415" s="340" t="s">
        <v>1195</v>
      </c>
      <c r="O415" s="341">
        <v>1200</v>
      </c>
      <c r="P415" s="341">
        <v>14050</v>
      </c>
      <c r="Q415" s="342">
        <v>12121.29</v>
      </c>
      <c r="R415" s="341">
        <v>14056</v>
      </c>
      <c r="S415" s="342">
        <v>10858.68</v>
      </c>
      <c r="T415" s="342">
        <f t="shared" si="77"/>
        <v>1262.6100000000006</v>
      </c>
      <c r="U415" s="343">
        <v>589.23</v>
      </c>
      <c r="V415" s="341">
        <v>54260</v>
      </c>
      <c r="W415" s="342">
        <v>84.17</v>
      </c>
      <c r="X415" s="340" t="s">
        <v>574</v>
      </c>
      <c r="Y415" s="340"/>
      <c r="Z415" s="340">
        <v>5598</v>
      </c>
      <c r="AA415" s="340"/>
      <c r="AB415" s="340" t="s">
        <v>571</v>
      </c>
      <c r="AC415" s="340" t="s">
        <v>570</v>
      </c>
      <c r="AD415" s="341" t="s">
        <v>569</v>
      </c>
      <c r="AE415" s="346">
        <v>42735</v>
      </c>
      <c r="AF415" s="341" t="s">
        <v>568</v>
      </c>
      <c r="AG415" s="340">
        <v>0</v>
      </c>
      <c r="AH415" s="340">
        <v>4208.79</v>
      </c>
      <c r="AI415" s="377"/>
      <c r="AK415" s="493">
        <f t="shared" si="67"/>
        <v>11</v>
      </c>
      <c r="AL415" s="493">
        <f t="shared" si="68"/>
        <v>2012</v>
      </c>
      <c r="AM415" s="493">
        <f t="shared" si="69"/>
        <v>2024</v>
      </c>
      <c r="AN415" s="494">
        <f t="shared" si="70"/>
        <v>2024.9166666666667</v>
      </c>
      <c r="AO415" s="505">
        <f t="shared" si="71"/>
        <v>84.175625000000011</v>
      </c>
      <c r="AP415" s="505">
        <f t="shared" si="72"/>
        <v>1010.1075000000001</v>
      </c>
      <c r="AQ415" s="505">
        <f t="shared" si="73"/>
        <v>1010.1075000000001</v>
      </c>
      <c r="AR415" s="505">
        <f t="shared" si="74"/>
        <v>9848.5481250000012</v>
      </c>
      <c r="AS415" s="505">
        <f t="shared" si="75"/>
        <v>10858.655625000001</v>
      </c>
      <c r="AT415" s="506">
        <f t="shared" si="76"/>
        <v>1262.6343749999996</v>
      </c>
    </row>
    <row r="416" spans="1:46">
      <c r="A416" s="341">
        <v>2112</v>
      </c>
      <c r="B416" s="345">
        <v>173784</v>
      </c>
      <c r="C416" s="341" t="s">
        <v>574</v>
      </c>
      <c r="D416" s="340" t="s">
        <v>1194</v>
      </c>
      <c r="E416" s="341">
        <v>18</v>
      </c>
      <c r="F416" s="340"/>
      <c r="G416" s="340"/>
      <c r="H416" s="340">
        <v>0</v>
      </c>
      <c r="I416" s="340" t="s">
        <v>714</v>
      </c>
      <c r="J416" s="340"/>
      <c r="K416" s="340" t="s">
        <v>782</v>
      </c>
      <c r="L416" s="344">
        <v>41214</v>
      </c>
      <c r="M416" s="344">
        <v>41214</v>
      </c>
      <c r="N416" s="340" t="s">
        <v>1193</v>
      </c>
      <c r="O416" s="341">
        <v>1200</v>
      </c>
      <c r="P416" s="341">
        <v>14050</v>
      </c>
      <c r="Q416" s="342">
        <v>11867.63</v>
      </c>
      <c r="R416" s="341">
        <v>14056</v>
      </c>
      <c r="S416" s="342">
        <v>10631.43</v>
      </c>
      <c r="T416" s="342">
        <f t="shared" si="77"/>
        <v>1236.1999999999989</v>
      </c>
      <c r="U416" s="343">
        <v>576.9</v>
      </c>
      <c r="V416" s="341">
        <v>54260</v>
      </c>
      <c r="W416" s="342">
        <v>82.41</v>
      </c>
      <c r="X416" s="340" t="s">
        <v>574</v>
      </c>
      <c r="Y416" s="340"/>
      <c r="Z416" s="340">
        <v>5597</v>
      </c>
      <c r="AA416" s="340"/>
      <c r="AB416" s="340" t="s">
        <v>571</v>
      </c>
      <c r="AC416" s="340" t="s">
        <v>570</v>
      </c>
      <c r="AD416" s="341" t="s">
        <v>569</v>
      </c>
      <c r="AE416" s="346">
        <v>42735</v>
      </c>
      <c r="AF416" s="341" t="s">
        <v>568</v>
      </c>
      <c r="AG416" s="340">
        <v>0</v>
      </c>
      <c r="AH416" s="340">
        <v>4120.71</v>
      </c>
      <c r="AI416" s="377"/>
      <c r="AK416" s="493">
        <f t="shared" si="67"/>
        <v>11</v>
      </c>
      <c r="AL416" s="493">
        <f t="shared" si="68"/>
        <v>2012</v>
      </c>
      <c r="AM416" s="493">
        <f t="shared" si="69"/>
        <v>2024</v>
      </c>
      <c r="AN416" s="494">
        <f t="shared" si="70"/>
        <v>2024.9166666666667</v>
      </c>
      <c r="AO416" s="505">
        <f t="shared" si="71"/>
        <v>82.414097222222225</v>
      </c>
      <c r="AP416" s="505">
        <f t="shared" si="72"/>
        <v>988.96916666666675</v>
      </c>
      <c r="AQ416" s="505">
        <f t="shared" si="73"/>
        <v>988.96916666666675</v>
      </c>
      <c r="AR416" s="505">
        <f t="shared" si="74"/>
        <v>9642.4493750000001</v>
      </c>
      <c r="AS416" s="505">
        <f t="shared" si="75"/>
        <v>10631.418541666666</v>
      </c>
      <c r="AT416" s="506">
        <f t="shared" si="76"/>
        <v>1236.2114583333332</v>
      </c>
    </row>
    <row r="417" spans="1:46">
      <c r="A417" s="341">
        <v>2112</v>
      </c>
      <c r="B417" s="345">
        <v>173783</v>
      </c>
      <c r="C417" s="341" t="s">
        <v>574</v>
      </c>
      <c r="D417" s="340" t="s">
        <v>543</v>
      </c>
      <c r="E417" s="341">
        <v>20</v>
      </c>
      <c r="F417" s="340"/>
      <c r="G417" s="340"/>
      <c r="H417" s="340">
        <v>0</v>
      </c>
      <c r="I417" s="340" t="s">
        <v>765</v>
      </c>
      <c r="J417" s="340"/>
      <c r="K417" s="340" t="s">
        <v>636</v>
      </c>
      <c r="L417" s="344">
        <v>41149</v>
      </c>
      <c r="M417" s="344">
        <v>41149</v>
      </c>
      <c r="N417" s="340" t="s">
        <v>1192</v>
      </c>
      <c r="O417" s="341">
        <v>1200</v>
      </c>
      <c r="P417" s="341">
        <v>14050</v>
      </c>
      <c r="Q417" s="342">
        <v>10644.88</v>
      </c>
      <c r="R417" s="341">
        <v>14056</v>
      </c>
      <c r="S417" s="342">
        <v>9683.85</v>
      </c>
      <c r="T417" s="342">
        <f t="shared" si="77"/>
        <v>961.02999999999884</v>
      </c>
      <c r="U417" s="343">
        <v>517.46</v>
      </c>
      <c r="V417" s="341">
        <v>54260</v>
      </c>
      <c r="W417" s="342">
        <v>73.92</v>
      </c>
      <c r="X417" s="340" t="s">
        <v>574</v>
      </c>
      <c r="Y417" s="340"/>
      <c r="Z417" s="340">
        <v>5515</v>
      </c>
      <c r="AA417" s="340"/>
      <c r="AB417" s="340" t="s">
        <v>571</v>
      </c>
      <c r="AC417" s="340" t="s">
        <v>570</v>
      </c>
      <c r="AD417" s="341" t="s">
        <v>569</v>
      </c>
      <c r="AE417" s="346">
        <v>42735</v>
      </c>
      <c r="AF417" s="341" t="s">
        <v>568</v>
      </c>
      <c r="AG417" s="340">
        <v>0</v>
      </c>
      <c r="AH417" s="340">
        <v>3843.97</v>
      </c>
      <c r="AI417" s="377"/>
      <c r="AK417" s="493">
        <f t="shared" si="67"/>
        <v>8</v>
      </c>
      <c r="AL417" s="493">
        <f t="shared" si="68"/>
        <v>2012</v>
      </c>
      <c r="AM417" s="493">
        <f t="shared" si="69"/>
        <v>2024</v>
      </c>
      <c r="AN417" s="494">
        <f t="shared" si="70"/>
        <v>2024.6666666666667</v>
      </c>
      <c r="AO417" s="505">
        <f t="shared" si="71"/>
        <v>73.922777777777767</v>
      </c>
      <c r="AP417" s="505">
        <f t="shared" si="72"/>
        <v>887.07333333333327</v>
      </c>
      <c r="AQ417" s="505">
        <f t="shared" si="73"/>
        <v>887.07333333333327</v>
      </c>
      <c r="AR417" s="505">
        <f t="shared" si="74"/>
        <v>8870.7333333333336</v>
      </c>
      <c r="AS417" s="505">
        <f t="shared" si="75"/>
        <v>9757.8066666666673</v>
      </c>
      <c r="AT417" s="506">
        <f t="shared" si="76"/>
        <v>887.0733333333319</v>
      </c>
    </row>
    <row r="418" spans="1:46">
      <c r="A418" s="341">
        <v>2112</v>
      </c>
      <c r="B418" s="345">
        <v>173782</v>
      </c>
      <c r="C418" s="341" t="s">
        <v>574</v>
      </c>
      <c r="D418" s="340" t="s">
        <v>1191</v>
      </c>
      <c r="E418" s="341">
        <v>80</v>
      </c>
      <c r="F418" s="340" t="s">
        <v>1190</v>
      </c>
      <c r="G418" s="340"/>
      <c r="H418" s="340">
        <v>0</v>
      </c>
      <c r="I418" s="340" t="s">
        <v>730</v>
      </c>
      <c r="J418" s="340"/>
      <c r="K418" s="340"/>
      <c r="L418" s="344">
        <v>41096</v>
      </c>
      <c r="M418" s="344">
        <v>41096</v>
      </c>
      <c r="N418" s="340" t="s">
        <v>1189</v>
      </c>
      <c r="O418" s="341">
        <v>700</v>
      </c>
      <c r="P418" s="341">
        <v>14050</v>
      </c>
      <c r="Q418" s="342">
        <v>4260.12</v>
      </c>
      <c r="R418" s="341">
        <v>14056</v>
      </c>
      <c r="S418" s="342">
        <v>4260.12</v>
      </c>
      <c r="T418" s="342">
        <f t="shared" si="77"/>
        <v>0</v>
      </c>
      <c r="U418" s="343">
        <v>0</v>
      </c>
      <c r="V418" s="341">
        <v>54260</v>
      </c>
      <c r="W418" s="342">
        <v>0</v>
      </c>
      <c r="X418" s="340" t="s">
        <v>574</v>
      </c>
      <c r="Y418" s="340"/>
      <c r="Z418" s="340" t="s">
        <v>1188</v>
      </c>
      <c r="AA418" s="340"/>
      <c r="AB418" s="340" t="s">
        <v>571</v>
      </c>
      <c r="AC418" s="340" t="s">
        <v>570</v>
      </c>
      <c r="AD418" s="341" t="s">
        <v>569</v>
      </c>
      <c r="AE418" s="346">
        <v>42735</v>
      </c>
      <c r="AF418" s="341" t="s">
        <v>568</v>
      </c>
      <c r="AG418" s="340">
        <v>0</v>
      </c>
      <c r="AH418" s="340">
        <v>2738.66</v>
      </c>
      <c r="AI418" s="377"/>
      <c r="AK418" s="493">
        <f t="shared" si="67"/>
        <v>7</v>
      </c>
      <c r="AL418" s="493">
        <f t="shared" si="68"/>
        <v>2012</v>
      </c>
      <c r="AM418" s="493">
        <f t="shared" si="69"/>
        <v>2019</v>
      </c>
      <c r="AN418" s="494">
        <f t="shared" si="70"/>
        <v>2019.5833333333333</v>
      </c>
      <c r="AO418" s="505">
        <f t="shared" si="71"/>
        <v>50.715714285714284</v>
      </c>
      <c r="AP418" s="505">
        <f t="shared" si="72"/>
        <v>608.58857142857141</v>
      </c>
      <c r="AQ418" s="505">
        <f t="shared" si="73"/>
        <v>0</v>
      </c>
      <c r="AR418" s="505">
        <f t="shared" si="74"/>
        <v>4260.12</v>
      </c>
      <c r="AS418" s="505">
        <f t="shared" si="75"/>
        <v>4260.12</v>
      </c>
      <c r="AT418" s="506">
        <f t="shared" si="76"/>
        <v>0</v>
      </c>
    </row>
    <row r="419" spans="1:46">
      <c r="A419" s="341">
        <v>2112</v>
      </c>
      <c r="B419" s="345">
        <v>173781</v>
      </c>
      <c r="C419" s="341" t="s">
        <v>574</v>
      </c>
      <c r="D419" s="340" t="s">
        <v>1187</v>
      </c>
      <c r="E419" s="341">
        <v>100</v>
      </c>
      <c r="F419" s="340" t="s">
        <v>1186</v>
      </c>
      <c r="G419" s="340"/>
      <c r="H419" s="340">
        <v>0</v>
      </c>
      <c r="I419" s="340" t="s">
        <v>730</v>
      </c>
      <c r="J419" s="340"/>
      <c r="K419" s="340"/>
      <c r="L419" s="344">
        <v>41096</v>
      </c>
      <c r="M419" s="344">
        <v>41096</v>
      </c>
      <c r="N419" s="340" t="s">
        <v>1185</v>
      </c>
      <c r="O419" s="341">
        <v>700</v>
      </c>
      <c r="P419" s="341">
        <v>14050</v>
      </c>
      <c r="Q419" s="342">
        <v>5325.7</v>
      </c>
      <c r="R419" s="341">
        <v>14056</v>
      </c>
      <c r="S419" s="342">
        <v>5325.7</v>
      </c>
      <c r="T419" s="342">
        <f t="shared" si="77"/>
        <v>0</v>
      </c>
      <c r="U419" s="343">
        <v>0</v>
      </c>
      <c r="V419" s="341">
        <v>54260</v>
      </c>
      <c r="W419" s="342">
        <v>0</v>
      </c>
      <c r="X419" s="340" t="s">
        <v>574</v>
      </c>
      <c r="Y419" s="340"/>
      <c r="Z419" s="340" t="s">
        <v>1184</v>
      </c>
      <c r="AA419" s="340"/>
      <c r="AB419" s="340" t="s">
        <v>571</v>
      </c>
      <c r="AC419" s="340" t="s">
        <v>570</v>
      </c>
      <c r="AD419" s="341" t="s">
        <v>569</v>
      </c>
      <c r="AE419" s="346">
        <v>42735</v>
      </c>
      <c r="AF419" s="341" t="s">
        <v>568</v>
      </c>
      <c r="AG419" s="340">
        <v>0</v>
      </c>
      <c r="AH419" s="340">
        <v>3423.69</v>
      </c>
      <c r="AI419" s="377"/>
      <c r="AK419" s="493">
        <f t="shared" si="67"/>
        <v>7</v>
      </c>
      <c r="AL419" s="493">
        <f t="shared" si="68"/>
        <v>2012</v>
      </c>
      <c r="AM419" s="493">
        <f t="shared" si="69"/>
        <v>2019</v>
      </c>
      <c r="AN419" s="494">
        <f t="shared" si="70"/>
        <v>2019.5833333333333</v>
      </c>
      <c r="AO419" s="505">
        <f t="shared" si="71"/>
        <v>63.401190476190472</v>
      </c>
      <c r="AP419" s="505">
        <f t="shared" si="72"/>
        <v>760.81428571428569</v>
      </c>
      <c r="AQ419" s="505">
        <f t="shared" si="73"/>
        <v>0</v>
      </c>
      <c r="AR419" s="505">
        <f t="shared" si="74"/>
        <v>5325.7</v>
      </c>
      <c r="AS419" s="505">
        <f t="shared" si="75"/>
        <v>5325.7</v>
      </c>
      <c r="AT419" s="506">
        <f t="shared" si="76"/>
        <v>0</v>
      </c>
    </row>
    <row r="420" spans="1:46">
      <c r="A420" s="341">
        <v>2112</v>
      </c>
      <c r="B420" s="345">
        <v>173780</v>
      </c>
      <c r="C420" s="341" t="s">
        <v>574</v>
      </c>
      <c r="D420" s="340" t="s">
        <v>1171</v>
      </c>
      <c r="E420" s="341">
        <v>306</v>
      </c>
      <c r="F420" s="340" t="s">
        <v>1183</v>
      </c>
      <c r="G420" s="340"/>
      <c r="H420" s="340">
        <v>0</v>
      </c>
      <c r="I420" s="340" t="s">
        <v>730</v>
      </c>
      <c r="J420" s="340"/>
      <c r="K420" s="340"/>
      <c r="L420" s="344">
        <v>41096</v>
      </c>
      <c r="M420" s="344">
        <v>41096</v>
      </c>
      <c r="N420" s="340" t="s">
        <v>1182</v>
      </c>
      <c r="O420" s="341">
        <v>700</v>
      </c>
      <c r="P420" s="341">
        <v>14050</v>
      </c>
      <c r="Q420" s="342">
        <v>16296.32</v>
      </c>
      <c r="R420" s="341">
        <v>14056</v>
      </c>
      <c r="S420" s="342">
        <v>16296.32</v>
      </c>
      <c r="T420" s="342">
        <f t="shared" si="77"/>
        <v>0</v>
      </c>
      <c r="U420" s="343">
        <v>0</v>
      </c>
      <c r="V420" s="341">
        <v>54260</v>
      </c>
      <c r="W420" s="342">
        <v>0</v>
      </c>
      <c r="X420" s="340" t="s">
        <v>574</v>
      </c>
      <c r="Y420" s="340"/>
      <c r="Z420" s="340" t="s">
        <v>1181</v>
      </c>
      <c r="AA420" s="340"/>
      <c r="AB420" s="340" t="s">
        <v>571</v>
      </c>
      <c r="AC420" s="340" t="s">
        <v>570</v>
      </c>
      <c r="AD420" s="341" t="s">
        <v>569</v>
      </c>
      <c r="AE420" s="346">
        <v>42735</v>
      </c>
      <c r="AF420" s="341" t="s">
        <v>568</v>
      </c>
      <c r="AG420" s="340">
        <v>0</v>
      </c>
      <c r="AH420" s="340">
        <v>10476.219999999999</v>
      </c>
      <c r="AI420" s="377"/>
      <c r="AK420" s="493">
        <f t="shared" si="67"/>
        <v>7</v>
      </c>
      <c r="AL420" s="493">
        <f t="shared" si="68"/>
        <v>2012</v>
      </c>
      <c r="AM420" s="493">
        <f t="shared" si="69"/>
        <v>2019</v>
      </c>
      <c r="AN420" s="494">
        <f t="shared" si="70"/>
        <v>2019.5833333333333</v>
      </c>
      <c r="AO420" s="505">
        <f t="shared" si="71"/>
        <v>194.00380952380954</v>
      </c>
      <c r="AP420" s="505">
        <f t="shared" si="72"/>
        <v>2328.0457142857144</v>
      </c>
      <c r="AQ420" s="505">
        <f t="shared" si="73"/>
        <v>0</v>
      </c>
      <c r="AR420" s="505">
        <f t="shared" si="74"/>
        <v>16296.32</v>
      </c>
      <c r="AS420" s="505">
        <f t="shared" si="75"/>
        <v>16296.32</v>
      </c>
      <c r="AT420" s="506">
        <f t="shared" si="76"/>
        <v>0</v>
      </c>
    </row>
    <row r="421" spans="1:46">
      <c r="A421" s="341">
        <v>2112</v>
      </c>
      <c r="B421" s="345">
        <v>173779</v>
      </c>
      <c r="C421" s="341" t="s">
        <v>574</v>
      </c>
      <c r="D421" s="340" t="s">
        <v>253</v>
      </c>
      <c r="E421" s="341">
        <v>0</v>
      </c>
      <c r="F421" s="340"/>
      <c r="G421" s="340"/>
      <c r="H421" s="340">
        <v>0</v>
      </c>
      <c r="I421" s="340" t="s">
        <v>831</v>
      </c>
      <c r="J421" s="340"/>
      <c r="K421" s="340"/>
      <c r="L421" s="344">
        <v>41029</v>
      </c>
      <c r="M421" s="344">
        <v>41029</v>
      </c>
      <c r="N421" s="340" t="s">
        <v>841</v>
      </c>
      <c r="O421" s="341">
        <v>300</v>
      </c>
      <c r="P421" s="341">
        <v>14110</v>
      </c>
      <c r="Q421" s="342">
        <v>466.06</v>
      </c>
      <c r="R421" s="341">
        <v>14116</v>
      </c>
      <c r="S421" s="342">
        <v>466.06</v>
      </c>
      <c r="T421" s="342">
        <f t="shared" si="77"/>
        <v>0</v>
      </c>
      <c r="U421" s="343">
        <v>0</v>
      </c>
      <c r="V421" s="341">
        <v>70260</v>
      </c>
      <c r="W421" s="342">
        <v>0</v>
      </c>
      <c r="X421" s="340" t="s">
        <v>574</v>
      </c>
      <c r="Y421" s="340"/>
      <c r="Z421" s="340" t="s">
        <v>840</v>
      </c>
      <c r="AA421" s="340"/>
      <c r="AB421" s="340" t="s">
        <v>571</v>
      </c>
      <c r="AC421" s="340" t="s">
        <v>570</v>
      </c>
      <c r="AD421" s="341" t="s">
        <v>569</v>
      </c>
      <c r="AE421" s="346">
        <v>42735</v>
      </c>
      <c r="AF421" s="341" t="s">
        <v>568</v>
      </c>
      <c r="AG421" s="340">
        <v>0</v>
      </c>
      <c r="AH421" s="340">
        <v>466.06</v>
      </c>
      <c r="AI421" s="377"/>
      <c r="AK421" s="493">
        <f t="shared" si="67"/>
        <v>4</v>
      </c>
      <c r="AL421" s="493">
        <f t="shared" si="68"/>
        <v>2012</v>
      </c>
      <c r="AM421" s="493">
        <f t="shared" si="69"/>
        <v>2015</v>
      </c>
      <c r="AN421" s="494">
        <f t="shared" si="70"/>
        <v>2015.3333333333333</v>
      </c>
      <c r="AO421" s="505">
        <f t="shared" si="71"/>
        <v>12.94611111111111</v>
      </c>
      <c r="AP421" s="505">
        <f t="shared" si="72"/>
        <v>155.35333333333332</v>
      </c>
      <c r="AQ421" s="505">
        <f t="shared" si="73"/>
        <v>0</v>
      </c>
      <c r="AR421" s="505">
        <f t="shared" si="74"/>
        <v>466.06</v>
      </c>
      <c r="AS421" s="505">
        <f t="shared" si="75"/>
        <v>466.06</v>
      </c>
      <c r="AT421" s="506">
        <f t="shared" si="76"/>
        <v>0</v>
      </c>
    </row>
    <row r="422" spans="1:46">
      <c r="A422" s="341">
        <v>2112</v>
      </c>
      <c r="B422" s="345">
        <v>173778</v>
      </c>
      <c r="C422" s="341" t="s">
        <v>574</v>
      </c>
      <c r="D422" s="340" t="s">
        <v>545</v>
      </c>
      <c r="E422" s="341">
        <v>8</v>
      </c>
      <c r="F422" s="340"/>
      <c r="G422" s="340"/>
      <c r="H422" s="340">
        <v>0</v>
      </c>
      <c r="I422" s="340" t="s">
        <v>707</v>
      </c>
      <c r="J422" s="340"/>
      <c r="K422" s="340" t="s">
        <v>673</v>
      </c>
      <c r="L422" s="344">
        <v>41000</v>
      </c>
      <c r="M422" s="344">
        <v>41000</v>
      </c>
      <c r="N422" s="340" t="s">
        <v>1180</v>
      </c>
      <c r="O422" s="341">
        <v>1200</v>
      </c>
      <c r="P422" s="341">
        <v>14050</v>
      </c>
      <c r="Q422" s="342">
        <v>7457.92</v>
      </c>
      <c r="R422" s="341">
        <v>14056</v>
      </c>
      <c r="S422" s="342">
        <v>7043.56</v>
      </c>
      <c r="T422" s="342">
        <f t="shared" si="77"/>
        <v>414.35999999999967</v>
      </c>
      <c r="U422" s="343">
        <v>362.54</v>
      </c>
      <c r="V422" s="341">
        <v>54260</v>
      </c>
      <c r="W422" s="342">
        <v>51.79</v>
      </c>
      <c r="X422" s="340" t="s">
        <v>574</v>
      </c>
      <c r="Y422" s="340"/>
      <c r="Z422" s="340">
        <v>68347</v>
      </c>
      <c r="AA422" s="340"/>
      <c r="AB422" s="340" t="s">
        <v>571</v>
      </c>
      <c r="AC422" s="340" t="s">
        <v>570</v>
      </c>
      <c r="AD422" s="341" t="s">
        <v>569</v>
      </c>
      <c r="AE422" s="346">
        <v>42735</v>
      </c>
      <c r="AF422" s="341" t="s">
        <v>568</v>
      </c>
      <c r="AG422" s="340">
        <v>0</v>
      </c>
      <c r="AH422" s="340">
        <v>2952.08</v>
      </c>
      <c r="AI422" s="377"/>
      <c r="AK422" s="493">
        <f t="shared" si="67"/>
        <v>4</v>
      </c>
      <c r="AL422" s="493">
        <f t="shared" si="68"/>
        <v>2012</v>
      </c>
      <c r="AM422" s="493">
        <f t="shared" si="69"/>
        <v>2024</v>
      </c>
      <c r="AN422" s="494">
        <f t="shared" si="70"/>
        <v>2024.3333333333333</v>
      </c>
      <c r="AO422" s="505">
        <f t="shared" si="71"/>
        <v>51.791111111111114</v>
      </c>
      <c r="AP422" s="505">
        <f t="shared" si="72"/>
        <v>621.49333333333334</v>
      </c>
      <c r="AQ422" s="505">
        <f t="shared" si="73"/>
        <v>621.49333333333334</v>
      </c>
      <c r="AR422" s="505">
        <f t="shared" si="74"/>
        <v>6422.0977777778717</v>
      </c>
      <c r="AS422" s="505">
        <f t="shared" si="75"/>
        <v>7043.5911111112055</v>
      </c>
      <c r="AT422" s="506">
        <f t="shared" si="76"/>
        <v>414.32888888879461</v>
      </c>
    </row>
    <row r="423" spans="1:46">
      <c r="A423" s="341">
        <v>2112</v>
      </c>
      <c r="B423" s="345">
        <v>173777</v>
      </c>
      <c r="C423" s="341" t="s">
        <v>574</v>
      </c>
      <c r="D423" s="340" t="s">
        <v>809</v>
      </c>
      <c r="E423" s="341">
        <v>960</v>
      </c>
      <c r="F423" s="340"/>
      <c r="G423" s="340"/>
      <c r="H423" s="340">
        <v>0</v>
      </c>
      <c r="I423" s="340" t="s">
        <v>886</v>
      </c>
      <c r="J423" s="340"/>
      <c r="K423" s="340"/>
      <c r="L423" s="344">
        <v>40969</v>
      </c>
      <c r="M423" s="344">
        <v>40969</v>
      </c>
      <c r="N423" s="340" t="s">
        <v>1179</v>
      </c>
      <c r="O423" s="341">
        <v>500</v>
      </c>
      <c r="P423" s="341">
        <v>14050</v>
      </c>
      <c r="Q423" s="342">
        <v>7024.32</v>
      </c>
      <c r="R423" s="341">
        <v>14056</v>
      </c>
      <c r="S423" s="342">
        <v>7024.32</v>
      </c>
      <c r="T423" s="342">
        <f t="shared" si="77"/>
        <v>0</v>
      </c>
      <c r="U423" s="343">
        <v>0</v>
      </c>
      <c r="V423" s="341">
        <v>54260</v>
      </c>
      <c r="W423" s="342">
        <v>0</v>
      </c>
      <c r="X423" s="340" t="s">
        <v>574</v>
      </c>
      <c r="Y423" s="340"/>
      <c r="Z423" s="340">
        <v>20706</v>
      </c>
      <c r="AA423" s="340"/>
      <c r="AB423" s="340" t="s">
        <v>571</v>
      </c>
      <c r="AC423" s="340" t="s">
        <v>570</v>
      </c>
      <c r="AD423" s="341" t="s">
        <v>569</v>
      </c>
      <c r="AE423" s="346">
        <v>42735</v>
      </c>
      <c r="AF423" s="341" t="s">
        <v>568</v>
      </c>
      <c r="AG423" s="340">
        <v>0</v>
      </c>
      <c r="AH423" s="340">
        <v>6790.16</v>
      </c>
      <c r="AI423" s="377"/>
      <c r="AK423" s="493">
        <f t="shared" si="67"/>
        <v>3</v>
      </c>
      <c r="AL423" s="493">
        <f t="shared" si="68"/>
        <v>2012</v>
      </c>
      <c r="AM423" s="493">
        <f t="shared" si="69"/>
        <v>2017</v>
      </c>
      <c r="AN423" s="494">
        <f t="shared" si="70"/>
        <v>2017.25</v>
      </c>
      <c r="AO423" s="505">
        <f t="shared" si="71"/>
        <v>117.072</v>
      </c>
      <c r="AP423" s="505">
        <f t="shared" si="72"/>
        <v>1404.864</v>
      </c>
      <c r="AQ423" s="505">
        <f t="shared" si="73"/>
        <v>0</v>
      </c>
      <c r="AR423" s="505">
        <f t="shared" si="74"/>
        <v>7024.32</v>
      </c>
      <c r="AS423" s="505">
        <f t="shared" si="75"/>
        <v>7024.32</v>
      </c>
      <c r="AT423" s="506">
        <f t="shared" si="76"/>
        <v>0</v>
      </c>
    </row>
    <row r="424" spans="1:46">
      <c r="A424" s="341">
        <v>2112</v>
      </c>
      <c r="B424" s="345">
        <v>173776</v>
      </c>
      <c r="C424" s="341" t="s">
        <v>574</v>
      </c>
      <c r="D424" s="340" t="s">
        <v>1178</v>
      </c>
      <c r="E424" s="341">
        <v>0</v>
      </c>
      <c r="F424" s="340"/>
      <c r="G424" s="340"/>
      <c r="H424" s="340">
        <v>0</v>
      </c>
      <c r="I424" s="340" t="s">
        <v>1177</v>
      </c>
      <c r="J424" s="340"/>
      <c r="K424" s="340"/>
      <c r="L424" s="344">
        <v>40933</v>
      </c>
      <c r="M424" s="344">
        <v>40933</v>
      </c>
      <c r="N424" s="340" t="s">
        <v>1176</v>
      </c>
      <c r="O424" s="341">
        <v>500</v>
      </c>
      <c r="P424" s="341">
        <v>14110</v>
      </c>
      <c r="Q424" s="342">
        <v>562.89</v>
      </c>
      <c r="R424" s="341">
        <v>14116</v>
      </c>
      <c r="S424" s="342">
        <v>562.89</v>
      </c>
      <c r="T424" s="342">
        <f t="shared" si="77"/>
        <v>0</v>
      </c>
      <c r="U424" s="343">
        <v>0</v>
      </c>
      <c r="V424" s="341">
        <v>70260</v>
      </c>
      <c r="W424" s="342">
        <v>0</v>
      </c>
      <c r="X424" s="340" t="s">
        <v>574</v>
      </c>
      <c r="Y424" s="340"/>
      <c r="Z424" s="340" t="s">
        <v>1175</v>
      </c>
      <c r="AA424" s="340"/>
      <c r="AB424" s="340" t="s">
        <v>571</v>
      </c>
      <c r="AC424" s="340" t="s">
        <v>570</v>
      </c>
      <c r="AD424" s="341" t="s">
        <v>569</v>
      </c>
      <c r="AE424" s="346">
        <v>42735</v>
      </c>
      <c r="AF424" s="341" t="s">
        <v>568</v>
      </c>
      <c r="AG424" s="340">
        <v>0</v>
      </c>
      <c r="AH424" s="340">
        <v>553.51</v>
      </c>
      <c r="AI424" s="377"/>
      <c r="AK424" s="493">
        <f t="shared" si="67"/>
        <v>1</v>
      </c>
      <c r="AL424" s="493">
        <f t="shared" si="68"/>
        <v>2012</v>
      </c>
      <c r="AM424" s="493">
        <f t="shared" si="69"/>
        <v>2017</v>
      </c>
      <c r="AN424" s="494">
        <f t="shared" si="70"/>
        <v>2017.0833333333333</v>
      </c>
      <c r="AO424" s="505">
        <f t="shared" si="71"/>
        <v>9.3815000000000008</v>
      </c>
      <c r="AP424" s="505">
        <f t="shared" si="72"/>
        <v>112.578</v>
      </c>
      <c r="AQ424" s="505">
        <f t="shared" si="73"/>
        <v>0</v>
      </c>
      <c r="AR424" s="505">
        <f t="shared" si="74"/>
        <v>562.89</v>
      </c>
      <c r="AS424" s="505">
        <f t="shared" si="75"/>
        <v>562.89</v>
      </c>
      <c r="AT424" s="506">
        <f t="shared" si="76"/>
        <v>0</v>
      </c>
    </row>
    <row r="425" spans="1:46">
      <c r="A425" s="341">
        <v>2112</v>
      </c>
      <c r="B425" s="345">
        <v>173775</v>
      </c>
      <c r="C425" s="341" t="s">
        <v>574</v>
      </c>
      <c r="D425" s="340" t="s">
        <v>1174</v>
      </c>
      <c r="E425" s="341">
        <v>0</v>
      </c>
      <c r="F425" s="340"/>
      <c r="G425" s="340"/>
      <c r="H425" s="340">
        <v>0</v>
      </c>
      <c r="I425" s="340" t="s">
        <v>1173</v>
      </c>
      <c r="J425" s="340"/>
      <c r="K425" s="340"/>
      <c r="L425" s="344">
        <v>40905</v>
      </c>
      <c r="M425" s="344">
        <v>40905</v>
      </c>
      <c r="N425" s="340" t="s">
        <v>1172</v>
      </c>
      <c r="O425" s="341">
        <v>500</v>
      </c>
      <c r="P425" s="341">
        <v>14070</v>
      </c>
      <c r="Q425" s="342">
        <v>4747.92</v>
      </c>
      <c r="R425" s="341">
        <v>14076</v>
      </c>
      <c r="S425" s="342">
        <v>4747.92</v>
      </c>
      <c r="T425" s="342">
        <f t="shared" si="77"/>
        <v>0</v>
      </c>
      <c r="U425" s="343">
        <v>0</v>
      </c>
      <c r="V425" s="341">
        <v>51260</v>
      </c>
      <c r="W425" s="342">
        <v>0</v>
      </c>
      <c r="X425" s="340" t="s">
        <v>574</v>
      </c>
      <c r="Y425" s="340"/>
      <c r="Z425" s="340">
        <v>209748</v>
      </c>
      <c r="AA425" s="340"/>
      <c r="AB425" s="340" t="s">
        <v>571</v>
      </c>
      <c r="AC425" s="340" t="s">
        <v>570</v>
      </c>
      <c r="AD425" s="341" t="s">
        <v>569</v>
      </c>
      <c r="AE425" s="346">
        <v>42735</v>
      </c>
      <c r="AF425" s="341" t="s">
        <v>568</v>
      </c>
      <c r="AG425" s="340">
        <v>0</v>
      </c>
      <c r="AH425" s="340">
        <v>4747.92</v>
      </c>
      <c r="AI425" s="377"/>
      <c r="AK425" s="493">
        <f t="shared" si="67"/>
        <v>12</v>
      </c>
      <c r="AL425" s="493">
        <f t="shared" si="68"/>
        <v>2011</v>
      </c>
      <c r="AM425" s="493">
        <f t="shared" si="69"/>
        <v>2016</v>
      </c>
      <c r="AN425" s="494">
        <f t="shared" si="70"/>
        <v>2017</v>
      </c>
      <c r="AO425" s="505">
        <f t="shared" si="71"/>
        <v>79.132000000000005</v>
      </c>
      <c r="AP425" s="505">
        <f t="shared" si="72"/>
        <v>949.58400000000006</v>
      </c>
      <c r="AQ425" s="505">
        <f t="shared" si="73"/>
        <v>0</v>
      </c>
      <c r="AR425" s="505">
        <f t="shared" si="74"/>
        <v>4747.92</v>
      </c>
      <c r="AS425" s="505">
        <f t="shared" si="75"/>
        <v>4747.92</v>
      </c>
      <c r="AT425" s="506">
        <f t="shared" si="76"/>
        <v>0</v>
      </c>
    </row>
    <row r="426" spans="1:46">
      <c r="A426" s="341">
        <v>2112</v>
      </c>
      <c r="B426" s="345">
        <v>173774</v>
      </c>
      <c r="C426" s="341" t="s">
        <v>574</v>
      </c>
      <c r="D426" s="340" t="s">
        <v>1171</v>
      </c>
      <c r="E426" s="341">
        <v>243</v>
      </c>
      <c r="F426" s="340"/>
      <c r="G426" s="340"/>
      <c r="H426" s="340">
        <v>0</v>
      </c>
      <c r="I426" s="340" t="s">
        <v>730</v>
      </c>
      <c r="J426" s="340"/>
      <c r="K426" s="340"/>
      <c r="L426" s="344">
        <v>40848</v>
      </c>
      <c r="M426" s="344">
        <v>40848</v>
      </c>
      <c r="N426" s="340" t="s">
        <v>1168</v>
      </c>
      <c r="O426" s="341">
        <v>700</v>
      </c>
      <c r="P426" s="341">
        <v>14050</v>
      </c>
      <c r="Q426" s="342">
        <v>13602.59</v>
      </c>
      <c r="R426" s="341">
        <v>14056</v>
      </c>
      <c r="S426" s="342">
        <v>13602.59</v>
      </c>
      <c r="T426" s="342">
        <f t="shared" si="77"/>
        <v>0</v>
      </c>
      <c r="U426" s="343">
        <v>0</v>
      </c>
      <c r="V426" s="341">
        <v>54260</v>
      </c>
      <c r="W426" s="342">
        <v>0</v>
      </c>
      <c r="X426" s="340" t="s">
        <v>574</v>
      </c>
      <c r="Y426" s="340"/>
      <c r="Z426" s="340" t="s">
        <v>1170</v>
      </c>
      <c r="AA426" s="340"/>
      <c r="AB426" s="340" t="s">
        <v>571</v>
      </c>
      <c r="AC426" s="340" t="s">
        <v>570</v>
      </c>
      <c r="AD426" s="341" t="s">
        <v>569</v>
      </c>
      <c r="AE426" s="346">
        <v>42735</v>
      </c>
      <c r="AF426" s="341" t="s">
        <v>568</v>
      </c>
      <c r="AG426" s="340">
        <v>0</v>
      </c>
      <c r="AH426" s="340">
        <v>10040.02</v>
      </c>
      <c r="AI426" s="377"/>
      <c r="AK426" s="493">
        <f t="shared" si="67"/>
        <v>11</v>
      </c>
      <c r="AL426" s="493">
        <f t="shared" si="68"/>
        <v>2011</v>
      </c>
      <c r="AM426" s="493">
        <f t="shared" si="69"/>
        <v>2018</v>
      </c>
      <c r="AN426" s="494">
        <f t="shared" si="70"/>
        <v>2018.9166666666667</v>
      </c>
      <c r="AO426" s="505">
        <f t="shared" si="71"/>
        <v>161.93559523809523</v>
      </c>
      <c r="AP426" s="505">
        <f t="shared" si="72"/>
        <v>1943.2271428571428</v>
      </c>
      <c r="AQ426" s="505">
        <f t="shared" si="73"/>
        <v>0</v>
      </c>
      <c r="AR426" s="505">
        <f t="shared" si="74"/>
        <v>13602.59</v>
      </c>
      <c r="AS426" s="505">
        <f t="shared" si="75"/>
        <v>13602.59</v>
      </c>
      <c r="AT426" s="506">
        <f t="shared" si="76"/>
        <v>0</v>
      </c>
    </row>
    <row r="427" spans="1:46">
      <c r="A427" s="341">
        <v>2112</v>
      </c>
      <c r="B427" s="345">
        <v>173773</v>
      </c>
      <c r="C427" s="341" t="s">
        <v>574</v>
      </c>
      <c r="D427" s="340" t="s">
        <v>1169</v>
      </c>
      <c r="E427" s="341">
        <v>324</v>
      </c>
      <c r="F427" s="340"/>
      <c r="G427" s="340"/>
      <c r="H427" s="340">
        <v>0</v>
      </c>
      <c r="I427" s="340" t="s">
        <v>730</v>
      </c>
      <c r="J427" s="340"/>
      <c r="K427" s="340"/>
      <c r="L427" s="344">
        <v>40848</v>
      </c>
      <c r="M427" s="344">
        <v>40848</v>
      </c>
      <c r="N427" s="340" t="s">
        <v>1168</v>
      </c>
      <c r="O427" s="341">
        <v>700</v>
      </c>
      <c r="P427" s="341">
        <v>14050</v>
      </c>
      <c r="Q427" s="342">
        <v>15990.87</v>
      </c>
      <c r="R427" s="341">
        <v>14056</v>
      </c>
      <c r="S427" s="342">
        <v>15990.87</v>
      </c>
      <c r="T427" s="342">
        <f t="shared" si="77"/>
        <v>0</v>
      </c>
      <c r="U427" s="343">
        <v>0</v>
      </c>
      <c r="V427" s="341">
        <v>54260</v>
      </c>
      <c r="W427" s="342">
        <v>0</v>
      </c>
      <c r="X427" s="340" t="s">
        <v>574</v>
      </c>
      <c r="Y427" s="340"/>
      <c r="Z427" s="340" t="s">
        <v>1167</v>
      </c>
      <c r="AA427" s="340"/>
      <c r="AB427" s="340" t="s">
        <v>571</v>
      </c>
      <c r="AC427" s="340" t="s">
        <v>570</v>
      </c>
      <c r="AD427" s="341" t="s">
        <v>569</v>
      </c>
      <c r="AE427" s="346">
        <v>42735</v>
      </c>
      <c r="AF427" s="341" t="s">
        <v>568</v>
      </c>
      <c r="AG427" s="340">
        <v>0</v>
      </c>
      <c r="AH427" s="340">
        <v>11802.79</v>
      </c>
      <c r="AI427" s="377"/>
      <c r="AK427" s="493">
        <f t="shared" si="67"/>
        <v>11</v>
      </c>
      <c r="AL427" s="493">
        <f t="shared" si="68"/>
        <v>2011</v>
      </c>
      <c r="AM427" s="493">
        <f t="shared" si="69"/>
        <v>2018</v>
      </c>
      <c r="AN427" s="494">
        <f t="shared" si="70"/>
        <v>2018.9166666666667</v>
      </c>
      <c r="AO427" s="505">
        <f t="shared" si="71"/>
        <v>190.36750000000004</v>
      </c>
      <c r="AP427" s="505">
        <f t="shared" si="72"/>
        <v>2284.4100000000003</v>
      </c>
      <c r="AQ427" s="505">
        <f t="shared" si="73"/>
        <v>0</v>
      </c>
      <c r="AR427" s="505">
        <f t="shared" si="74"/>
        <v>15990.87</v>
      </c>
      <c r="AS427" s="505">
        <f t="shared" si="75"/>
        <v>15990.87</v>
      </c>
      <c r="AT427" s="506">
        <f t="shared" si="76"/>
        <v>0</v>
      </c>
    </row>
    <row r="428" spans="1:46">
      <c r="A428" s="341">
        <v>2112</v>
      </c>
      <c r="B428" s="345">
        <v>173772</v>
      </c>
      <c r="C428" s="341" t="s">
        <v>574</v>
      </c>
      <c r="D428" s="340" t="s">
        <v>1166</v>
      </c>
      <c r="E428" s="341">
        <v>0</v>
      </c>
      <c r="F428" s="340" t="s">
        <v>1165</v>
      </c>
      <c r="G428" s="340" t="s">
        <v>1164</v>
      </c>
      <c r="H428" s="340">
        <v>2005</v>
      </c>
      <c r="I428" s="340" t="s">
        <v>1163</v>
      </c>
      <c r="J428" s="340" t="s">
        <v>758</v>
      </c>
      <c r="K428" s="340" t="s">
        <v>906</v>
      </c>
      <c r="L428" s="344">
        <v>40848</v>
      </c>
      <c r="M428" s="344">
        <v>40848</v>
      </c>
      <c r="N428" s="340" t="s">
        <v>1162</v>
      </c>
      <c r="O428" s="341">
        <v>300</v>
      </c>
      <c r="P428" s="341">
        <v>14040</v>
      </c>
      <c r="Q428" s="342">
        <v>100004</v>
      </c>
      <c r="R428" s="341">
        <v>14046</v>
      </c>
      <c r="S428" s="342">
        <v>100004</v>
      </c>
      <c r="T428" s="342">
        <f t="shared" si="77"/>
        <v>0</v>
      </c>
      <c r="U428" s="343">
        <v>0</v>
      </c>
      <c r="V428" s="341">
        <v>51260</v>
      </c>
      <c r="W428" s="342">
        <v>0</v>
      </c>
      <c r="X428" s="340" t="s">
        <v>574</v>
      </c>
      <c r="Y428" s="340"/>
      <c r="Z428" s="340" t="s">
        <v>1161</v>
      </c>
      <c r="AA428" s="340">
        <v>667</v>
      </c>
      <c r="AB428" s="340" t="s">
        <v>571</v>
      </c>
      <c r="AC428" s="340" t="s">
        <v>570</v>
      </c>
      <c r="AD428" s="341" t="s">
        <v>569</v>
      </c>
      <c r="AE428" s="346">
        <v>42735</v>
      </c>
      <c r="AF428" s="341" t="s">
        <v>568</v>
      </c>
      <c r="AG428" s="340">
        <v>0</v>
      </c>
      <c r="AH428" s="340">
        <v>100004</v>
      </c>
      <c r="AI428" s="377"/>
      <c r="AK428" s="493">
        <f t="shared" si="67"/>
        <v>11</v>
      </c>
      <c r="AL428" s="493">
        <f t="shared" si="68"/>
        <v>2011</v>
      </c>
      <c r="AM428" s="493">
        <f t="shared" si="69"/>
        <v>2014</v>
      </c>
      <c r="AN428" s="494">
        <f t="shared" si="70"/>
        <v>2014.9166666666667</v>
      </c>
      <c r="AO428" s="505">
        <f t="shared" si="71"/>
        <v>2777.8888888888887</v>
      </c>
      <c r="AP428" s="505">
        <f t="shared" si="72"/>
        <v>33334.666666666664</v>
      </c>
      <c r="AQ428" s="505">
        <f t="shared" si="73"/>
        <v>0</v>
      </c>
      <c r="AR428" s="505">
        <f t="shared" si="74"/>
        <v>100004</v>
      </c>
      <c r="AS428" s="505">
        <f t="shared" si="75"/>
        <v>100004</v>
      </c>
      <c r="AT428" s="506">
        <f t="shared" si="76"/>
        <v>0</v>
      </c>
    </row>
    <row r="429" spans="1:46">
      <c r="A429" s="341">
        <v>2112</v>
      </c>
      <c r="B429" s="345">
        <v>173771</v>
      </c>
      <c r="C429" s="341" t="s">
        <v>574</v>
      </c>
      <c r="D429" s="340" t="s">
        <v>1160</v>
      </c>
      <c r="E429" s="341">
        <v>20</v>
      </c>
      <c r="F429" s="340"/>
      <c r="G429" s="340"/>
      <c r="H429" s="340">
        <v>0</v>
      </c>
      <c r="I429" s="340" t="s">
        <v>1159</v>
      </c>
      <c r="J429" s="340"/>
      <c r="K429" s="340" t="s">
        <v>671</v>
      </c>
      <c r="L429" s="344">
        <v>40872</v>
      </c>
      <c r="M429" s="344">
        <v>40872</v>
      </c>
      <c r="N429" s="340" t="s">
        <v>1158</v>
      </c>
      <c r="O429" s="341">
        <v>1200</v>
      </c>
      <c r="P429" s="341">
        <v>14050</v>
      </c>
      <c r="Q429" s="342">
        <v>13463.28</v>
      </c>
      <c r="R429" s="341">
        <v>14056</v>
      </c>
      <c r="S429" s="342">
        <v>13089.3</v>
      </c>
      <c r="T429" s="342">
        <f t="shared" si="77"/>
        <v>373.98000000000138</v>
      </c>
      <c r="U429" s="343">
        <v>654.46</v>
      </c>
      <c r="V429" s="341">
        <v>54260</v>
      </c>
      <c r="W429" s="342">
        <v>93.5</v>
      </c>
      <c r="X429" s="340" t="s">
        <v>574</v>
      </c>
      <c r="Y429" s="340"/>
      <c r="Z429" s="340">
        <v>37203805</v>
      </c>
      <c r="AA429" s="340"/>
      <c r="AB429" s="340" t="s">
        <v>571</v>
      </c>
      <c r="AC429" s="340" t="s">
        <v>570</v>
      </c>
      <c r="AD429" s="341" t="s">
        <v>569</v>
      </c>
      <c r="AE429" s="346">
        <v>42735</v>
      </c>
      <c r="AF429" s="341" t="s">
        <v>568</v>
      </c>
      <c r="AG429" s="340">
        <v>0</v>
      </c>
      <c r="AH429" s="340">
        <v>5703.2</v>
      </c>
      <c r="AI429" s="377"/>
      <c r="AK429" s="493">
        <f t="shared" si="67"/>
        <v>11</v>
      </c>
      <c r="AL429" s="493">
        <f t="shared" si="68"/>
        <v>2011</v>
      </c>
      <c r="AM429" s="493">
        <f t="shared" si="69"/>
        <v>2023</v>
      </c>
      <c r="AN429" s="494">
        <f t="shared" si="70"/>
        <v>2023.9166666666667</v>
      </c>
      <c r="AO429" s="505">
        <f t="shared" si="71"/>
        <v>93.495000000000005</v>
      </c>
      <c r="AP429" s="505">
        <f t="shared" si="72"/>
        <v>1121.94</v>
      </c>
      <c r="AQ429" s="505">
        <f t="shared" si="73"/>
        <v>1121.94</v>
      </c>
      <c r="AR429" s="505">
        <f t="shared" si="74"/>
        <v>12060.855</v>
      </c>
      <c r="AS429" s="505">
        <f t="shared" si="75"/>
        <v>13182.795</v>
      </c>
      <c r="AT429" s="506">
        <f t="shared" si="76"/>
        <v>280.48500000000058</v>
      </c>
    </row>
    <row r="430" spans="1:46">
      <c r="A430" s="341">
        <v>2112</v>
      </c>
      <c r="B430" s="345">
        <v>173770</v>
      </c>
      <c r="C430" s="341">
        <v>85919</v>
      </c>
      <c r="D430" s="340" t="s">
        <v>1157</v>
      </c>
      <c r="E430" s="341">
        <v>0</v>
      </c>
      <c r="F430" s="340"/>
      <c r="G430" s="340"/>
      <c r="H430" s="340">
        <v>2006</v>
      </c>
      <c r="I430" s="340" t="s">
        <v>1156</v>
      </c>
      <c r="J430" s="340" t="s">
        <v>820</v>
      </c>
      <c r="K430" s="340" t="s">
        <v>572</v>
      </c>
      <c r="L430" s="344">
        <v>40765</v>
      </c>
      <c r="M430" s="344">
        <v>40765</v>
      </c>
      <c r="N430" s="340" t="s">
        <v>1155</v>
      </c>
      <c r="O430" s="341">
        <v>1000</v>
      </c>
      <c r="P430" s="341">
        <v>14030</v>
      </c>
      <c r="Q430" s="342">
        <v>3794</v>
      </c>
      <c r="R430" s="341">
        <v>14036</v>
      </c>
      <c r="S430" s="342">
        <v>3794</v>
      </c>
      <c r="T430" s="342">
        <f t="shared" si="77"/>
        <v>0</v>
      </c>
      <c r="U430" s="343">
        <v>0</v>
      </c>
      <c r="V430" s="341">
        <v>51260</v>
      </c>
      <c r="W430" s="342">
        <v>0</v>
      </c>
      <c r="X430" s="340" t="s">
        <v>574</v>
      </c>
      <c r="Y430" s="340"/>
      <c r="Z430" s="340" t="s">
        <v>1154</v>
      </c>
      <c r="AA430" s="340"/>
      <c r="AB430" s="340" t="s">
        <v>571</v>
      </c>
      <c r="AC430" s="340" t="s">
        <v>570</v>
      </c>
      <c r="AD430" s="341" t="s">
        <v>569</v>
      </c>
      <c r="AE430" s="346">
        <v>42735</v>
      </c>
      <c r="AF430" s="341" t="s">
        <v>568</v>
      </c>
      <c r="AG430" s="340">
        <v>0</v>
      </c>
      <c r="AH430" s="340">
        <v>2055.08</v>
      </c>
      <c r="AI430" s="377"/>
      <c r="AK430" s="493">
        <f t="shared" si="67"/>
        <v>8</v>
      </c>
      <c r="AL430" s="493">
        <f t="shared" si="68"/>
        <v>2011</v>
      </c>
      <c r="AM430" s="493">
        <f t="shared" si="69"/>
        <v>2021</v>
      </c>
      <c r="AN430" s="494">
        <f t="shared" si="70"/>
        <v>2021.6666666666667</v>
      </c>
      <c r="AO430" s="505">
        <f t="shared" si="71"/>
        <v>31.616666666666664</v>
      </c>
      <c r="AP430" s="505">
        <f t="shared" si="72"/>
        <v>379.4</v>
      </c>
      <c r="AQ430" s="505">
        <f t="shared" si="73"/>
        <v>0</v>
      </c>
      <c r="AR430" s="505">
        <f t="shared" si="74"/>
        <v>3794</v>
      </c>
      <c r="AS430" s="505">
        <f t="shared" si="75"/>
        <v>3794</v>
      </c>
      <c r="AT430" s="506">
        <f t="shared" si="76"/>
        <v>0</v>
      </c>
    </row>
    <row r="431" spans="1:46">
      <c r="A431" s="341">
        <v>2112</v>
      </c>
      <c r="B431" s="345">
        <v>173769</v>
      </c>
      <c r="C431" s="341" t="s">
        <v>574</v>
      </c>
      <c r="D431" s="340" t="s">
        <v>1153</v>
      </c>
      <c r="E431" s="341">
        <v>0</v>
      </c>
      <c r="F431" s="340" t="s">
        <v>1152</v>
      </c>
      <c r="G431" s="340"/>
      <c r="H431" s="340">
        <v>2006</v>
      </c>
      <c r="I431" s="340" t="s">
        <v>820</v>
      </c>
      <c r="J431" s="340" t="s">
        <v>820</v>
      </c>
      <c r="K431" s="340" t="s">
        <v>1151</v>
      </c>
      <c r="L431" s="344">
        <v>40814</v>
      </c>
      <c r="M431" s="344">
        <v>40814</v>
      </c>
      <c r="N431" s="340" t="s">
        <v>1150</v>
      </c>
      <c r="O431" s="341">
        <v>400</v>
      </c>
      <c r="P431" s="341">
        <v>14030</v>
      </c>
      <c r="Q431" s="526">
        <v>17344</v>
      </c>
      <c r="R431" s="341">
        <v>14036</v>
      </c>
      <c r="S431" s="526">
        <v>17344</v>
      </c>
      <c r="T431" s="526">
        <f t="shared" si="77"/>
        <v>0</v>
      </c>
      <c r="U431" s="527">
        <v>0</v>
      </c>
      <c r="V431" s="341">
        <v>51260</v>
      </c>
      <c r="W431" s="526">
        <v>0</v>
      </c>
      <c r="X431" s="340" t="s">
        <v>574</v>
      </c>
      <c r="Y431" s="340"/>
      <c r="Z431" s="340" t="s">
        <v>1149</v>
      </c>
      <c r="AA431" s="340" t="s">
        <v>1148</v>
      </c>
      <c r="AB431" s="340" t="s">
        <v>571</v>
      </c>
      <c r="AC431" s="340" t="s">
        <v>570</v>
      </c>
      <c r="AD431" s="341" t="s">
        <v>569</v>
      </c>
      <c r="AE431" s="346">
        <v>42735</v>
      </c>
      <c r="AF431" s="341" t="s">
        <v>568</v>
      </c>
      <c r="AG431" s="340">
        <v>0</v>
      </c>
      <c r="AH431" s="340">
        <v>17344</v>
      </c>
      <c r="AI431" s="377"/>
      <c r="AJ431" s="530"/>
      <c r="AK431" s="493">
        <f t="shared" si="67"/>
        <v>9</v>
      </c>
      <c r="AL431" s="493">
        <f t="shared" si="68"/>
        <v>2011</v>
      </c>
      <c r="AM431" s="493">
        <f t="shared" si="69"/>
        <v>2015</v>
      </c>
      <c r="AN431" s="494">
        <f t="shared" si="70"/>
        <v>2015.75</v>
      </c>
      <c r="AO431" s="505">
        <f t="shared" si="71"/>
        <v>361.33333333333331</v>
      </c>
      <c r="AP431" s="505">
        <f t="shared" si="72"/>
        <v>4336</v>
      </c>
      <c r="AQ431" s="505">
        <f t="shared" si="73"/>
        <v>0</v>
      </c>
      <c r="AR431" s="505">
        <f t="shared" si="74"/>
        <v>17344</v>
      </c>
      <c r="AS431" s="505">
        <f t="shared" si="75"/>
        <v>17344</v>
      </c>
      <c r="AT431" s="506">
        <f t="shared" si="76"/>
        <v>0</v>
      </c>
    </row>
    <row r="432" spans="1:46">
      <c r="A432" s="341">
        <v>2112</v>
      </c>
      <c r="B432" s="345">
        <v>173767</v>
      </c>
      <c r="C432" s="341" t="s">
        <v>574</v>
      </c>
      <c r="D432" s="340" t="s">
        <v>1147</v>
      </c>
      <c r="E432" s="341">
        <v>2</v>
      </c>
      <c r="F432" s="340"/>
      <c r="G432" s="340"/>
      <c r="H432" s="340">
        <v>0</v>
      </c>
      <c r="I432" s="340" t="s">
        <v>714</v>
      </c>
      <c r="J432" s="340"/>
      <c r="K432" s="340" t="s">
        <v>782</v>
      </c>
      <c r="L432" s="344">
        <v>40760</v>
      </c>
      <c r="M432" s="344">
        <v>40760</v>
      </c>
      <c r="N432" s="340" t="s">
        <v>1146</v>
      </c>
      <c r="O432" s="341">
        <v>1200</v>
      </c>
      <c r="P432" s="341">
        <v>14050</v>
      </c>
      <c r="Q432" s="342">
        <v>2679.65</v>
      </c>
      <c r="R432" s="341">
        <v>14056</v>
      </c>
      <c r="S432" s="342">
        <v>2679.65</v>
      </c>
      <c r="T432" s="342">
        <f t="shared" si="77"/>
        <v>0</v>
      </c>
      <c r="U432" s="343">
        <v>130.19999999999999</v>
      </c>
      <c r="V432" s="341">
        <v>54260</v>
      </c>
      <c r="W432" s="342">
        <v>18.55</v>
      </c>
      <c r="X432" s="340" t="s">
        <v>574</v>
      </c>
      <c r="Y432" s="340"/>
      <c r="Z432" s="340">
        <v>5017</v>
      </c>
      <c r="AA432" s="340"/>
      <c r="AB432" s="340" t="s">
        <v>571</v>
      </c>
      <c r="AC432" s="340" t="s">
        <v>570</v>
      </c>
      <c r="AD432" s="341" t="s">
        <v>569</v>
      </c>
      <c r="AE432" s="346">
        <v>42735</v>
      </c>
      <c r="AF432" s="341" t="s">
        <v>568</v>
      </c>
      <c r="AG432" s="340">
        <v>0</v>
      </c>
      <c r="AH432" s="340">
        <v>1209.5899999999999</v>
      </c>
      <c r="AI432" s="377"/>
      <c r="AK432" s="493">
        <f t="shared" si="67"/>
        <v>8</v>
      </c>
      <c r="AL432" s="493">
        <f t="shared" si="68"/>
        <v>2011</v>
      </c>
      <c r="AM432" s="493">
        <f t="shared" si="69"/>
        <v>2023</v>
      </c>
      <c r="AN432" s="494">
        <f t="shared" si="70"/>
        <v>2023.6666666666667</v>
      </c>
      <c r="AO432" s="505">
        <f t="shared" si="71"/>
        <v>18.608680555555555</v>
      </c>
      <c r="AP432" s="505">
        <f t="shared" si="72"/>
        <v>223.30416666666667</v>
      </c>
      <c r="AQ432" s="505">
        <f t="shared" si="73"/>
        <v>223.30416666666667</v>
      </c>
      <c r="AR432" s="505">
        <f t="shared" si="74"/>
        <v>2456.3458333333333</v>
      </c>
      <c r="AS432" s="505">
        <f t="shared" si="75"/>
        <v>2679.65</v>
      </c>
      <c r="AT432" s="506">
        <f t="shared" si="76"/>
        <v>0</v>
      </c>
    </row>
    <row r="433" spans="1:46">
      <c r="A433" s="341">
        <v>2112</v>
      </c>
      <c r="B433" s="345">
        <v>173766</v>
      </c>
      <c r="C433" s="341" t="s">
        <v>574</v>
      </c>
      <c r="D433" s="340" t="s">
        <v>540</v>
      </c>
      <c r="E433" s="341">
        <v>14</v>
      </c>
      <c r="F433" s="340"/>
      <c r="G433" s="340"/>
      <c r="H433" s="340">
        <v>0</v>
      </c>
      <c r="I433" s="340" t="s">
        <v>714</v>
      </c>
      <c r="J433" s="340"/>
      <c r="K433" s="340" t="s">
        <v>578</v>
      </c>
      <c r="L433" s="344">
        <v>40760</v>
      </c>
      <c r="M433" s="344">
        <v>40760</v>
      </c>
      <c r="N433" s="340" t="s">
        <v>1145</v>
      </c>
      <c r="O433" s="341">
        <v>1200</v>
      </c>
      <c r="P433" s="341">
        <v>14050</v>
      </c>
      <c r="Q433" s="342">
        <v>7373.37</v>
      </c>
      <c r="R433" s="341">
        <v>14056</v>
      </c>
      <c r="S433" s="342">
        <v>7373.37</v>
      </c>
      <c r="T433" s="342">
        <f t="shared" si="77"/>
        <v>0</v>
      </c>
      <c r="U433" s="343">
        <v>358.4</v>
      </c>
      <c r="V433" s="341">
        <v>54260</v>
      </c>
      <c r="W433" s="342">
        <v>51.16</v>
      </c>
      <c r="X433" s="340" t="s">
        <v>574</v>
      </c>
      <c r="Y433" s="340"/>
      <c r="Z433" s="340">
        <v>5013</v>
      </c>
      <c r="AA433" s="340"/>
      <c r="AB433" s="340" t="s">
        <v>571</v>
      </c>
      <c r="AC433" s="340" t="s">
        <v>570</v>
      </c>
      <c r="AD433" s="341" t="s">
        <v>569</v>
      </c>
      <c r="AE433" s="346">
        <v>42735</v>
      </c>
      <c r="AF433" s="341" t="s">
        <v>568</v>
      </c>
      <c r="AG433" s="340">
        <v>0</v>
      </c>
      <c r="AH433" s="340">
        <v>3328.27</v>
      </c>
      <c r="AI433" s="377"/>
      <c r="AK433" s="493">
        <f t="shared" si="67"/>
        <v>8</v>
      </c>
      <c r="AL433" s="493">
        <f t="shared" si="68"/>
        <v>2011</v>
      </c>
      <c r="AM433" s="493">
        <f t="shared" si="69"/>
        <v>2023</v>
      </c>
      <c r="AN433" s="494">
        <f t="shared" si="70"/>
        <v>2023.6666666666667</v>
      </c>
      <c r="AO433" s="505">
        <f t="shared" si="71"/>
        <v>51.203958333333333</v>
      </c>
      <c r="AP433" s="505">
        <f t="shared" si="72"/>
        <v>614.44749999999999</v>
      </c>
      <c r="AQ433" s="505">
        <f t="shared" si="73"/>
        <v>614.44749999999999</v>
      </c>
      <c r="AR433" s="505">
        <f t="shared" si="74"/>
        <v>6758.9224999999997</v>
      </c>
      <c r="AS433" s="505">
        <f t="shared" si="75"/>
        <v>7373.37</v>
      </c>
      <c r="AT433" s="506">
        <f t="shared" si="76"/>
        <v>0</v>
      </c>
    </row>
    <row r="434" spans="1:46">
      <c r="A434" s="341">
        <v>2112</v>
      </c>
      <c r="B434" s="345">
        <v>173765</v>
      </c>
      <c r="C434" s="341" t="s">
        <v>574</v>
      </c>
      <c r="D434" s="340" t="s">
        <v>541</v>
      </c>
      <c r="E434" s="341">
        <v>13</v>
      </c>
      <c r="F434" s="340"/>
      <c r="G434" s="340"/>
      <c r="H434" s="340">
        <v>0</v>
      </c>
      <c r="I434" s="340" t="s">
        <v>714</v>
      </c>
      <c r="J434" s="340"/>
      <c r="K434" s="340" t="s">
        <v>706</v>
      </c>
      <c r="L434" s="344">
        <v>40760</v>
      </c>
      <c r="M434" s="344">
        <v>40760</v>
      </c>
      <c r="N434" s="340" t="s">
        <v>1144</v>
      </c>
      <c r="O434" s="341">
        <v>1200</v>
      </c>
      <c r="P434" s="341">
        <v>14050</v>
      </c>
      <c r="Q434" s="342">
        <v>7043.83</v>
      </c>
      <c r="R434" s="341">
        <v>14056</v>
      </c>
      <c r="S434" s="342">
        <v>7043.83</v>
      </c>
      <c r="T434" s="342">
        <f t="shared" si="77"/>
        <v>0</v>
      </c>
      <c r="U434" s="343">
        <v>342.36</v>
      </c>
      <c r="V434" s="341">
        <v>54260</v>
      </c>
      <c r="W434" s="342">
        <v>48.86</v>
      </c>
      <c r="X434" s="340" t="s">
        <v>574</v>
      </c>
      <c r="Y434" s="340"/>
      <c r="Z434" s="340">
        <v>5012</v>
      </c>
      <c r="AA434" s="340"/>
      <c r="AB434" s="340" t="s">
        <v>571</v>
      </c>
      <c r="AC434" s="340" t="s">
        <v>570</v>
      </c>
      <c r="AD434" s="341" t="s">
        <v>569</v>
      </c>
      <c r="AE434" s="346">
        <v>42735</v>
      </c>
      <c r="AF434" s="341" t="s">
        <v>568</v>
      </c>
      <c r="AG434" s="340">
        <v>0</v>
      </c>
      <c r="AH434" s="340">
        <v>3179.53</v>
      </c>
      <c r="AI434" s="377"/>
      <c r="AK434" s="493">
        <f t="shared" si="67"/>
        <v>8</v>
      </c>
      <c r="AL434" s="493">
        <f t="shared" si="68"/>
        <v>2011</v>
      </c>
      <c r="AM434" s="493">
        <f t="shared" si="69"/>
        <v>2023</v>
      </c>
      <c r="AN434" s="494">
        <f t="shared" si="70"/>
        <v>2023.6666666666667</v>
      </c>
      <c r="AO434" s="505">
        <f t="shared" si="71"/>
        <v>48.915486111111107</v>
      </c>
      <c r="AP434" s="505">
        <f t="shared" si="72"/>
        <v>586.98583333333329</v>
      </c>
      <c r="AQ434" s="505">
        <f t="shared" si="73"/>
        <v>586.98583333333329</v>
      </c>
      <c r="AR434" s="505">
        <f t="shared" si="74"/>
        <v>6456.8441666666668</v>
      </c>
      <c r="AS434" s="505">
        <f t="shared" si="75"/>
        <v>7043.83</v>
      </c>
      <c r="AT434" s="506">
        <f t="shared" si="76"/>
        <v>0</v>
      </c>
    </row>
    <row r="435" spans="1:46">
      <c r="A435" s="341">
        <v>2112</v>
      </c>
      <c r="B435" s="345">
        <v>173764</v>
      </c>
      <c r="C435" s="341" t="s">
        <v>574</v>
      </c>
      <c r="D435" s="340" t="s">
        <v>542</v>
      </c>
      <c r="E435" s="341">
        <v>5</v>
      </c>
      <c r="F435" s="340"/>
      <c r="G435" s="340"/>
      <c r="H435" s="340">
        <v>0</v>
      </c>
      <c r="I435" s="340" t="s">
        <v>714</v>
      </c>
      <c r="J435" s="340"/>
      <c r="K435" s="340" t="s">
        <v>671</v>
      </c>
      <c r="L435" s="344">
        <v>40760</v>
      </c>
      <c r="M435" s="344">
        <v>40760</v>
      </c>
      <c r="N435" s="340" t="s">
        <v>1143</v>
      </c>
      <c r="O435" s="341">
        <v>1200</v>
      </c>
      <c r="P435" s="341">
        <v>14050</v>
      </c>
      <c r="Q435" s="342">
        <v>2780.46</v>
      </c>
      <c r="R435" s="341">
        <v>14056</v>
      </c>
      <c r="S435" s="342">
        <v>2780.46</v>
      </c>
      <c r="T435" s="342">
        <f t="shared" si="77"/>
        <v>0</v>
      </c>
      <c r="U435" s="343">
        <v>135.11000000000001</v>
      </c>
      <c r="V435" s="341">
        <v>54260</v>
      </c>
      <c r="W435" s="342">
        <v>19.260000000000002</v>
      </c>
      <c r="X435" s="340" t="s">
        <v>574</v>
      </c>
      <c r="Y435" s="340"/>
      <c r="Z435" s="340">
        <v>5011</v>
      </c>
      <c r="AA435" s="340"/>
      <c r="AB435" s="340" t="s">
        <v>571</v>
      </c>
      <c r="AC435" s="340" t="s">
        <v>570</v>
      </c>
      <c r="AD435" s="341" t="s">
        <v>569</v>
      </c>
      <c r="AE435" s="346">
        <v>42735</v>
      </c>
      <c r="AF435" s="341" t="s">
        <v>568</v>
      </c>
      <c r="AG435" s="340">
        <v>0</v>
      </c>
      <c r="AH435" s="340">
        <v>1255.0899999999999</v>
      </c>
      <c r="AI435" s="377"/>
      <c r="AK435" s="493">
        <f t="shared" si="67"/>
        <v>8</v>
      </c>
      <c r="AL435" s="493">
        <f t="shared" si="68"/>
        <v>2011</v>
      </c>
      <c r="AM435" s="493">
        <f t="shared" si="69"/>
        <v>2023</v>
      </c>
      <c r="AN435" s="494">
        <f t="shared" si="70"/>
        <v>2023.6666666666667</v>
      </c>
      <c r="AO435" s="505">
        <f t="shared" si="71"/>
        <v>19.30875</v>
      </c>
      <c r="AP435" s="505">
        <f t="shared" si="72"/>
        <v>231.70499999999998</v>
      </c>
      <c r="AQ435" s="505">
        <f t="shared" si="73"/>
        <v>231.70499999999998</v>
      </c>
      <c r="AR435" s="505">
        <f t="shared" si="74"/>
        <v>2548.7550000000001</v>
      </c>
      <c r="AS435" s="505">
        <f t="shared" si="75"/>
        <v>2780.46</v>
      </c>
      <c r="AT435" s="506">
        <f t="shared" si="76"/>
        <v>0</v>
      </c>
    </row>
    <row r="436" spans="1:46">
      <c r="A436" s="341">
        <v>2112</v>
      </c>
      <c r="B436" s="345">
        <v>173763</v>
      </c>
      <c r="C436" s="341" t="s">
        <v>574</v>
      </c>
      <c r="D436" s="340" t="s">
        <v>1142</v>
      </c>
      <c r="E436" s="341">
        <v>0</v>
      </c>
      <c r="F436" s="340" t="s">
        <v>1141</v>
      </c>
      <c r="G436" s="340" t="s">
        <v>1140</v>
      </c>
      <c r="H436" s="340">
        <v>2011</v>
      </c>
      <c r="I436" s="340" t="s">
        <v>1139</v>
      </c>
      <c r="J436" s="340" t="s">
        <v>758</v>
      </c>
      <c r="K436" s="340" t="s">
        <v>767</v>
      </c>
      <c r="L436" s="344">
        <v>40490</v>
      </c>
      <c r="M436" s="344">
        <v>40490</v>
      </c>
      <c r="N436" s="340" t="s">
        <v>1138</v>
      </c>
      <c r="O436" s="341">
        <v>1000</v>
      </c>
      <c r="P436" s="341">
        <v>14040</v>
      </c>
      <c r="Q436" s="342">
        <v>276838.92</v>
      </c>
      <c r="R436" s="341">
        <v>14046</v>
      </c>
      <c r="S436" s="342">
        <v>276838.92</v>
      </c>
      <c r="T436" s="342">
        <f t="shared" si="77"/>
        <v>0</v>
      </c>
      <c r="U436" s="343">
        <v>0</v>
      </c>
      <c r="V436" s="341">
        <v>51260</v>
      </c>
      <c r="W436" s="342">
        <v>0</v>
      </c>
      <c r="X436" s="340" t="s">
        <v>574</v>
      </c>
      <c r="Y436" s="340"/>
      <c r="Z436" s="340">
        <v>1422655</v>
      </c>
      <c r="AA436" s="340">
        <v>883</v>
      </c>
      <c r="AB436" s="340" t="s">
        <v>571</v>
      </c>
      <c r="AC436" s="340" t="s">
        <v>570</v>
      </c>
      <c r="AD436" s="341" t="s">
        <v>569</v>
      </c>
      <c r="AE436" s="346">
        <v>42735</v>
      </c>
      <c r="AF436" s="341" t="s">
        <v>568</v>
      </c>
      <c r="AG436" s="340">
        <v>0</v>
      </c>
      <c r="AH436" s="340">
        <v>170717.2</v>
      </c>
      <c r="AI436" s="377"/>
      <c r="AK436" s="493">
        <f t="shared" si="67"/>
        <v>11</v>
      </c>
      <c r="AL436" s="493">
        <f t="shared" si="68"/>
        <v>2010</v>
      </c>
      <c r="AM436" s="493">
        <f t="shared" si="69"/>
        <v>2020</v>
      </c>
      <c r="AN436" s="494">
        <f t="shared" si="70"/>
        <v>2020.9166666666667</v>
      </c>
      <c r="AO436" s="505">
        <f t="shared" si="71"/>
        <v>2306.991</v>
      </c>
      <c r="AP436" s="505">
        <f t="shared" si="72"/>
        <v>27683.892</v>
      </c>
      <c r="AQ436" s="505">
        <f t="shared" si="73"/>
        <v>0</v>
      </c>
      <c r="AR436" s="505">
        <f t="shared" si="74"/>
        <v>276838.92</v>
      </c>
      <c r="AS436" s="505">
        <f t="shared" si="75"/>
        <v>276838.92</v>
      </c>
      <c r="AT436" s="506">
        <f t="shared" si="76"/>
        <v>0</v>
      </c>
    </row>
    <row r="437" spans="1:46">
      <c r="A437" s="341">
        <v>2112</v>
      </c>
      <c r="B437" s="345">
        <v>173762</v>
      </c>
      <c r="C437" s="341" t="s">
        <v>574</v>
      </c>
      <c r="D437" s="340" t="s">
        <v>1137</v>
      </c>
      <c r="E437" s="341">
        <v>0</v>
      </c>
      <c r="F437" s="340"/>
      <c r="G437" s="340"/>
      <c r="H437" s="340">
        <v>0</v>
      </c>
      <c r="I437" s="340" t="s">
        <v>1136</v>
      </c>
      <c r="J437" s="340"/>
      <c r="K437" s="340" t="s">
        <v>572</v>
      </c>
      <c r="L437" s="344">
        <v>40422</v>
      </c>
      <c r="M437" s="344">
        <v>40422</v>
      </c>
      <c r="N437" s="340" t="s">
        <v>1135</v>
      </c>
      <c r="O437" s="341">
        <v>1200</v>
      </c>
      <c r="P437" s="341">
        <v>14030</v>
      </c>
      <c r="Q437" s="342">
        <v>36651</v>
      </c>
      <c r="R437" s="341">
        <v>14036</v>
      </c>
      <c r="S437" s="342">
        <v>36651</v>
      </c>
      <c r="T437" s="342">
        <f t="shared" si="77"/>
        <v>0</v>
      </c>
      <c r="U437" s="343">
        <v>0</v>
      </c>
      <c r="V437" s="341">
        <v>51260</v>
      </c>
      <c r="W437" s="342">
        <v>0</v>
      </c>
      <c r="X437" s="340" t="s">
        <v>574</v>
      </c>
      <c r="Y437" s="340"/>
      <c r="Z437" s="340" t="s">
        <v>1134</v>
      </c>
      <c r="AA437" s="340"/>
      <c r="AB437" s="340" t="s">
        <v>571</v>
      </c>
      <c r="AC437" s="340" t="s">
        <v>570</v>
      </c>
      <c r="AD437" s="341" t="s">
        <v>569</v>
      </c>
      <c r="AE437" s="346">
        <v>42735</v>
      </c>
      <c r="AF437" s="341" t="s">
        <v>568</v>
      </c>
      <c r="AG437" s="340">
        <v>0</v>
      </c>
      <c r="AH437" s="340">
        <v>19343.580000000002</v>
      </c>
      <c r="AI437" s="377"/>
      <c r="AK437" s="493">
        <f t="shared" si="67"/>
        <v>9</v>
      </c>
      <c r="AL437" s="493">
        <f t="shared" si="68"/>
        <v>2010</v>
      </c>
      <c r="AM437" s="493">
        <f t="shared" si="69"/>
        <v>2022</v>
      </c>
      <c r="AN437" s="494">
        <f t="shared" si="70"/>
        <v>2022.75</v>
      </c>
      <c r="AO437" s="505">
        <f t="shared" si="71"/>
        <v>254.52083333333334</v>
      </c>
      <c r="AP437" s="505">
        <f t="shared" si="72"/>
        <v>3054.25</v>
      </c>
      <c r="AQ437" s="505">
        <f t="shared" si="73"/>
        <v>0</v>
      </c>
      <c r="AR437" s="505">
        <f t="shared" si="74"/>
        <v>36396.479166666897</v>
      </c>
      <c r="AS437" s="505">
        <f t="shared" si="75"/>
        <v>36651</v>
      </c>
      <c r="AT437" s="506">
        <f t="shared" si="76"/>
        <v>0</v>
      </c>
    </row>
    <row r="438" spans="1:46">
      <c r="A438" s="341">
        <v>2112</v>
      </c>
      <c r="B438" s="345">
        <v>173761</v>
      </c>
      <c r="C438" s="341" t="s">
        <v>574</v>
      </c>
      <c r="D438" s="340" t="s">
        <v>540</v>
      </c>
      <c r="E438" s="341">
        <v>10</v>
      </c>
      <c r="F438" s="340"/>
      <c r="G438" s="340"/>
      <c r="H438" s="340">
        <v>0</v>
      </c>
      <c r="I438" s="340" t="s">
        <v>784</v>
      </c>
      <c r="J438" s="340"/>
      <c r="K438" s="340" t="s">
        <v>578</v>
      </c>
      <c r="L438" s="344">
        <v>40360</v>
      </c>
      <c r="M438" s="344">
        <v>40360</v>
      </c>
      <c r="N438" s="340" t="s">
        <v>1133</v>
      </c>
      <c r="O438" s="341">
        <v>1200</v>
      </c>
      <c r="P438" s="341">
        <v>14050</v>
      </c>
      <c r="Q438" s="342">
        <v>4392.91</v>
      </c>
      <c r="R438" s="341">
        <v>14056</v>
      </c>
      <c r="S438" s="342">
        <v>4392.91</v>
      </c>
      <c r="T438" s="342">
        <f t="shared" si="77"/>
        <v>0</v>
      </c>
      <c r="U438" s="343">
        <v>0</v>
      </c>
      <c r="V438" s="341">
        <v>54260</v>
      </c>
      <c r="W438" s="342">
        <v>0</v>
      </c>
      <c r="X438" s="340" t="s">
        <v>574</v>
      </c>
      <c r="Y438" s="340"/>
      <c r="Z438" s="340">
        <v>37201269</v>
      </c>
      <c r="AA438" s="340"/>
      <c r="AB438" s="340" t="s">
        <v>571</v>
      </c>
      <c r="AC438" s="340" t="s">
        <v>570</v>
      </c>
      <c r="AD438" s="341" t="s">
        <v>569</v>
      </c>
      <c r="AE438" s="346">
        <v>42735</v>
      </c>
      <c r="AF438" s="341" t="s">
        <v>568</v>
      </c>
      <c r="AG438" s="340">
        <v>0</v>
      </c>
      <c r="AH438" s="340">
        <v>2379.52</v>
      </c>
      <c r="AI438" s="377"/>
      <c r="AK438" s="493">
        <f t="shared" si="67"/>
        <v>7</v>
      </c>
      <c r="AL438" s="493">
        <f t="shared" si="68"/>
        <v>2010</v>
      </c>
      <c r="AM438" s="493">
        <f t="shared" si="69"/>
        <v>2022</v>
      </c>
      <c r="AN438" s="494">
        <f t="shared" si="70"/>
        <v>2022.5833333333333</v>
      </c>
      <c r="AO438" s="505">
        <f t="shared" si="71"/>
        <v>30.506319444444443</v>
      </c>
      <c r="AP438" s="505">
        <f t="shared" si="72"/>
        <v>366.07583333333332</v>
      </c>
      <c r="AQ438" s="505">
        <f t="shared" si="73"/>
        <v>0</v>
      </c>
      <c r="AR438" s="505">
        <f t="shared" si="74"/>
        <v>4392.91</v>
      </c>
      <c r="AS438" s="505">
        <f t="shared" si="75"/>
        <v>4392.91</v>
      </c>
      <c r="AT438" s="506">
        <f t="shared" si="76"/>
        <v>0</v>
      </c>
    </row>
    <row r="439" spans="1:46">
      <c r="A439" s="341">
        <v>2112</v>
      </c>
      <c r="B439" s="345">
        <v>173760</v>
      </c>
      <c r="C439" s="341" t="s">
        <v>574</v>
      </c>
      <c r="D439" s="340" t="s">
        <v>541</v>
      </c>
      <c r="E439" s="341">
        <v>10</v>
      </c>
      <c r="F439" s="340"/>
      <c r="G439" s="340"/>
      <c r="H439" s="340">
        <v>0</v>
      </c>
      <c r="I439" s="340" t="s">
        <v>784</v>
      </c>
      <c r="J439" s="340"/>
      <c r="K439" s="340" t="s">
        <v>706</v>
      </c>
      <c r="L439" s="344">
        <v>40360</v>
      </c>
      <c r="M439" s="344">
        <v>40360</v>
      </c>
      <c r="N439" s="340" t="s">
        <v>1132</v>
      </c>
      <c r="O439" s="341">
        <v>1200</v>
      </c>
      <c r="P439" s="341">
        <v>14050</v>
      </c>
      <c r="Q439" s="342">
        <v>4501.3100000000004</v>
      </c>
      <c r="R439" s="341">
        <v>14056</v>
      </c>
      <c r="S439" s="342">
        <v>4501.3100000000004</v>
      </c>
      <c r="T439" s="342">
        <f t="shared" si="77"/>
        <v>0</v>
      </c>
      <c r="U439" s="343">
        <v>0</v>
      </c>
      <c r="V439" s="341">
        <v>54260</v>
      </c>
      <c r="W439" s="342">
        <v>0</v>
      </c>
      <c r="X439" s="340" t="s">
        <v>574</v>
      </c>
      <c r="Y439" s="340"/>
      <c r="Z439" s="340">
        <v>37201271</v>
      </c>
      <c r="AA439" s="340"/>
      <c r="AB439" s="340" t="s">
        <v>571</v>
      </c>
      <c r="AC439" s="340" t="s">
        <v>570</v>
      </c>
      <c r="AD439" s="341" t="s">
        <v>569</v>
      </c>
      <c r="AE439" s="346">
        <v>42735</v>
      </c>
      <c r="AF439" s="341" t="s">
        <v>568</v>
      </c>
      <c r="AG439" s="340">
        <v>0</v>
      </c>
      <c r="AH439" s="340">
        <v>2438.2199999999998</v>
      </c>
      <c r="AI439" s="377"/>
      <c r="AK439" s="493">
        <f t="shared" si="67"/>
        <v>7</v>
      </c>
      <c r="AL439" s="493">
        <f t="shared" si="68"/>
        <v>2010</v>
      </c>
      <c r="AM439" s="493">
        <f t="shared" si="69"/>
        <v>2022</v>
      </c>
      <c r="AN439" s="494">
        <f t="shared" si="70"/>
        <v>2022.5833333333333</v>
      </c>
      <c r="AO439" s="505">
        <f t="shared" si="71"/>
        <v>31.259097222222223</v>
      </c>
      <c r="AP439" s="505">
        <f t="shared" si="72"/>
        <v>375.10916666666668</v>
      </c>
      <c r="AQ439" s="505">
        <f t="shared" si="73"/>
        <v>0</v>
      </c>
      <c r="AR439" s="505">
        <f t="shared" si="74"/>
        <v>4501.3100000000004</v>
      </c>
      <c r="AS439" s="505">
        <f t="shared" si="75"/>
        <v>4501.3100000000004</v>
      </c>
      <c r="AT439" s="506">
        <f t="shared" si="76"/>
        <v>0</v>
      </c>
    </row>
    <row r="440" spans="1:46">
      <c r="A440" s="341">
        <v>2112</v>
      </c>
      <c r="B440" s="345">
        <v>173759</v>
      </c>
      <c r="C440" s="341" t="s">
        <v>574</v>
      </c>
      <c r="D440" s="340" t="s">
        <v>1131</v>
      </c>
      <c r="E440" s="341">
        <v>0</v>
      </c>
      <c r="F440" s="340"/>
      <c r="G440" s="340"/>
      <c r="H440" s="340">
        <v>0</v>
      </c>
      <c r="I440" s="340" t="s">
        <v>861</v>
      </c>
      <c r="J440" s="340"/>
      <c r="K440" s="340"/>
      <c r="L440" s="344">
        <v>40360</v>
      </c>
      <c r="M440" s="344">
        <v>40360</v>
      </c>
      <c r="N440" s="340" t="s">
        <v>1130</v>
      </c>
      <c r="O440" s="341">
        <v>800</v>
      </c>
      <c r="P440" s="341">
        <v>14090</v>
      </c>
      <c r="Q440" s="342">
        <v>7121.88</v>
      </c>
      <c r="R440" s="341">
        <v>14096</v>
      </c>
      <c r="S440" s="342">
        <v>7121.88</v>
      </c>
      <c r="T440" s="342">
        <f t="shared" si="77"/>
        <v>0</v>
      </c>
      <c r="U440" s="343">
        <v>0</v>
      </c>
      <c r="V440" s="341">
        <v>57260</v>
      </c>
      <c r="W440" s="342">
        <v>0</v>
      </c>
      <c r="X440" s="340" t="s">
        <v>574</v>
      </c>
      <c r="Y440" s="340"/>
      <c r="Z440" s="340">
        <v>6302010</v>
      </c>
      <c r="AA440" s="340"/>
      <c r="AB440" s="340" t="s">
        <v>571</v>
      </c>
      <c r="AC440" s="340" t="s">
        <v>570</v>
      </c>
      <c r="AD440" s="341" t="s">
        <v>569</v>
      </c>
      <c r="AE440" s="346">
        <v>42735</v>
      </c>
      <c r="AF440" s="341" t="s">
        <v>568</v>
      </c>
      <c r="AG440" s="340">
        <v>0</v>
      </c>
      <c r="AH440" s="340">
        <v>5786.56</v>
      </c>
      <c r="AI440" s="377"/>
      <c r="AK440" s="493">
        <f t="shared" si="67"/>
        <v>7</v>
      </c>
      <c r="AL440" s="493">
        <f t="shared" si="68"/>
        <v>2010</v>
      </c>
      <c r="AM440" s="493">
        <f t="shared" si="69"/>
        <v>2018</v>
      </c>
      <c r="AN440" s="494">
        <f t="shared" si="70"/>
        <v>2018.5833333333333</v>
      </c>
      <c r="AO440" s="505">
        <f t="shared" si="71"/>
        <v>74.186250000000001</v>
      </c>
      <c r="AP440" s="505">
        <f t="shared" si="72"/>
        <v>890.23500000000001</v>
      </c>
      <c r="AQ440" s="505">
        <f t="shared" si="73"/>
        <v>0</v>
      </c>
      <c r="AR440" s="505">
        <f t="shared" si="74"/>
        <v>7121.88</v>
      </c>
      <c r="AS440" s="505">
        <f t="shared" si="75"/>
        <v>7121.88</v>
      </c>
      <c r="AT440" s="506">
        <f t="shared" si="76"/>
        <v>0</v>
      </c>
    </row>
    <row r="441" spans="1:46">
      <c r="A441" s="341">
        <v>2112</v>
      </c>
      <c r="B441" s="345">
        <v>173758</v>
      </c>
      <c r="C441" s="341" t="s">
        <v>574</v>
      </c>
      <c r="D441" s="340" t="s">
        <v>1129</v>
      </c>
      <c r="E441" s="341">
        <v>203</v>
      </c>
      <c r="F441" s="340"/>
      <c r="G441" s="340"/>
      <c r="H441" s="340">
        <v>0</v>
      </c>
      <c r="I441" s="340" t="s">
        <v>730</v>
      </c>
      <c r="J441" s="340"/>
      <c r="K441" s="340"/>
      <c r="L441" s="344">
        <v>40338</v>
      </c>
      <c r="M441" s="344">
        <v>40338</v>
      </c>
      <c r="N441" s="340" t="s">
        <v>1110</v>
      </c>
      <c r="O441" s="341">
        <v>700</v>
      </c>
      <c r="P441" s="341">
        <v>14050</v>
      </c>
      <c r="Q441" s="342">
        <v>9024.34</v>
      </c>
      <c r="R441" s="341">
        <v>14056</v>
      </c>
      <c r="S441" s="342">
        <v>9024.34</v>
      </c>
      <c r="T441" s="342">
        <f t="shared" si="77"/>
        <v>0</v>
      </c>
      <c r="U441" s="343">
        <v>0</v>
      </c>
      <c r="V441" s="341">
        <v>54260</v>
      </c>
      <c r="W441" s="342">
        <v>0</v>
      </c>
      <c r="X441" s="340" t="s">
        <v>574</v>
      </c>
      <c r="Y441" s="340"/>
      <c r="Z441" s="340" t="s">
        <v>1128</v>
      </c>
      <c r="AA441" s="340"/>
      <c r="AB441" s="340" t="s">
        <v>571</v>
      </c>
      <c r="AC441" s="340" t="s">
        <v>570</v>
      </c>
      <c r="AD441" s="341" t="s">
        <v>569</v>
      </c>
      <c r="AE441" s="346">
        <v>42735</v>
      </c>
      <c r="AF441" s="341" t="s">
        <v>568</v>
      </c>
      <c r="AG441" s="340">
        <v>0</v>
      </c>
      <c r="AH441" s="340">
        <v>8487.17</v>
      </c>
      <c r="AI441" s="377"/>
      <c r="AK441" s="493">
        <f t="shared" si="67"/>
        <v>6</v>
      </c>
      <c r="AL441" s="493">
        <f t="shared" si="68"/>
        <v>2010</v>
      </c>
      <c r="AM441" s="493">
        <f t="shared" si="69"/>
        <v>2017</v>
      </c>
      <c r="AN441" s="494">
        <f t="shared" si="70"/>
        <v>2017.5</v>
      </c>
      <c r="AO441" s="505">
        <f t="shared" si="71"/>
        <v>107.43261904761904</v>
      </c>
      <c r="AP441" s="505">
        <f t="shared" si="72"/>
        <v>1289.1914285714286</v>
      </c>
      <c r="AQ441" s="505">
        <f t="shared" si="73"/>
        <v>0</v>
      </c>
      <c r="AR441" s="505">
        <f t="shared" si="74"/>
        <v>9024.34</v>
      </c>
      <c r="AS441" s="505">
        <f t="shared" si="75"/>
        <v>9024.34</v>
      </c>
      <c r="AT441" s="506">
        <f t="shared" si="76"/>
        <v>0</v>
      </c>
    </row>
    <row r="442" spans="1:46">
      <c r="A442" s="341">
        <v>2112</v>
      </c>
      <c r="B442" s="345">
        <v>173757</v>
      </c>
      <c r="C442" s="341" t="s">
        <v>574</v>
      </c>
      <c r="D442" s="340" t="s">
        <v>1127</v>
      </c>
      <c r="E442" s="341">
        <v>2</v>
      </c>
      <c r="F442" s="340"/>
      <c r="G442" s="340"/>
      <c r="H442" s="340">
        <v>0</v>
      </c>
      <c r="I442" s="340" t="s">
        <v>714</v>
      </c>
      <c r="J442" s="340"/>
      <c r="K442" s="340" t="s">
        <v>575</v>
      </c>
      <c r="L442" s="344">
        <v>40332</v>
      </c>
      <c r="M442" s="344">
        <v>40332</v>
      </c>
      <c r="N442" s="340" t="s">
        <v>1126</v>
      </c>
      <c r="O442" s="341">
        <v>1200</v>
      </c>
      <c r="P442" s="341">
        <v>14050</v>
      </c>
      <c r="Q442" s="342">
        <v>14430.21</v>
      </c>
      <c r="R442" s="341">
        <v>14056</v>
      </c>
      <c r="S442" s="342">
        <v>14430.21</v>
      </c>
      <c r="T442" s="342">
        <f t="shared" si="77"/>
        <v>0</v>
      </c>
      <c r="U442" s="343">
        <v>0</v>
      </c>
      <c r="V442" s="341">
        <v>54260</v>
      </c>
      <c r="W442" s="342">
        <v>0</v>
      </c>
      <c r="X442" s="340" t="s">
        <v>574</v>
      </c>
      <c r="Y442" s="340"/>
      <c r="Z442" s="340">
        <v>4558</v>
      </c>
      <c r="AA442" s="340"/>
      <c r="AB442" s="340" t="s">
        <v>571</v>
      </c>
      <c r="AC442" s="340" t="s">
        <v>570</v>
      </c>
      <c r="AD442" s="341" t="s">
        <v>569</v>
      </c>
      <c r="AE442" s="346">
        <v>42735</v>
      </c>
      <c r="AF442" s="341" t="s">
        <v>568</v>
      </c>
      <c r="AG442" s="340">
        <v>0</v>
      </c>
      <c r="AH442" s="340">
        <v>7916.59</v>
      </c>
      <c r="AI442" s="377"/>
      <c r="AK442" s="493">
        <f t="shared" si="67"/>
        <v>6</v>
      </c>
      <c r="AL442" s="493">
        <f t="shared" si="68"/>
        <v>2010</v>
      </c>
      <c r="AM442" s="493">
        <f t="shared" si="69"/>
        <v>2022</v>
      </c>
      <c r="AN442" s="494">
        <f t="shared" si="70"/>
        <v>2022.5</v>
      </c>
      <c r="AO442" s="505">
        <f t="shared" si="71"/>
        <v>100.20979166666666</v>
      </c>
      <c r="AP442" s="505">
        <f t="shared" si="72"/>
        <v>1202.5174999999999</v>
      </c>
      <c r="AQ442" s="505">
        <f t="shared" si="73"/>
        <v>0</v>
      </c>
      <c r="AR442" s="505">
        <f t="shared" si="74"/>
        <v>14430.21</v>
      </c>
      <c r="AS442" s="505">
        <f t="shared" si="75"/>
        <v>14430.21</v>
      </c>
      <c r="AT442" s="506">
        <f t="shared" si="76"/>
        <v>0</v>
      </c>
    </row>
    <row r="443" spans="1:46">
      <c r="A443" s="341">
        <v>2112</v>
      </c>
      <c r="B443" s="345">
        <v>173756</v>
      </c>
      <c r="C443" s="341" t="s">
        <v>574</v>
      </c>
      <c r="D443" s="340" t="s">
        <v>1124</v>
      </c>
      <c r="E443" s="341">
        <v>243</v>
      </c>
      <c r="F443" s="340"/>
      <c r="G443" s="340"/>
      <c r="H443" s="340">
        <v>0</v>
      </c>
      <c r="I443" s="340" t="s">
        <v>730</v>
      </c>
      <c r="J443" s="340"/>
      <c r="K443" s="340"/>
      <c r="L443" s="344">
        <v>40324</v>
      </c>
      <c r="M443" s="344">
        <v>40324</v>
      </c>
      <c r="N443" s="340" t="s">
        <v>1123</v>
      </c>
      <c r="O443" s="341">
        <v>700</v>
      </c>
      <c r="P443" s="341">
        <v>14050</v>
      </c>
      <c r="Q443" s="342">
        <v>11784.62</v>
      </c>
      <c r="R443" s="341">
        <v>14056</v>
      </c>
      <c r="S443" s="342">
        <v>11784.62</v>
      </c>
      <c r="T443" s="342">
        <f t="shared" si="77"/>
        <v>0</v>
      </c>
      <c r="U443" s="343">
        <v>0</v>
      </c>
      <c r="V443" s="341">
        <v>54260</v>
      </c>
      <c r="W443" s="342">
        <v>0</v>
      </c>
      <c r="X443" s="340" t="s">
        <v>574</v>
      </c>
      <c r="Y443" s="340"/>
      <c r="Z443" s="340" t="s">
        <v>1125</v>
      </c>
      <c r="AA443" s="340"/>
      <c r="AB443" s="340" t="s">
        <v>571</v>
      </c>
      <c r="AC443" s="340" t="s">
        <v>570</v>
      </c>
      <c r="AD443" s="341" t="s">
        <v>569</v>
      </c>
      <c r="AE443" s="346">
        <v>42735</v>
      </c>
      <c r="AF443" s="341" t="s">
        <v>568</v>
      </c>
      <c r="AG443" s="340">
        <v>0</v>
      </c>
      <c r="AH443" s="340">
        <v>11083.16</v>
      </c>
      <c r="AI443" s="377"/>
      <c r="AK443" s="493">
        <f t="shared" si="67"/>
        <v>5</v>
      </c>
      <c r="AL443" s="493">
        <f t="shared" si="68"/>
        <v>2010</v>
      </c>
      <c r="AM443" s="493">
        <f t="shared" si="69"/>
        <v>2017</v>
      </c>
      <c r="AN443" s="494">
        <f t="shared" si="70"/>
        <v>2017.4166666666667</v>
      </c>
      <c r="AO443" s="505">
        <f t="shared" si="71"/>
        <v>140.29309523809525</v>
      </c>
      <c r="AP443" s="505">
        <f t="shared" si="72"/>
        <v>1683.517142857143</v>
      </c>
      <c r="AQ443" s="505">
        <f t="shared" si="73"/>
        <v>0</v>
      </c>
      <c r="AR443" s="505">
        <f t="shared" si="74"/>
        <v>11784.62</v>
      </c>
      <c r="AS443" s="505">
        <f t="shared" si="75"/>
        <v>11784.62</v>
      </c>
      <c r="AT443" s="506">
        <f t="shared" si="76"/>
        <v>0</v>
      </c>
    </row>
    <row r="444" spans="1:46">
      <c r="A444" s="341">
        <v>2112</v>
      </c>
      <c r="B444" s="345">
        <v>173755</v>
      </c>
      <c r="C444" s="341" t="s">
        <v>574</v>
      </c>
      <c r="D444" s="340" t="s">
        <v>1124</v>
      </c>
      <c r="E444" s="341">
        <v>243</v>
      </c>
      <c r="F444" s="340"/>
      <c r="G444" s="340"/>
      <c r="H444" s="340">
        <v>0</v>
      </c>
      <c r="I444" s="340" t="s">
        <v>730</v>
      </c>
      <c r="J444" s="340"/>
      <c r="K444" s="340"/>
      <c r="L444" s="344">
        <v>40324</v>
      </c>
      <c r="M444" s="344">
        <v>40324</v>
      </c>
      <c r="N444" s="340" t="s">
        <v>1123</v>
      </c>
      <c r="O444" s="341">
        <v>700</v>
      </c>
      <c r="P444" s="341">
        <v>14050</v>
      </c>
      <c r="Q444" s="342">
        <v>11784.62</v>
      </c>
      <c r="R444" s="341">
        <v>14056</v>
      </c>
      <c r="S444" s="342">
        <v>11784.62</v>
      </c>
      <c r="T444" s="342">
        <f t="shared" si="77"/>
        <v>0</v>
      </c>
      <c r="U444" s="343">
        <v>0</v>
      </c>
      <c r="V444" s="341">
        <v>54260</v>
      </c>
      <c r="W444" s="342">
        <v>0</v>
      </c>
      <c r="X444" s="340" t="s">
        <v>574</v>
      </c>
      <c r="Y444" s="340"/>
      <c r="Z444" s="340" t="s">
        <v>1122</v>
      </c>
      <c r="AA444" s="340"/>
      <c r="AB444" s="340" t="s">
        <v>571</v>
      </c>
      <c r="AC444" s="340" t="s">
        <v>570</v>
      </c>
      <c r="AD444" s="341" t="s">
        <v>569</v>
      </c>
      <c r="AE444" s="346">
        <v>42735</v>
      </c>
      <c r="AF444" s="341" t="s">
        <v>568</v>
      </c>
      <c r="AG444" s="340">
        <v>0</v>
      </c>
      <c r="AH444" s="340">
        <v>11083.16</v>
      </c>
      <c r="AI444" s="377"/>
      <c r="AK444" s="493">
        <f t="shared" si="67"/>
        <v>5</v>
      </c>
      <c r="AL444" s="493">
        <f t="shared" si="68"/>
        <v>2010</v>
      </c>
      <c r="AM444" s="493">
        <f t="shared" si="69"/>
        <v>2017</v>
      </c>
      <c r="AN444" s="494">
        <f t="shared" si="70"/>
        <v>2017.4166666666667</v>
      </c>
      <c r="AO444" s="505">
        <f t="shared" si="71"/>
        <v>140.29309523809525</v>
      </c>
      <c r="AP444" s="505">
        <f t="shared" si="72"/>
        <v>1683.517142857143</v>
      </c>
      <c r="AQ444" s="505">
        <f t="shared" si="73"/>
        <v>0</v>
      </c>
      <c r="AR444" s="505">
        <f t="shared" si="74"/>
        <v>11784.62</v>
      </c>
      <c r="AS444" s="505">
        <f t="shared" si="75"/>
        <v>11784.62</v>
      </c>
      <c r="AT444" s="506">
        <f t="shared" si="76"/>
        <v>0</v>
      </c>
    </row>
    <row r="445" spans="1:46">
      <c r="A445" s="341">
        <v>2112</v>
      </c>
      <c r="B445" s="345">
        <v>173754</v>
      </c>
      <c r="C445" s="341">
        <v>67818</v>
      </c>
      <c r="D445" s="340" t="s">
        <v>1121</v>
      </c>
      <c r="E445" s="341">
        <v>0</v>
      </c>
      <c r="F445" s="340"/>
      <c r="G445" s="340"/>
      <c r="H445" s="340">
        <v>2010</v>
      </c>
      <c r="I445" s="340" t="s">
        <v>820</v>
      </c>
      <c r="J445" s="340"/>
      <c r="K445" s="340" t="s">
        <v>572</v>
      </c>
      <c r="L445" s="344">
        <v>40295</v>
      </c>
      <c r="M445" s="344">
        <v>40295</v>
      </c>
      <c r="N445" s="340" t="s">
        <v>1120</v>
      </c>
      <c r="O445" s="341">
        <v>300</v>
      </c>
      <c r="P445" s="341">
        <v>14030</v>
      </c>
      <c r="Q445" s="342">
        <v>32658.75</v>
      </c>
      <c r="R445" s="341">
        <v>14036</v>
      </c>
      <c r="S445" s="342">
        <v>32658.75</v>
      </c>
      <c r="T445" s="342">
        <f t="shared" si="77"/>
        <v>0</v>
      </c>
      <c r="U445" s="343">
        <v>0</v>
      </c>
      <c r="V445" s="341">
        <v>51260</v>
      </c>
      <c r="W445" s="342">
        <v>0</v>
      </c>
      <c r="X445" s="340" t="s">
        <v>574</v>
      </c>
      <c r="Y445" s="340"/>
      <c r="Z445" s="340" t="s">
        <v>1119</v>
      </c>
      <c r="AA445" s="340"/>
      <c r="AB445" s="340" t="s">
        <v>571</v>
      </c>
      <c r="AC445" s="340" t="s">
        <v>570</v>
      </c>
      <c r="AD445" s="341" t="s">
        <v>569</v>
      </c>
      <c r="AE445" s="346">
        <v>42735</v>
      </c>
      <c r="AF445" s="341" t="s">
        <v>568</v>
      </c>
      <c r="AG445" s="340">
        <v>0</v>
      </c>
      <c r="AH445" s="340">
        <v>32658.75</v>
      </c>
      <c r="AI445" s="377"/>
      <c r="AK445" s="493">
        <f t="shared" si="67"/>
        <v>4</v>
      </c>
      <c r="AL445" s="493">
        <f t="shared" si="68"/>
        <v>2010</v>
      </c>
      <c r="AM445" s="493">
        <f t="shared" si="69"/>
        <v>2013</v>
      </c>
      <c r="AN445" s="494">
        <f t="shared" si="70"/>
        <v>2013.3333333333333</v>
      </c>
      <c r="AO445" s="505">
        <f t="shared" si="71"/>
        <v>907.1875</v>
      </c>
      <c r="AP445" s="505">
        <f t="shared" si="72"/>
        <v>10886.25</v>
      </c>
      <c r="AQ445" s="505">
        <f t="shared" si="73"/>
        <v>0</v>
      </c>
      <c r="AR445" s="505">
        <f t="shared" si="74"/>
        <v>32658.75</v>
      </c>
      <c r="AS445" s="505">
        <f t="shared" si="75"/>
        <v>32658.75</v>
      </c>
      <c r="AT445" s="506">
        <f t="shared" si="76"/>
        <v>0</v>
      </c>
    </row>
    <row r="446" spans="1:46">
      <c r="A446" s="341">
        <v>2112</v>
      </c>
      <c r="B446" s="345">
        <v>173752</v>
      </c>
      <c r="C446" s="341" t="s">
        <v>574</v>
      </c>
      <c r="D446" s="340" t="s">
        <v>1118</v>
      </c>
      <c r="E446" s="341">
        <v>206</v>
      </c>
      <c r="F446" s="340"/>
      <c r="G446" s="340"/>
      <c r="H446" s="340">
        <v>0</v>
      </c>
      <c r="I446" s="340" t="s">
        <v>730</v>
      </c>
      <c r="J446" s="340"/>
      <c r="K446" s="340"/>
      <c r="L446" s="344">
        <v>40210</v>
      </c>
      <c r="M446" s="344">
        <v>40210</v>
      </c>
      <c r="N446" s="340" t="s">
        <v>1110</v>
      </c>
      <c r="O446" s="341">
        <v>700</v>
      </c>
      <c r="P446" s="341">
        <v>14050</v>
      </c>
      <c r="Q446" s="342">
        <v>9365.36</v>
      </c>
      <c r="R446" s="341">
        <v>14056</v>
      </c>
      <c r="S446" s="342">
        <v>9365.36</v>
      </c>
      <c r="T446" s="342">
        <f t="shared" si="77"/>
        <v>0</v>
      </c>
      <c r="U446" s="343">
        <v>0</v>
      </c>
      <c r="V446" s="341">
        <v>54260</v>
      </c>
      <c r="W446" s="342">
        <v>0</v>
      </c>
      <c r="X446" s="340" t="s">
        <v>574</v>
      </c>
      <c r="Y446" s="340"/>
      <c r="Z446" s="340" t="s">
        <v>1117</v>
      </c>
      <c r="AA446" s="340"/>
      <c r="AB446" s="340" t="s">
        <v>571</v>
      </c>
      <c r="AC446" s="340" t="s">
        <v>570</v>
      </c>
      <c r="AD446" s="341" t="s">
        <v>569</v>
      </c>
      <c r="AE446" s="346">
        <v>42735</v>
      </c>
      <c r="AF446" s="341" t="s">
        <v>568</v>
      </c>
      <c r="AG446" s="340">
        <v>0</v>
      </c>
      <c r="AH446" s="340">
        <v>9253.8799999999992</v>
      </c>
      <c r="AI446" s="377"/>
      <c r="AK446" s="493">
        <f t="shared" si="67"/>
        <v>2</v>
      </c>
      <c r="AL446" s="493">
        <f t="shared" si="68"/>
        <v>2010</v>
      </c>
      <c r="AM446" s="493">
        <f t="shared" si="69"/>
        <v>2017</v>
      </c>
      <c r="AN446" s="494">
        <f t="shared" si="70"/>
        <v>2017.1666666666667</v>
      </c>
      <c r="AO446" s="505">
        <f t="shared" si="71"/>
        <v>111.49238095238097</v>
      </c>
      <c r="AP446" s="505">
        <f t="shared" si="72"/>
        <v>1337.9085714285716</v>
      </c>
      <c r="AQ446" s="505">
        <f t="shared" si="73"/>
        <v>0</v>
      </c>
      <c r="AR446" s="505">
        <f t="shared" si="74"/>
        <v>9365.36</v>
      </c>
      <c r="AS446" s="505">
        <f t="shared" si="75"/>
        <v>9365.36</v>
      </c>
      <c r="AT446" s="506">
        <f t="shared" si="76"/>
        <v>0</v>
      </c>
    </row>
    <row r="447" spans="1:46">
      <c r="A447" s="341">
        <v>2112</v>
      </c>
      <c r="B447" s="345">
        <v>173751</v>
      </c>
      <c r="C447" s="341" t="s">
        <v>574</v>
      </c>
      <c r="D447" s="340" t="s">
        <v>1113</v>
      </c>
      <c r="E447" s="341">
        <v>486</v>
      </c>
      <c r="F447" s="340"/>
      <c r="G447" s="340"/>
      <c r="H447" s="340">
        <v>0</v>
      </c>
      <c r="I447" s="340" t="s">
        <v>730</v>
      </c>
      <c r="J447" s="340"/>
      <c r="K447" s="340"/>
      <c r="L447" s="344">
        <v>40210</v>
      </c>
      <c r="M447" s="344">
        <v>40210</v>
      </c>
      <c r="N447" s="340" t="s">
        <v>1110</v>
      </c>
      <c r="O447" s="341">
        <v>700</v>
      </c>
      <c r="P447" s="341">
        <v>14050</v>
      </c>
      <c r="Q447" s="342">
        <v>22095</v>
      </c>
      <c r="R447" s="341">
        <v>14056</v>
      </c>
      <c r="S447" s="342">
        <v>22095</v>
      </c>
      <c r="T447" s="342">
        <f t="shared" si="77"/>
        <v>0</v>
      </c>
      <c r="U447" s="343">
        <v>0</v>
      </c>
      <c r="V447" s="341">
        <v>54260</v>
      </c>
      <c r="W447" s="342">
        <v>0</v>
      </c>
      <c r="X447" s="340" t="s">
        <v>574</v>
      </c>
      <c r="Y447" s="340"/>
      <c r="Z447" s="340" t="s">
        <v>1116</v>
      </c>
      <c r="AA447" s="340"/>
      <c r="AB447" s="340" t="s">
        <v>571</v>
      </c>
      <c r="AC447" s="340" t="s">
        <v>570</v>
      </c>
      <c r="AD447" s="341" t="s">
        <v>569</v>
      </c>
      <c r="AE447" s="346">
        <v>42735</v>
      </c>
      <c r="AF447" s="341" t="s">
        <v>568</v>
      </c>
      <c r="AG447" s="340">
        <v>0</v>
      </c>
      <c r="AH447" s="340">
        <v>21831.97</v>
      </c>
      <c r="AI447" s="377"/>
      <c r="AK447" s="493">
        <f t="shared" si="67"/>
        <v>2</v>
      </c>
      <c r="AL447" s="493">
        <f t="shared" si="68"/>
        <v>2010</v>
      </c>
      <c r="AM447" s="493">
        <f t="shared" si="69"/>
        <v>2017</v>
      </c>
      <c r="AN447" s="494">
        <f t="shared" si="70"/>
        <v>2017.1666666666667</v>
      </c>
      <c r="AO447" s="505">
        <f t="shared" si="71"/>
        <v>263.03571428571428</v>
      </c>
      <c r="AP447" s="505">
        <f t="shared" si="72"/>
        <v>3156.4285714285716</v>
      </c>
      <c r="AQ447" s="505">
        <f t="shared" si="73"/>
        <v>0</v>
      </c>
      <c r="AR447" s="505">
        <f t="shared" si="74"/>
        <v>22095</v>
      </c>
      <c r="AS447" s="505">
        <f t="shared" si="75"/>
        <v>22095</v>
      </c>
      <c r="AT447" s="506">
        <f t="shared" si="76"/>
        <v>0</v>
      </c>
    </row>
    <row r="448" spans="1:46">
      <c r="A448" s="341">
        <v>2112</v>
      </c>
      <c r="B448" s="345">
        <v>173750</v>
      </c>
      <c r="C448" s="341" t="s">
        <v>574</v>
      </c>
      <c r="D448" s="340" t="s">
        <v>1113</v>
      </c>
      <c r="E448" s="341">
        <v>486</v>
      </c>
      <c r="F448" s="340"/>
      <c r="G448" s="340"/>
      <c r="H448" s="340">
        <v>0</v>
      </c>
      <c r="I448" s="340" t="s">
        <v>730</v>
      </c>
      <c r="J448" s="340"/>
      <c r="K448" s="340"/>
      <c r="L448" s="344">
        <v>40210</v>
      </c>
      <c r="M448" s="344">
        <v>40210</v>
      </c>
      <c r="N448" s="340" t="s">
        <v>1110</v>
      </c>
      <c r="O448" s="341">
        <v>700</v>
      </c>
      <c r="P448" s="341">
        <v>14050</v>
      </c>
      <c r="Q448" s="342">
        <v>22095</v>
      </c>
      <c r="R448" s="341">
        <v>14056</v>
      </c>
      <c r="S448" s="342">
        <v>22095</v>
      </c>
      <c r="T448" s="342">
        <f t="shared" si="77"/>
        <v>0</v>
      </c>
      <c r="U448" s="343">
        <v>0</v>
      </c>
      <c r="V448" s="341">
        <v>54260</v>
      </c>
      <c r="W448" s="342">
        <v>0</v>
      </c>
      <c r="X448" s="340" t="s">
        <v>574</v>
      </c>
      <c r="Y448" s="340"/>
      <c r="Z448" s="340" t="s">
        <v>1115</v>
      </c>
      <c r="AA448" s="340"/>
      <c r="AB448" s="340" t="s">
        <v>571</v>
      </c>
      <c r="AC448" s="340" t="s">
        <v>570</v>
      </c>
      <c r="AD448" s="341" t="s">
        <v>569</v>
      </c>
      <c r="AE448" s="346">
        <v>42735</v>
      </c>
      <c r="AF448" s="341" t="s">
        <v>568</v>
      </c>
      <c r="AG448" s="340">
        <v>0</v>
      </c>
      <c r="AH448" s="340">
        <v>21831.97</v>
      </c>
      <c r="AI448" s="377"/>
      <c r="AK448" s="493">
        <f t="shared" si="67"/>
        <v>2</v>
      </c>
      <c r="AL448" s="493">
        <f t="shared" si="68"/>
        <v>2010</v>
      </c>
      <c r="AM448" s="493">
        <f t="shared" si="69"/>
        <v>2017</v>
      </c>
      <c r="AN448" s="494">
        <f t="shared" si="70"/>
        <v>2017.1666666666667</v>
      </c>
      <c r="AO448" s="505">
        <f t="shared" si="71"/>
        <v>263.03571428571428</v>
      </c>
      <c r="AP448" s="505">
        <f t="shared" si="72"/>
        <v>3156.4285714285716</v>
      </c>
      <c r="AQ448" s="505">
        <f t="shared" si="73"/>
        <v>0</v>
      </c>
      <c r="AR448" s="505">
        <f t="shared" si="74"/>
        <v>22095</v>
      </c>
      <c r="AS448" s="505">
        <f t="shared" si="75"/>
        <v>22095</v>
      </c>
      <c r="AT448" s="506">
        <f t="shared" si="76"/>
        <v>0</v>
      </c>
    </row>
    <row r="449" spans="1:46">
      <c r="A449" s="341">
        <v>2112</v>
      </c>
      <c r="B449" s="345">
        <v>173749</v>
      </c>
      <c r="C449" s="341" t="s">
        <v>574</v>
      </c>
      <c r="D449" s="340" t="s">
        <v>1113</v>
      </c>
      <c r="E449" s="341">
        <v>486</v>
      </c>
      <c r="F449" s="340"/>
      <c r="G449" s="340"/>
      <c r="H449" s="340">
        <v>0</v>
      </c>
      <c r="I449" s="340" t="s">
        <v>730</v>
      </c>
      <c r="J449" s="340"/>
      <c r="K449" s="340"/>
      <c r="L449" s="344">
        <v>40210</v>
      </c>
      <c r="M449" s="344">
        <v>40210</v>
      </c>
      <c r="N449" s="340" t="s">
        <v>1110</v>
      </c>
      <c r="O449" s="341">
        <v>700</v>
      </c>
      <c r="P449" s="341">
        <v>14050</v>
      </c>
      <c r="Q449" s="342">
        <v>22095</v>
      </c>
      <c r="R449" s="341">
        <v>14056</v>
      </c>
      <c r="S449" s="342">
        <v>22095</v>
      </c>
      <c r="T449" s="342">
        <f t="shared" si="77"/>
        <v>0</v>
      </c>
      <c r="U449" s="343">
        <v>0</v>
      </c>
      <c r="V449" s="341">
        <v>54260</v>
      </c>
      <c r="W449" s="342">
        <v>0</v>
      </c>
      <c r="X449" s="340" t="s">
        <v>574</v>
      </c>
      <c r="Y449" s="340"/>
      <c r="Z449" s="340" t="s">
        <v>1114</v>
      </c>
      <c r="AA449" s="340"/>
      <c r="AB449" s="340" t="s">
        <v>571</v>
      </c>
      <c r="AC449" s="340" t="s">
        <v>570</v>
      </c>
      <c r="AD449" s="341" t="s">
        <v>569</v>
      </c>
      <c r="AE449" s="346">
        <v>42735</v>
      </c>
      <c r="AF449" s="341" t="s">
        <v>568</v>
      </c>
      <c r="AG449" s="340">
        <v>0</v>
      </c>
      <c r="AH449" s="340">
        <v>21831.97</v>
      </c>
      <c r="AI449" s="377"/>
      <c r="AK449" s="493">
        <f t="shared" si="67"/>
        <v>2</v>
      </c>
      <c r="AL449" s="493">
        <f t="shared" si="68"/>
        <v>2010</v>
      </c>
      <c r="AM449" s="493">
        <f t="shared" si="69"/>
        <v>2017</v>
      </c>
      <c r="AN449" s="494">
        <f t="shared" si="70"/>
        <v>2017.1666666666667</v>
      </c>
      <c r="AO449" s="505">
        <f t="shared" si="71"/>
        <v>263.03571428571428</v>
      </c>
      <c r="AP449" s="505">
        <f t="shared" si="72"/>
        <v>3156.4285714285716</v>
      </c>
      <c r="AQ449" s="505">
        <f t="shared" si="73"/>
        <v>0</v>
      </c>
      <c r="AR449" s="505">
        <f t="shared" si="74"/>
        <v>22095</v>
      </c>
      <c r="AS449" s="505">
        <f t="shared" si="75"/>
        <v>22095</v>
      </c>
      <c r="AT449" s="506">
        <f t="shared" si="76"/>
        <v>0</v>
      </c>
    </row>
    <row r="450" spans="1:46">
      <c r="A450" s="341">
        <v>2112</v>
      </c>
      <c r="B450" s="345">
        <v>173748</v>
      </c>
      <c r="C450" s="341" t="s">
        <v>574</v>
      </c>
      <c r="D450" s="340" t="s">
        <v>1113</v>
      </c>
      <c r="E450" s="341">
        <v>486</v>
      </c>
      <c r="F450" s="340"/>
      <c r="G450" s="340"/>
      <c r="H450" s="340">
        <v>0</v>
      </c>
      <c r="I450" s="340" t="s">
        <v>730</v>
      </c>
      <c r="J450" s="340"/>
      <c r="K450" s="340"/>
      <c r="L450" s="344">
        <v>40210</v>
      </c>
      <c r="M450" s="344">
        <v>40210</v>
      </c>
      <c r="N450" s="340" t="s">
        <v>1110</v>
      </c>
      <c r="O450" s="341">
        <v>700</v>
      </c>
      <c r="P450" s="341">
        <v>14050</v>
      </c>
      <c r="Q450" s="342">
        <v>22095</v>
      </c>
      <c r="R450" s="341">
        <v>14056</v>
      </c>
      <c r="S450" s="342">
        <v>22095</v>
      </c>
      <c r="T450" s="342">
        <f t="shared" si="77"/>
        <v>0</v>
      </c>
      <c r="U450" s="343">
        <v>0</v>
      </c>
      <c r="V450" s="341">
        <v>54260</v>
      </c>
      <c r="W450" s="342">
        <v>0</v>
      </c>
      <c r="X450" s="340" t="s">
        <v>574</v>
      </c>
      <c r="Y450" s="340"/>
      <c r="Z450" s="340" t="s">
        <v>1112</v>
      </c>
      <c r="AA450" s="340"/>
      <c r="AB450" s="340" t="s">
        <v>571</v>
      </c>
      <c r="AC450" s="340" t="s">
        <v>570</v>
      </c>
      <c r="AD450" s="341" t="s">
        <v>569</v>
      </c>
      <c r="AE450" s="346">
        <v>42735</v>
      </c>
      <c r="AF450" s="341" t="s">
        <v>568</v>
      </c>
      <c r="AG450" s="340">
        <v>0</v>
      </c>
      <c r="AH450" s="340">
        <v>21831.97</v>
      </c>
      <c r="AI450" s="377"/>
      <c r="AK450" s="493">
        <f t="shared" si="67"/>
        <v>2</v>
      </c>
      <c r="AL450" s="493">
        <f t="shared" si="68"/>
        <v>2010</v>
      </c>
      <c r="AM450" s="493">
        <f t="shared" si="69"/>
        <v>2017</v>
      </c>
      <c r="AN450" s="494">
        <f t="shared" si="70"/>
        <v>2017.1666666666667</v>
      </c>
      <c r="AO450" s="505">
        <f t="shared" si="71"/>
        <v>263.03571428571428</v>
      </c>
      <c r="AP450" s="505">
        <f t="shared" si="72"/>
        <v>3156.4285714285716</v>
      </c>
      <c r="AQ450" s="505">
        <f t="shared" si="73"/>
        <v>0</v>
      </c>
      <c r="AR450" s="505">
        <f t="shared" si="74"/>
        <v>22095</v>
      </c>
      <c r="AS450" s="505">
        <f t="shared" si="75"/>
        <v>22095</v>
      </c>
      <c r="AT450" s="506">
        <f t="shared" si="76"/>
        <v>0</v>
      </c>
    </row>
    <row r="451" spans="1:46">
      <c r="A451" s="341">
        <v>2112</v>
      </c>
      <c r="B451" s="345">
        <v>173747</v>
      </c>
      <c r="C451" s="341" t="s">
        <v>574</v>
      </c>
      <c r="D451" s="340" t="s">
        <v>1111</v>
      </c>
      <c r="E451" s="341">
        <v>486</v>
      </c>
      <c r="F451" s="340"/>
      <c r="G451" s="340"/>
      <c r="H451" s="340">
        <v>0</v>
      </c>
      <c r="I451" s="340" t="s">
        <v>730</v>
      </c>
      <c r="J451" s="340"/>
      <c r="K451" s="340"/>
      <c r="L451" s="344">
        <v>40210</v>
      </c>
      <c r="M451" s="344">
        <v>40210</v>
      </c>
      <c r="N451" s="340" t="s">
        <v>1110</v>
      </c>
      <c r="O451" s="341">
        <v>700</v>
      </c>
      <c r="P451" s="341">
        <v>14050</v>
      </c>
      <c r="Q451" s="342">
        <v>22095</v>
      </c>
      <c r="R451" s="341">
        <v>14056</v>
      </c>
      <c r="S451" s="342">
        <v>22095</v>
      </c>
      <c r="T451" s="342">
        <f t="shared" si="77"/>
        <v>0</v>
      </c>
      <c r="U451" s="343">
        <v>0</v>
      </c>
      <c r="V451" s="341">
        <v>54260</v>
      </c>
      <c r="W451" s="342">
        <v>0</v>
      </c>
      <c r="X451" s="340" t="s">
        <v>574</v>
      </c>
      <c r="Y451" s="340"/>
      <c r="Z451" s="340" t="s">
        <v>1109</v>
      </c>
      <c r="AA451" s="340"/>
      <c r="AB451" s="340" t="s">
        <v>571</v>
      </c>
      <c r="AC451" s="340" t="s">
        <v>570</v>
      </c>
      <c r="AD451" s="341" t="s">
        <v>569</v>
      </c>
      <c r="AE451" s="346">
        <v>42735</v>
      </c>
      <c r="AF451" s="341" t="s">
        <v>568</v>
      </c>
      <c r="AG451" s="340">
        <v>0</v>
      </c>
      <c r="AH451" s="340">
        <v>21831.97</v>
      </c>
      <c r="AI451" s="377"/>
      <c r="AK451" s="493">
        <f t="shared" si="67"/>
        <v>2</v>
      </c>
      <c r="AL451" s="493">
        <f t="shared" si="68"/>
        <v>2010</v>
      </c>
      <c r="AM451" s="493">
        <f t="shared" si="69"/>
        <v>2017</v>
      </c>
      <c r="AN451" s="494">
        <f t="shared" si="70"/>
        <v>2017.1666666666667</v>
      </c>
      <c r="AO451" s="505">
        <f t="shared" si="71"/>
        <v>263.03571428571428</v>
      </c>
      <c r="AP451" s="505">
        <f t="shared" si="72"/>
        <v>3156.4285714285716</v>
      </c>
      <c r="AQ451" s="505">
        <f t="shared" si="73"/>
        <v>0</v>
      </c>
      <c r="AR451" s="505">
        <f t="shared" si="74"/>
        <v>22095</v>
      </c>
      <c r="AS451" s="505">
        <f t="shared" si="75"/>
        <v>22095</v>
      </c>
      <c r="AT451" s="506">
        <f t="shared" si="76"/>
        <v>0</v>
      </c>
    </row>
    <row r="452" spans="1:46">
      <c r="A452" s="341">
        <v>2112</v>
      </c>
      <c r="B452" s="345">
        <v>173746</v>
      </c>
      <c r="C452" s="341" t="s">
        <v>574</v>
      </c>
      <c r="D452" s="340" t="s">
        <v>1108</v>
      </c>
      <c r="E452" s="341">
        <v>0</v>
      </c>
      <c r="F452" s="340"/>
      <c r="G452" s="340"/>
      <c r="H452" s="340">
        <v>0</v>
      </c>
      <c r="I452" s="340" t="s">
        <v>1107</v>
      </c>
      <c r="J452" s="340"/>
      <c r="K452" s="340"/>
      <c r="L452" s="344">
        <v>40026</v>
      </c>
      <c r="M452" s="344">
        <v>40026</v>
      </c>
      <c r="N452" s="340" t="s">
        <v>1101</v>
      </c>
      <c r="O452" s="341">
        <v>500</v>
      </c>
      <c r="P452" s="341">
        <v>14070</v>
      </c>
      <c r="Q452" s="342">
        <v>1428</v>
      </c>
      <c r="R452" s="341">
        <v>14076</v>
      </c>
      <c r="S452" s="342">
        <v>1428</v>
      </c>
      <c r="T452" s="342">
        <f t="shared" si="77"/>
        <v>0</v>
      </c>
      <c r="U452" s="343">
        <v>0</v>
      </c>
      <c r="V452" s="341">
        <v>51260</v>
      </c>
      <c r="W452" s="342">
        <v>0</v>
      </c>
      <c r="X452" s="340" t="s">
        <v>574</v>
      </c>
      <c r="Y452" s="340"/>
      <c r="Z452" s="340" t="s">
        <v>1106</v>
      </c>
      <c r="AA452" s="340"/>
      <c r="AB452" s="340" t="s">
        <v>571</v>
      </c>
      <c r="AC452" s="340" t="s">
        <v>570</v>
      </c>
      <c r="AD452" s="341" t="s">
        <v>569</v>
      </c>
      <c r="AE452" s="346">
        <v>42735</v>
      </c>
      <c r="AF452" s="341" t="s">
        <v>568</v>
      </c>
      <c r="AG452" s="340">
        <v>0</v>
      </c>
      <c r="AH452" s="340">
        <v>1428</v>
      </c>
      <c r="AI452" s="377"/>
      <c r="AK452" s="493">
        <f t="shared" si="67"/>
        <v>8</v>
      </c>
      <c r="AL452" s="493">
        <f t="shared" si="68"/>
        <v>2009</v>
      </c>
      <c r="AM452" s="493">
        <f t="shared" si="69"/>
        <v>2014</v>
      </c>
      <c r="AN452" s="494">
        <f t="shared" si="70"/>
        <v>2014.6666666666667</v>
      </c>
      <c r="AO452" s="505">
        <f t="shared" si="71"/>
        <v>23.8</v>
      </c>
      <c r="AP452" s="505">
        <f t="shared" si="72"/>
        <v>285.60000000000002</v>
      </c>
      <c r="AQ452" s="505">
        <f t="shared" si="73"/>
        <v>0</v>
      </c>
      <c r="AR452" s="505">
        <f t="shared" si="74"/>
        <v>1428</v>
      </c>
      <c r="AS452" s="505">
        <f t="shared" si="75"/>
        <v>1428</v>
      </c>
      <c r="AT452" s="506">
        <f t="shared" si="76"/>
        <v>0</v>
      </c>
    </row>
    <row r="453" spans="1:46">
      <c r="A453" s="341">
        <v>2112</v>
      </c>
      <c r="B453" s="345">
        <v>173745</v>
      </c>
      <c r="C453" s="341" t="s">
        <v>574</v>
      </c>
      <c r="D453" s="340" t="s">
        <v>1105</v>
      </c>
      <c r="E453" s="341">
        <v>0</v>
      </c>
      <c r="F453" s="340"/>
      <c r="G453" s="340"/>
      <c r="H453" s="340">
        <v>0</v>
      </c>
      <c r="I453" s="340" t="s">
        <v>1104</v>
      </c>
      <c r="J453" s="340"/>
      <c r="K453" s="340"/>
      <c r="L453" s="344">
        <v>40026</v>
      </c>
      <c r="M453" s="344">
        <v>40026</v>
      </c>
      <c r="N453" s="340" t="s">
        <v>1101</v>
      </c>
      <c r="O453" s="341">
        <v>500</v>
      </c>
      <c r="P453" s="341">
        <v>14070</v>
      </c>
      <c r="Q453" s="342">
        <v>7939.23</v>
      </c>
      <c r="R453" s="341">
        <v>14076</v>
      </c>
      <c r="S453" s="342">
        <v>7939.23</v>
      </c>
      <c r="T453" s="342">
        <f t="shared" si="77"/>
        <v>0</v>
      </c>
      <c r="U453" s="343">
        <v>0</v>
      </c>
      <c r="V453" s="341">
        <v>51260</v>
      </c>
      <c r="W453" s="342">
        <v>0</v>
      </c>
      <c r="X453" s="340" t="s">
        <v>574</v>
      </c>
      <c r="Y453" s="340"/>
      <c r="Z453" s="340" t="s">
        <v>1103</v>
      </c>
      <c r="AA453" s="340"/>
      <c r="AB453" s="340" t="s">
        <v>571</v>
      </c>
      <c r="AC453" s="340" t="s">
        <v>570</v>
      </c>
      <c r="AD453" s="341" t="s">
        <v>569</v>
      </c>
      <c r="AE453" s="346">
        <v>42735</v>
      </c>
      <c r="AF453" s="341" t="s">
        <v>568</v>
      </c>
      <c r="AG453" s="340">
        <v>0</v>
      </c>
      <c r="AH453" s="340">
        <v>7939.23</v>
      </c>
      <c r="AI453" s="377"/>
      <c r="AK453" s="493">
        <f t="shared" si="67"/>
        <v>8</v>
      </c>
      <c r="AL453" s="493">
        <f t="shared" si="68"/>
        <v>2009</v>
      </c>
      <c r="AM453" s="493">
        <f t="shared" si="69"/>
        <v>2014</v>
      </c>
      <c r="AN453" s="494">
        <f t="shared" si="70"/>
        <v>2014.6666666666667</v>
      </c>
      <c r="AO453" s="505">
        <f t="shared" si="71"/>
        <v>132.32050000000001</v>
      </c>
      <c r="AP453" s="505">
        <f t="shared" si="72"/>
        <v>1587.846</v>
      </c>
      <c r="AQ453" s="505">
        <f t="shared" si="73"/>
        <v>0</v>
      </c>
      <c r="AR453" s="505">
        <f t="shared" si="74"/>
        <v>7939.23</v>
      </c>
      <c r="AS453" s="505">
        <f t="shared" si="75"/>
        <v>7939.23</v>
      </c>
      <c r="AT453" s="506">
        <f t="shared" si="76"/>
        <v>0</v>
      </c>
    </row>
    <row r="454" spans="1:46">
      <c r="A454" s="341">
        <v>2112</v>
      </c>
      <c r="B454" s="345">
        <v>173744</v>
      </c>
      <c r="C454" s="341" t="s">
        <v>574</v>
      </c>
      <c r="D454" s="340" t="s">
        <v>1102</v>
      </c>
      <c r="E454" s="341">
        <v>0</v>
      </c>
      <c r="F454" s="340"/>
      <c r="G454" s="340"/>
      <c r="H454" s="340">
        <v>0</v>
      </c>
      <c r="I454" s="340" t="s">
        <v>752</v>
      </c>
      <c r="J454" s="340"/>
      <c r="K454" s="340"/>
      <c r="L454" s="344">
        <v>40026</v>
      </c>
      <c r="M454" s="344">
        <v>40026</v>
      </c>
      <c r="N454" s="340" t="s">
        <v>1101</v>
      </c>
      <c r="O454" s="341">
        <v>500</v>
      </c>
      <c r="P454" s="341">
        <v>14070</v>
      </c>
      <c r="Q454" s="342">
        <v>4250.3999999999996</v>
      </c>
      <c r="R454" s="341">
        <v>14076</v>
      </c>
      <c r="S454" s="342">
        <v>4250.3999999999996</v>
      </c>
      <c r="T454" s="342">
        <f t="shared" si="77"/>
        <v>0</v>
      </c>
      <c r="U454" s="343">
        <v>0</v>
      </c>
      <c r="V454" s="341">
        <v>51260</v>
      </c>
      <c r="W454" s="342">
        <v>0</v>
      </c>
      <c r="X454" s="340" t="s">
        <v>574</v>
      </c>
      <c r="Y454" s="340"/>
      <c r="Z454" s="340" t="s">
        <v>1100</v>
      </c>
      <c r="AA454" s="340"/>
      <c r="AB454" s="340" t="s">
        <v>571</v>
      </c>
      <c r="AC454" s="340" t="s">
        <v>570</v>
      </c>
      <c r="AD454" s="341" t="s">
        <v>569</v>
      </c>
      <c r="AE454" s="346">
        <v>42735</v>
      </c>
      <c r="AF454" s="341" t="s">
        <v>568</v>
      </c>
      <c r="AG454" s="340">
        <v>0</v>
      </c>
      <c r="AH454" s="340">
        <v>4250.3999999999996</v>
      </c>
      <c r="AI454" s="377"/>
      <c r="AK454" s="493">
        <f t="shared" si="67"/>
        <v>8</v>
      </c>
      <c r="AL454" s="493">
        <f t="shared" si="68"/>
        <v>2009</v>
      </c>
      <c r="AM454" s="493">
        <f t="shared" si="69"/>
        <v>2014</v>
      </c>
      <c r="AN454" s="494">
        <f t="shared" si="70"/>
        <v>2014.6666666666667</v>
      </c>
      <c r="AO454" s="505">
        <f t="shared" si="71"/>
        <v>70.839999999999989</v>
      </c>
      <c r="AP454" s="505">
        <f t="shared" si="72"/>
        <v>850.07999999999993</v>
      </c>
      <c r="AQ454" s="505">
        <f t="shared" si="73"/>
        <v>0</v>
      </c>
      <c r="AR454" s="505">
        <f t="shared" si="74"/>
        <v>4250.3999999999996</v>
      </c>
      <c r="AS454" s="505">
        <f t="shared" si="75"/>
        <v>4250.3999999999996</v>
      </c>
      <c r="AT454" s="506">
        <f t="shared" si="76"/>
        <v>0</v>
      </c>
    </row>
    <row r="455" spans="1:46">
      <c r="A455" s="341">
        <v>2112</v>
      </c>
      <c r="B455" s="345">
        <v>173743</v>
      </c>
      <c r="C455" s="341">
        <v>67818</v>
      </c>
      <c r="D455" s="340" t="s">
        <v>1099</v>
      </c>
      <c r="E455" s="341">
        <v>0</v>
      </c>
      <c r="F455" s="340">
        <v>0</v>
      </c>
      <c r="G455" s="340"/>
      <c r="H455" s="340">
        <v>0</v>
      </c>
      <c r="I455" s="340" t="s">
        <v>1098</v>
      </c>
      <c r="J455" s="340"/>
      <c r="K455" s="340" t="s">
        <v>572</v>
      </c>
      <c r="L455" s="344">
        <v>39308</v>
      </c>
      <c r="M455" s="344">
        <v>39308</v>
      </c>
      <c r="N455" s="340" t="s">
        <v>1097</v>
      </c>
      <c r="O455" s="341">
        <v>300</v>
      </c>
      <c r="P455" s="341">
        <v>14030</v>
      </c>
      <c r="Q455" s="342">
        <v>7871.16</v>
      </c>
      <c r="R455" s="341">
        <v>14036</v>
      </c>
      <c r="S455" s="342">
        <v>7871.16</v>
      </c>
      <c r="T455" s="342">
        <f t="shared" si="77"/>
        <v>0</v>
      </c>
      <c r="U455" s="343">
        <v>0</v>
      </c>
      <c r="V455" s="341">
        <v>51260</v>
      </c>
      <c r="W455" s="342">
        <v>0</v>
      </c>
      <c r="X455" s="340" t="s">
        <v>574</v>
      </c>
      <c r="Y455" s="340"/>
      <c r="Z455" s="340">
        <v>10618</v>
      </c>
      <c r="AA455" s="340"/>
      <c r="AB455" s="340" t="s">
        <v>571</v>
      </c>
      <c r="AC455" s="340" t="s">
        <v>570</v>
      </c>
      <c r="AD455" s="341" t="s">
        <v>569</v>
      </c>
      <c r="AE455" s="346">
        <v>42735</v>
      </c>
      <c r="AF455" s="341" t="s">
        <v>568</v>
      </c>
      <c r="AG455" s="340">
        <v>0</v>
      </c>
      <c r="AH455" s="340">
        <v>7871.16</v>
      </c>
      <c r="AI455" s="377"/>
      <c r="AK455" s="493">
        <f t="shared" si="67"/>
        <v>8</v>
      </c>
      <c r="AL455" s="493">
        <f t="shared" si="68"/>
        <v>2007</v>
      </c>
      <c r="AM455" s="493">
        <f t="shared" si="69"/>
        <v>2010</v>
      </c>
      <c r="AN455" s="494">
        <f t="shared" si="70"/>
        <v>2010.6666666666667</v>
      </c>
      <c r="AO455" s="505">
        <f t="shared" si="71"/>
        <v>218.64333333333332</v>
      </c>
      <c r="AP455" s="505">
        <f t="shared" si="72"/>
        <v>2623.72</v>
      </c>
      <c r="AQ455" s="505">
        <f t="shared" si="73"/>
        <v>0</v>
      </c>
      <c r="AR455" s="505">
        <f t="shared" si="74"/>
        <v>7871.16</v>
      </c>
      <c r="AS455" s="505">
        <f t="shared" si="75"/>
        <v>7871.16</v>
      </c>
      <c r="AT455" s="506">
        <f t="shared" si="76"/>
        <v>0</v>
      </c>
    </row>
    <row r="456" spans="1:46">
      <c r="A456" s="341">
        <v>2112</v>
      </c>
      <c r="B456" s="345">
        <v>173742</v>
      </c>
      <c r="C456" s="341" t="s">
        <v>574</v>
      </c>
      <c r="D456" s="340" t="s">
        <v>1096</v>
      </c>
      <c r="E456" s="341">
        <v>0</v>
      </c>
      <c r="F456" s="340">
        <v>1</v>
      </c>
      <c r="G456" s="340"/>
      <c r="H456" s="340">
        <v>1997</v>
      </c>
      <c r="I456" s="340" t="s">
        <v>1095</v>
      </c>
      <c r="J456" s="340" t="s">
        <v>668</v>
      </c>
      <c r="K456" s="340" t="s">
        <v>1094</v>
      </c>
      <c r="L456" s="344">
        <v>35765</v>
      </c>
      <c r="M456" s="344">
        <v>35765</v>
      </c>
      <c r="N456" s="340"/>
      <c r="O456" s="341">
        <v>700</v>
      </c>
      <c r="P456" s="341">
        <v>14030</v>
      </c>
      <c r="Q456" s="342">
        <v>30000</v>
      </c>
      <c r="R456" s="341">
        <v>14036</v>
      </c>
      <c r="S456" s="342">
        <v>30000</v>
      </c>
      <c r="T456" s="342">
        <f t="shared" si="77"/>
        <v>0</v>
      </c>
      <c r="U456" s="343">
        <v>0</v>
      </c>
      <c r="V456" s="341">
        <v>51260</v>
      </c>
      <c r="W456" s="342">
        <v>0</v>
      </c>
      <c r="X456" s="340" t="s">
        <v>570</v>
      </c>
      <c r="Y456" s="340" t="s">
        <v>1036</v>
      </c>
      <c r="Z456" s="340"/>
      <c r="AA456" s="340"/>
      <c r="AB456" s="340" t="s">
        <v>571</v>
      </c>
      <c r="AC456" s="340" t="s">
        <v>570</v>
      </c>
      <c r="AD456" s="341" t="s">
        <v>569</v>
      </c>
      <c r="AE456" s="346">
        <v>42735</v>
      </c>
      <c r="AF456" s="341" t="s">
        <v>568</v>
      </c>
      <c r="AG456" s="340">
        <v>0</v>
      </c>
      <c r="AH456" s="340">
        <v>30000</v>
      </c>
      <c r="AI456" s="377"/>
      <c r="AK456" s="493">
        <f t="shared" si="67"/>
        <v>12</v>
      </c>
      <c r="AL456" s="493">
        <f t="shared" si="68"/>
        <v>1997</v>
      </c>
      <c r="AM456" s="493">
        <f t="shared" si="69"/>
        <v>2004</v>
      </c>
      <c r="AN456" s="494">
        <f t="shared" si="70"/>
        <v>2005</v>
      </c>
      <c r="AO456" s="505">
        <f t="shared" si="71"/>
        <v>357.14285714285711</v>
      </c>
      <c r="AP456" s="505">
        <f t="shared" si="72"/>
        <v>4285.7142857142853</v>
      </c>
      <c r="AQ456" s="505">
        <f t="shared" si="73"/>
        <v>0</v>
      </c>
      <c r="AR456" s="505">
        <f t="shared" si="74"/>
        <v>30000</v>
      </c>
      <c r="AS456" s="505">
        <f t="shared" si="75"/>
        <v>30000</v>
      </c>
      <c r="AT456" s="506">
        <f t="shared" si="76"/>
        <v>0</v>
      </c>
    </row>
    <row r="457" spans="1:46">
      <c r="A457" s="341">
        <v>2112</v>
      </c>
      <c r="B457" s="345">
        <v>173741</v>
      </c>
      <c r="C457" s="341">
        <v>65454</v>
      </c>
      <c r="D457" s="340" t="s">
        <v>1093</v>
      </c>
      <c r="E457" s="341">
        <v>0</v>
      </c>
      <c r="F457" s="340"/>
      <c r="G457" s="340"/>
      <c r="H457" s="340">
        <v>0</v>
      </c>
      <c r="I457" s="340"/>
      <c r="J457" s="340"/>
      <c r="K457" s="340" t="s">
        <v>1900</v>
      </c>
      <c r="L457" s="344">
        <v>39527</v>
      </c>
      <c r="M457" s="344">
        <v>39527</v>
      </c>
      <c r="N457" s="340" t="s">
        <v>1092</v>
      </c>
      <c r="O457" s="341">
        <v>300</v>
      </c>
      <c r="P457" s="341">
        <v>14040</v>
      </c>
      <c r="Q457" s="342">
        <v>14816.8</v>
      </c>
      <c r="R457" s="341">
        <v>14046</v>
      </c>
      <c r="S457" s="342">
        <v>14816.8</v>
      </c>
      <c r="T457" s="342">
        <f t="shared" si="77"/>
        <v>0</v>
      </c>
      <c r="U457" s="343">
        <v>0</v>
      </c>
      <c r="V457" s="341">
        <v>51260</v>
      </c>
      <c r="W457" s="342">
        <v>0</v>
      </c>
      <c r="X457" s="340" t="s">
        <v>574</v>
      </c>
      <c r="Y457" s="340"/>
      <c r="Z457" s="340" t="s">
        <v>1091</v>
      </c>
      <c r="AA457" s="340">
        <v>227</v>
      </c>
      <c r="AB457" s="340" t="s">
        <v>571</v>
      </c>
      <c r="AC457" s="340" t="s">
        <v>570</v>
      </c>
      <c r="AD457" s="341" t="s">
        <v>569</v>
      </c>
      <c r="AE457" s="346">
        <v>42735</v>
      </c>
      <c r="AF457" s="341" t="s">
        <v>568</v>
      </c>
      <c r="AG457" s="340">
        <v>0</v>
      </c>
      <c r="AH457" s="340">
        <v>14816.8</v>
      </c>
      <c r="AI457" s="377"/>
      <c r="AK457" s="493">
        <f t="shared" si="67"/>
        <v>3</v>
      </c>
      <c r="AL457" s="493">
        <f t="shared" si="68"/>
        <v>2008</v>
      </c>
      <c r="AM457" s="493">
        <f t="shared" si="69"/>
        <v>2011</v>
      </c>
      <c r="AN457" s="494">
        <f t="shared" si="70"/>
        <v>2011.25</v>
      </c>
      <c r="AO457" s="505">
        <f t="shared" si="71"/>
        <v>411.57777777777778</v>
      </c>
      <c r="AP457" s="505">
        <f t="shared" si="72"/>
        <v>4938.9333333333334</v>
      </c>
      <c r="AQ457" s="505">
        <f t="shared" si="73"/>
        <v>0</v>
      </c>
      <c r="AR457" s="505">
        <f t="shared" si="74"/>
        <v>14816.8</v>
      </c>
      <c r="AS457" s="505">
        <f t="shared" si="75"/>
        <v>14816.8</v>
      </c>
      <c r="AT457" s="506">
        <f t="shared" si="76"/>
        <v>0</v>
      </c>
    </row>
    <row r="458" spans="1:46">
      <c r="A458" s="341">
        <v>2112</v>
      </c>
      <c r="B458" s="345">
        <v>173740</v>
      </c>
      <c r="C458" s="341">
        <v>65454</v>
      </c>
      <c r="D458" s="340" t="s">
        <v>1090</v>
      </c>
      <c r="E458" s="341">
        <v>100</v>
      </c>
      <c r="F458" s="340"/>
      <c r="G458" s="340"/>
      <c r="H458" s="340">
        <v>0</v>
      </c>
      <c r="I458" s="340"/>
      <c r="J458" s="340"/>
      <c r="K458" s="340" t="s">
        <v>572</v>
      </c>
      <c r="L458" s="344">
        <v>36192</v>
      </c>
      <c r="M458" s="344">
        <v>36192</v>
      </c>
      <c r="N458" s="340"/>
      <c r="O458" s="341">
        <v>1000</v>
      </c>
      <c r="P458" s="341">
        <v>14040</v>
      </c>
      <c r="Q458" s="342">
        <v>678.85</v>
      </c>
      <c r="R458" s="341">
        <v>14046</v>
      </c>
      <c r="S458" s="342">
        <v>678.85</v>
      </c>
      <c r="T458" s="342">
        <f t="shared" si="77"/>
        <v>0</v>
      </c>
      <c r="U458" s="343">
        <v>0</v>
      </c>
      <c r="V458" s="341">
        <v>51260</v>
      </c>
      <c r="W458" s="342">
        <v>0</v>
      </c>
      <c r="X458" s="340" t="s">
        <v>574</v>
      </c>
      <c r="Y458" s="340"/>
      <c r="Z458" s="340"/>
      <c r="AA458" s="340">
        <v>227</v>
      </c>
      <c r="AB458" s="340" t="s">
        <v>571</v>
      </c>
      <c r="AC458" s="340" t="s">
        <v>570</v>
      </c>
      <c r="AD458" s="341" t="s">
        <v>569</v>
      </c>
      <c r="AE458" s="346">
        <v>42735</v>
      </c>
      <c r="AF458" s="341" t="s">
        <v>568</v>
      </c>
      <c r="AG458" s="340">
        <v>0</v>
      </c>
      <c r="AH458" s="340">
        <v>678.85</v>
      </c>
      <c r="AI458" s="377"/>
      <c r="AK458" s="493">
        <f t="shared" si="67"/>
        <v>2</v>
      </c>
      <c r="AL458" s="493">
        <f t="shared" si="68"/>
        <v>1999</v>
      </c>
      <c r="AM458" s="493">
        <f t="shared" si="69"/>
        <v>2009</v>
      </c>
      <c r="AN458" s="494">
        <f t="shared" si="70"/>
        <v>2009.1666666666667</v>
      </c>
      <c r="AO458" s="505">
        <f t="shared" si="71"/>
        <v>5.6570833333333335</v>
      </c>
      <c r="AP458" s="505">
        <f t="shared" si="72"/>
        <v>67.885000000000005</v>
      </c>
      <c r="AQ458" s="505">
        <f t="shared" si="73"/>
        <v>0</v>
      </c>
      <c r="AR458" s="505">
        <f t="shared" si="74"/>
        <v>678.85</v>
      </c>
      <c r="AS458" s="505">
        <f t="shared" si="75"/>
        <v>678.85</v>
      </c>
      <c r="AT458" s="506">
        <f t="shared" si="76"/>
        <v>0</v>
      </c>
    </row>
    <row r="459" spans="1:46">
      <c r="A459" s="341">
        <v>2112</v>
      </c>
      <c r="B459" s="345">
        <v>173739</v>
      </c>
      <c r="C459" s="341">
        <v>65454</v>
      </c>
      <c r="D459" s="340" t="s">
        <v>1089</v>
      </c>
      <c r="E459" s="341">
        <v>100</v>
      </c>
      <c r="F459" s="340"/>
      <c r="G459" s="340"/>
      <c r="H459" s="340">
        <v>0</v>
      </c>
      <c r="I459" s="340"/>
      <c r="J459" s="340"/>
      <c r="K459" s="340" t="s">
        <v>1900</v>
      </c>
      <c r="L459" s="344">
        <v>36192</v>
      </c>
      <c r="M459" s="344">
        <v>36192</v>
      </c>
      <c r="N459" s="340"/>
      <c r="O459" s="341">
        <v>1000</v>
      </c>
      <c r="P459" s="341">
        <v>14040</v>
      </c>
      <c r="Q459" s="342">
        <v>2582.4</v>
      </c>
      <c r="R459" s="341">
        <v>14046</v>
      </c>
      <c r="S459" s="342">
        <v>2582.4</v>
      </c>
      <c r="T459" s="342">
        <f t="shared" si="77"/>
        <v>0</v>
      </c>
      <c r="U459" s="343">
        <v>0</v>
      </c>
      <c r="V459" s="341">
        <v>51260</v>
      </c>
      <c r="W459" s="342">
        <v>0</v>
      </c>
      <c r="X459" s="340" t="s">
        <v>574</v>
      </c>
      <c r="Y459" s="340"/>
      <c r="Z459" s="340"/>
      <c r="AA459" s="340">
        <v>227</v>
      </c>
      <c r="AB459" s="340" t="s">
        <v>571</v>
      </c>
      <c r="AC459" s="340" t="s">
        <v>570</v>
      </c>
      <c r="AD459" s="341" t="s">
        <v>569</v>
      </c>
      <c r="AE459" s="346">
        <v>42735</v>
      </c>
      <c r="AF459" s="341" t="s">
        <v>568</v>
      </c>
      <c r="AG459" s="340">
        <v>0</v>
      </c>
      <c r="AH459" s="340">
        <v>2582.4</v>
      </c>
      <c r="AI459" s="377"/>
      <c r="AK459" s="493">
        <f t="shared" si="67"/>
        <v>2</v>
      </c>
      <c r="AL459" s="493">
        <f t="shared" si="68"/>
        <v>1999</v>
      </c>
      <c r="AM459" s="493">
        <f t="shared" si="69"/>
        <v>2009</v>
      </c>
      <c r="AN459" s="494">
        <f t="shared" si="70"/>
        <v>2009.1666666666667</v>
      </c>
      <c r="AO459" s="505">
        <f t="shared" si="71"/>
        <v>21.52</v>
      </c>
      <c r="AP459" s="505">
        <f t="shared" si="72"/>
        <v>258.24</v>
      </c>
      <c r="AQ459" s="505">
        <f t="shared" si="73"/>
        <v>0</v>
      </c>
      <c r="AR459" s="505">
        <f t="shared" si="74"/>
        <v>2582.4</v>
      </c>
      <c r="AS459" s="505">
        <f t="shared" si="75"/>
        <v>2582.4</v>
      </c>
      <c r="AT459" s="506">
        <f t="shared" si="76"/>
        <v>0</v>
      </c>
    </row>
    <row r="460" spans="1:46">
      <c r="A460" s="341">
        <v>2112</v>
      </c>
      <c r="B460" s="345">
        <v>173737</v>
      </c>
      <c r="C460" s="341" t="s">
        <v>574</v>
      </c>
      <c r="D460" s="340" t="s">
        <v>1088</v>
      </c>
      <c r="E460" s="341">
        <v>624</v>
      </c>
      <c r="F460" s="340"/>
      <c r="G460" s="340"/>
      <c r="H460" s="340">
        <v>0</v>
      </c>
      <c r="I460" s="340" t="s">
        <v>1048</v>
      </c>
      <c r="J460" s="340"/>
      <c r="K460" s="340"/>
      <c r="L460" s="344">
        <v>39696</v>
      </c>
      <c r="M460" s="344">
        <v>39696</v>
      </c>
      <c r="N460" s="340" t="s">
        <v>1087</v>
      </c>
      <c r="O460" s="341">
        <v>700</v>
      </c>
      <c r="P460" s="341">
        <v>14050</v>
      </c>
      <c r="Q460" s="342">
        <v>37973.21</v>
      </c>
      <c r="R460" s="341">
        <v>14056</v>
      </c>
      <c r="S460" s="342">
        <v>37973.21</v>
      </c>
      <c r="T460" s="342">
        <f t="shared" si="77"/>
        <v>0</v>
      </c>
      <c r="U460" s="343">
        <v>0</v>
      </c>
      <c r="V460" s="341">
        <v>54260</v>
      </c>
      <c r="W460" s="342">
        <v>0</v>
      </c>
      <c r="X460" s="340" t="s">
        <v>574</v>
      </c>
      <c r="Y460" s="340"/>
      <c r="Z460" s="340" t="s">
        <v>1086</v>
      </c>
      <c r="AA460" s="340"/>
      <c r="AB460" s="340" t="s">
        <v>571</v>
      </c>
      <c r="AC460" s="340" t="s">
        <v>570</v>
      </c>
      <c r="AD460" s="341" t="s">
        <v>569</v>
      </c>
      <c r="AE460" s="346">
        <v>42735</v>
      </c>
      <c r="AF460" s="341" t="s">
        <v>568</v>
      </c>
      <c r="AG460" s="340">
        <v>0</v>
      </c>
      <c r="AH460" s="340">
        <v>37973.21</v>
      </c>
      <c r="AI460" s="377"/>
      <c r="AK460" s="493">
        <f t="shared" si="67"/>
        <v>9</v>
      </c>
      <c r="AL460" s="493">
        <f t="shared" si="68"/>
        <v>2008</v>
      </c>
      <c r="AM460" s="493">
        <f t="shared" si="69"/>
        <v>2015</v>
      </c>
      <c r="AN460" s="494">
        <f t="shared" si="70"/>
        <v>2015.75</v>
      </c>
      <c r="AO460" s="505">
        <f t="shared" si="71"/>
        <v>452.06202380952385</v>
      </c>
      <c r="AP460" s="505">
        <f t="shared" si="72"/>
        <v>5424.744285714286</v>
      </c>
      <c r="AQ460" s="505">
        <f t="shared" si="73"/>
        <v>0</v>
      </c>
      <c r="AR460" s="505">
        <f t="shared" si="74"/>
        <v>37973.21</v>
      </c>
      <c r="AS460" s="505">
        <f t="shared" si="75"/>
        <v>37973.21</v>
      </c>
      <c r="AT460" s="506">
        <f t="shared" si="76"/>
        <v>0</v>
      </c>
    </row>
    <row r="461" spans="1:46">
      <c r="A461" s="341">
        <v>2112</v>
      </c>
      <c r="B461" s="345">
        <v>173736</v>
      </c>
      <c r="C461" s="341" t="s">
        <v>574</v>
      </c>
      <c r="D461" s="340" t="s">
        <v>955</v>
      </c>
      <c r="E461" s="341">
        <v>5</v>
      </c>
      <c r="F461" s="340"/>
      <c r="G461" s="340"/>
      <c r="H461" s="340">
        <v>0</v>
      </c>
      <c r="I461" s="340" t="s">
        <v>714</v>
      </c>
      <c r="J461" s="340"/>
      <c r="K461" s="340" t="s">
        <v>722</v>
      </c>
      <c r="L461" s="344">
        <v>39653</v>
      </c>
      <c r="M461" s="344">
        <v>39653</v>
      </c>
      <c r="N461" s="340" t="s">
        <v>1085</v>
      </c>
      <c r="O461" s="341">
        <v>1200</v>
      </c>
      <c r="P461" s="341">
        <v>14050</v>
      </c>
      <c r="Q461" s="342">
        <v>27728.720000000001</v>
      </c>
      <c r="R461" s="341">
        <v>14056</v>
      </c>
      <c r="S461" s="342">
        <v>27728.720000000001</v>
      </c>
      <c r="T461" s="342">
        <f t="shared" si="77"/>
        <v>0</v>
      </c>
      <c r="U461" s="343">
        <v>0</v>
      </c>
      <c r="V461" s="341">
        <v>54260</v>
      </c>
      <c r="W461" s="342">
        <v>0</v>
      </c>
      <c r="X461" s="340" t="s">
        <v>574</v>
      </c>
      <c r="Y461" s="340"/>
      <c r="Z461" s="340">
        <v>3831</v>
      </c>
      <c r="AA461" s="340"/>
      <c r="AB461" s="340" t="s">
        <v>571</v>
      </c>
      <c r="AC461" s="340" t="s">
        <v>570</v>
      </c>
      <c r="AD461" s="341" t="s">
        <v>569</v>
      </c>
      <c r="AE461" s="346">
        <v>42735</v>
      </c>
      <c r="AF461" s="341" t="s">
        <v>568</v>
      </c>
      <c r="AG461" s="340">
        <v>0</v>
      </c>
      <c r="AH461" s="340">
        <v>19448.5</v>
      </c>
      <c r="AI461" s="377"/>
      <c r="AK461" s="493">
        <f t="shared" si="67"/>
        <v>7</v>
      </c>
      <c r="AL461" s="493">
        <f t="shared" si="68"/>
        <v>2008</v>
      </c>
      <c r="AM461" s="493">
        <f t="shared" si="69"/>
        <v>2020</v>
      </c>
      <c r="AN461" s="494">
        <f t="shared" si="70"/>
        <v>2020.5833333333333</v>
      </c>
      <c r="AO461" s="505">
        <f t="shared" si="71"/>
        <v>192.56055555555557</v>
      </c>
      <c r="AP461" s="505">
        <f t="shared" si="72"/>
        <v>2310.7266666666669</v>
      </c>
      <c r="AQ461" s="505">
        <f t="shared" si="73"/>
        <v>0</v>
      </c>
      <c r="AR461" s="505">
        <f t="shared" si="74"/>
        <v>27728.720000000001</v>
      </c>
      <c r="AS461" s="505">
        <f t="shared" si="75"/>
        <v>27728.720000000001</v>
      </c>
      <c r="AT461" s="506">
        <f t="shared" si="76"/>
        <v>0</v>
      </c>
    </row>
    <row r="462" spans="1:46">
      <c r="A462" s="341">
        <v>2112</v>
      </c>
      <c r="B462" s="345">
        <v>173735</v>
      </c>
      <c r="C462" s="341" t="s">
        <v>574</v>
      </c>
      <c r="D462" s="340" t="s">
        <v>1084</v>
      </c>
      <c r="E462" s="341">
        <v>15</v>
      </c>
      <c r="F462" s="340"/>
      <c r="G462" s="340"/>
      <c r="H462" s="340">
        <v>0</v>
      </c>
      <c r="I462" s="340" t="s">
        <v>714</v>
      </c>
      <c r="J462" s="340"/>
      <c r="K462" s="340" t="s">
        <v>673</v>
      </c>
      <c r="L462" s="344">
        <v>39653</v>
      </c>
      <c r="M462" s="344">
        <v>39653</v>
      </c>
      <c r="N462" s="340" t="s">
        <v>1083</v>
      </c>
      <c r="O462" s="341">
        <v>1200</v>
      </c>
      <c r="P462" s="341">
        <v>14050</v>
      </c>
      <c r="Q462" s="342">
        <v>13631.3</v>
      </c>
      <c r="R462" s="341">
        <v>14056</v>
      </c>
      <c r="S462" s="342">
        <v>13631.3</v>
      </c>
      <c r="T462" s="342">
        <f t="shared" si="77"/>
        <v>0</v>
      </c>
      <c r="U462" s="343">
        <v>0</v>
      </c>
      <c r="V462" s="341">
        <v>54260</v>
      </c>
      <c r="W462" s="342">
        <v>0</v>
      </c>
      <c r="X462" s="340" t="s">
        <v>574</v>
      </c>
      <c r="Y462" s="340"/>
      <c r="Z462" s="340">
        <v>3832</v>
      </c>
      <c r="AA462" s="340"/>
      <c r="AB462" s="340" t="s">
        <v>571</v>
      </c>
      <c r="AC462" s="340" t="s">
        <v>570</v>
      </c>
      <c r="AD462" s="341" t="s">
        <v>569</v>
      </c>
      <c r="AE462" s="346">
        <v>42735</v>
      </c>
      <c r="AF462" s="341" t="s">
        <v>568</v>
      </c>
      <c r="AG462" s="340">
        <v>0</v>
      </c>
      <c r="AH462" s="340">
        <v>9560.83</v>
      </c>
      <c r="AI462" s="377"/>
      <c r="AK462" s="493">
        <f t="shared" ref="AK462:AK525" si="78">MONTH($L462)</f>
        <v>7</v>
      </c>
      <c r="AL462" s="493">
        <f t="shared" ref="AL462:AL525" si="79">YEAR($L462)</f>
        <v>2008</v>
      </c>
      <c r="AM462" s="493">
        <f t="shared" ref="AM462:AM525" si="80">$AL462+($O462/100)</f>
        <v>2020</v>
      </c>
      <c r="AN462" s="494">
        <f t="shared" ref="AN462:AN525" si="81">$AM462+($AK462/12)</f>
        <v>2020.5833333333333</v>
      </c>
      <c r="AO462" s="505">
        <f t="shared" ref="AO462:AO525" si="82">IFERROR($Q462/($O462/100)/12,0)</f>
        <v>94.661805555555546</v>
      </c>
      <c r="AP462" s="505">
        <f t="shared" ref="AP462:AP525" si="83">$AO462*12</f>
        <v>1135.9416666666666</v>
      </c>
      <c r="AQ462" s="505">
        <f t="shared" ref="AQ462:AQ525" si="84">+IF(AN462&lt;=$AI$9,0,AP462)</f>
        <v>0</v>
      </c>
      <c r="AR462" s="505">
        <f t="shared" ref="AR462:AR525" si="85">+IF(AN462&lt;=$AI$10,Q462,IF((AL462+(AK462/12))&gt;=$AI$10,0,((Q462-((AN462-$AI$10)*12)*AO462))))</f>
        <v>13631.3</v>
      </c>
      <c r="AS462" s="505">
        <f t="shared" ref="AS462:AS525" si="86">+IF(AN462&lt;$AI$9,Q462,AQ462+AR462)</f>
        <v>13631.3</v>
      </c>
      <c r="AT462" s="506">
        <f t="shared" ref="AT462:AT525" si="87">$Q462-$AS462</f>
        <v>0</v>
      </c>
    </row>
    <row r="463" spans="1:46">
      <c r="A463" s="341">
        <v>2112</v>
      </c>
      <c r="B463" s="345">
        <v>173733</v>
      </c>
      <c r="C463" s="341">
        <v>54942</v>
      </c>
      <c r="D463" s="340" t="s">
        <v>1082</v>
      </c>
      <c r="E463" s="341">
        <v>0</v>
      </c>
      <c r="F463" s="340">
        <v>201124</v>
      </c>
      <c r="G463" s="340"/>
      <c r="H463" s="340">
        <v>2005</v>
      </c>
      <c r="I463" s="340"/>
      <c r="J463" s="340"/>
      <c r="K463" s="340" t="s">
        <v>572</v>
      </c>
      <c r="L463" s="344">
        <v>39448</v>
      </c>
      <c r="M463" s="344">
        <v>39448</v>
      </c>
      <c r="N463" s="340" t="s">
        <v>1081</v>
      </c>
      <c r="O463" s="341">
        <v>700</v>
      </c>
      <c r="P463" s="341">
        <v>14040</v>
      </c>
      <c r="Q463" s="342">
        <v>16747.5</v>
      </c>
      <c r="R463" s="341">
        <v>14046</v>
      </c>
      <c r="S463" s="342">
        <v>16747.5</v>
      </c>
      <c r="T463" s="342">
        <f t="shared" si="77"/>
        <v>0</v>
      </c>
      <c r="U463" s="343">
        <v>0</v>
      </c>
      <c r="V463" s="341">
        <v>51260</v>
      </c>
      <c r="W463" s="342">
        <v>0</v>
      </c>
      <c r="X463" s="340" t="s">
        <v>574</v>
      </c>
      <c r="Y463" s="340"/>
      <c r="Z463" s="347">
        <v>1178639</v>
      </c>
      <c r="AA463" s="340"/>
      <c r="AB463" s="340" t="s">
        <v>571</v>
      </c>
      <c r="AC463" s="340" t="s">
        <v>570</v>
      </c>
      <c r="AD463" s="341" t="s">
        <v>569</v>
      </c>
      <c r="AE463" s="346">
        <v>42735</v>
      </c>
      <c r="AF463" s="341" t="s">
        <v>568</v>
      </c>
      <c r="AG463" s="340">
        <v>0</v>
      </c>
      <c r="AH463" s="340">
        <v>16747.5</v>
      </c>
      <c r="AI463" s="377"/>
      <c r="AK463" s="493">
        <f t="shared" si="78"/>
        <v>1</v>
      </c>
      <c r="AL463" s="493">
        <f t="shared" si="79"/>
        <v>2008</v>
      </c>
      <c r="AM463" s="493">
        <f t="shared" si="80"/>
        <v>2015</v>
      </c>
      <c r="AN463" s="494">
        <f t="shared" si="81"/>
        <v>2015.0833333333333</v>
      </c>
      <c r="AO463" s="505">
        <f t="shared" si="82"/>
        <v>199.375</v>
      </c>
      <c r="AP463" s="505">
        <f t="shared" si="83"/>
        <v>2392.5</v>
      </c>
      <c r="AQ463" s="505">
        <f t="shared" si="84"/>
        <v>0</v>
      </c>
      <c r="AR463" s="505">
        <f t="shared" si="85"/>
        <v>16747.5</v>
      </c>
      <c r="AS463" s="505">
        <f t="shared" si="86"/>
        <v>16747.5</v>
      </c>
      <c r="AT463" s="506">
        <f t="shared" si="87"/>
        <v>0</v>
      </c>
    </row>
    <row r="464" spans="1:46">
      <c r="A464" s="341">
        <v>2112</v>
      </c>
      <c r="B464" s="345">
        <v>173731</v>
      </c>
      <c r="C464" s="341" t="s">
        <v>574</v>
      </c>
      <c r="D464" s="340" t="s">
        <v>1080</v>
      </c>
      <c r="E464" s="341">
        <v>15</v>
      </c>
      <c r="F464" s="340">
        <v>0</v>
      </c>
      <c r="G464" s="340"/>
      <c r="H464" s="340">
        <v>0</v>
      </c>
      <c r="I464" s="340" t="s">
        <v>714</v>
      </c>
      <c r="J464" s="340"/>
      <c r="K464" s="340" t="s">
        <v>782</v>
      </c>
      <c r="L464" s="344">
        <v>39448</v>
      </c>
      <c r="M464" s="344">
        <v>39448</v>
      </c>
      <c r="N464" s="340" t="s">
        <v>1079</v>
      </c>
      <c r="O464" s="341">
        <v>1110</v>
      </c>
      <c r="P464" s="341">
        <v>14050</v>
      </c>
      <c r="Q464" s="342">
        <v>10124.17</v>
      </c>
      <c r="R464" s="341">
        <v>14056</v>
      </c>
      <c r="S464" s="342">
        <v>10124.17</v>
      </c>
      <c r="T464" s="342">
        <f t="shared" si="77"/>
        <v>0</v>
      </c>
      <c r="U464" s="343">
        <v>0</v>
      </c>
      <c r="V464" s="341">
        <v>54260</v>
      </c>
      <c r="W464" s="342">
        <v>0</v>
      </c>
      <c r="X464" s="340" t="s">
        <v>574</v>
      </c>
      <c r="Y464" s="340"/>
      <c r="Z464" s="340">
        <v>3543</v>
      </c>
      <c r="AA464" s="340"/>
      <c r="AB464" s="340" t="s">
        <v>571</v>
      </c>
      <c r="AC464" s="340" t="s">
        <v>570</v>
      </c>
      <c r="AD464" s="341" t="s">
        <v>569</v>
      </c>
      <c r="AE464" s="346">
        <v>42735</v>
      </c>
      <c r="AF464" s="341" t="s">
        <v>568</v>
      </c>
      <c r="AG464" s="340">
        <v>0</v>
      </c>
      <c r="AH464" s="340">
        <v>7700.04</v>
      </c>
      <c r="AI464" s="377"/>
      <c r="AK464" s="493">
        <f t="shared" si="78"/>
        <v>1</v>
      </c>
      <c r="AL464" s="493">
        <f t="shared" si="79"/>
        <v>2008</v>
      </c>
      <c r="AM464" s="493">
        <f t="shared" si="80"/>
        <v>2019.1</v>
      </c>
      <c r="AN464" s="494">
        <f t="shared" si="81"/>
        <v>2019.1833333333332</v>
      </c>
      <c r="AO464" s="505">
        <f t="shared" si="82"/>
        <v>76.00728228228229</v>
      </c>
      <c r="AP464" s="505">
        <f t="shared" si="83"/>
        <v>912.08738738738748</v>
      </c>
      <c r="AQ464" s="505">
        <f t="shared" si="84"/>
        <v>0</v>
      </c>
      <c r="AR464" s="505">
        <f t="shared" si="85"/>
        <v>10124.17</v>
      </c>
      <c r="AS464" s="505">
        <f t="shared" si="86"/>
        <v>10124.17</v>
      </c>
      <c r="AT464" s="506">
        <f t="shared" si="87"/>
        <v>0</v>
      </c>
    </row>
    <row r="465" spans="1:46">
      <c r="A465" s="341">
        <v>2112</v>
      </c>
      <c r="B465" s="345">
        <v>173730</v>
      </c>
      <c r="C465" s="341" t="s">
        <v>574</v>
      </c>
      <c r="D465" s="340" t="s">
        <v>1078</v>
      </c>
      <c r="E465" s="341">
        <v>0</v>
      </c>
      <c r="F465" s="340"/>
      <c r="G465" s="340"/>
      <c r="H465" s="340">
        <v>0</v>
      </c>
      <c r="I465" s="340"/>
      <c r="J465" s="340"/>
      <c r="K465" s="340"/>
      <c r="L465" s="344">
        <v>39447</v>
      </c>
      <c r="M465" s="344">
        <v>39447</v>
      </c>
      <c r="N465" s="340"/>
      <c r="O465" s="341">
        <v>500</v>
      </c>
      <c r="P465" s="341">
        <v>15250</v>
      </c>
      <c r="Q465" s="342">
        <v>620440</v>
      </c>
      <c r="R465" s="341">
        <v>15256</v>
      </c>
      <c r="S465" s="342">
        <v>620440</v>
      </c>
      <c r="T465" s="342">
        <f t="shared" si="77"/>
        <v>0</v>
      </c>
      <c r="U465" s="343">
        <v>0</v>
      </c>
      <c r="V465" s="341">
        <v>70269</v>
      </c>
      <c r="W465" s="342">
        <v>0</v>
      </c>
      <c r="X465" s="340" t="s">
        <v>570</v>
      </c>
      <c r="Y465" s="340" t="s">
        <v>1072</v>
      </c>
      <c r="Z465" s="340"/>
      <c r="AA465" s="340"/>
      <c r="AB465" s="340" t="s">
        <v>571</v>
      </c>
      <c r="AC465" s="340" t="s">
        <v>570</v>
      </c>
      <c r="AD465" s="341" t="s">
        <v>569</v>
      </c>
      <c r="AE465" s="346">
        <v>42735</v>
      </c>
      <c r="AF465" s="341" t="s">
        <v>568</v>
      </c>
      <c r="AG465" s="340">
        <v>0</v>
      </c>
      <c r="AH465" s="340">
        <v>620440</v>
      </c>
      <c r="AI465" s="377"/>
      <c r="AK465" s="493">
        <f t="shared" si="78"/>
        <v>12</v>
      </c>
      <c r="AL465" s="493">
        <f t="shared" si="79"/>
        <v>2007</v>
      </c>
      <c r="AM465" s="493">
        <f t="shared" si="80"/>
        <v>2012</v>
      </c>
      <c r="AN465" s="494">
        <f t="shared" si="81"/>
        <v>2013</v>
      </c>
      <c r="AO465" s="505">
        <f t="shared" si="82"/>
        <v>10340.666666666666</v>
      </c>
      <c r="AP465" s="505">
        <f t="shared" si="83"/>
        <v>124088</v>
      </c>
      <c r="AQ465" s="505">
        <f t="shared" si="84"/>
        <v>0</v>
      </c>
      <c r="AR465" s="505">
        <f t="shared" si="85"/>
        <v>620440</v>
      </c>
      <c r="AS465" s="505">
        <f t="shared" si="86"/>
        <v>620440</v>
      </c>
      <c r="AT465" s="506">
        <f t="shared" si="87"/>
        <v>0</v>
      </c>
    </row>
    <row r="466" spans="1:46">
      <c r="A466" s="341">
        <v>2112</v>
      </c>
      <c r="B466" s="345">
        <v>173729</v>
      </c>
      <c r="C466" s="341" t="s">
        <v>574</v>
      </c>
      <c r="D466" s="340" t="s">
        <v>1077</v>
      </c>
      <c r="E466" s="341">
        <v>3761</v>
      </c>
      <c r="F466" s="340"/>
      <c r="G466" s="340"/>
      <c r="H466" s="340">
        <v>0</v>
      </c>
      <c r="I466" s="340"/>
      <c r="J466" s="340"/>
      <c r="K466" s="340"/>
      <c r="L466" s="344">
        <v>39447</v>
      </c>
      <c r="M466" s="344">
        <v>39447</v>
      </c>
      <c r="N466" s="340"/>
      <c r="O466" s="341">
        <v>500</v>
      </c>
      <c r="P466" s="341">
        <v>14050</v>
      </c>
      <c r="Q466" s="342">
        <v>37610</v>
      </c>
      <c r="R466" s="341">
        <v>14056</v>
      </c>
      <c r="S466" s="342">
        <v>37610</v>
      </c>
      <c r="T466" s="342">
        <f t="shared" si="77"/>
        <v>0</v>
      </c>
      <c r="U466" s="343">
        <v>0</v>
      </c>
      <c r="V466" s="341">
        <v>54260</v>
      </c>
      <c r="W466" s="342">
        <v>0</v>
      </c>
      <c r="X466" s="340" t="s">
        <v>570</v>
      </c>
      <c r="Y466" s="340" t="s">
        <v>1072</v>
      </c>
      <c r="Z466" s="340"/>
      <c r="AA466" s="340"/>
      <c r="AB466" s="340" t="s">
        <v>571</v>
      </c>
      <c r="AC466" s="340" t="s">
        <v>570</v>
      </c>
      <c r="AD466" s="341" t="s">
        <v>569</v>
      </c>
      <c r="AE466" s="346">
        <v>42735</v>
      </c>
      <c r="AF466" s="341" t="s">
        <v>568</v>
      </c>
      <c r="AG466" s="340">
        <v>0</v>
      </c>
      <c r="AH466" s="340">
        <v>37610</v>
      </c>
      <c r="AI466" s="377"/>
      <c r="AK466" s="493">
        <f t="shared" si="78"/>
        <v>12</v>
      </c>
      <c r="AL466" s="493">
        <f t="shared" si="79"/>
        <v>2007</v>
      </c>
      <c r="AM466" s="493">
        <f t="shared" si="80"/>
        <v>2012</v>
      </c>
      <c r="AN466" s="494">
        <f t="shared" si="81"/>
        <v>2013</v>
      </c>
      <c r="AO466" s="505">
        <f t="shared" si="82"/>
        <v>626.83333333333337</v>
      </c>
      <c r="AP466" s="505">
        <f t="shared" si="83"/>
        <v>7522</v>
      </c>
      <c r="AQ466" s="505">
        <f t="shared" si="84"/>
        <v>0</v>
      </c>
      <c r="AR466" s="505">
        <f t="shared" si="85"/>
        <v>37610</v>
      </c>
      <c r="AS466" s="505">
        <f t="shared" si="86"/>
        <v>37610</v>
      </c>
      <c r="AT466" s="506">
        <f t="shared" si="87"/>
        <v>0</v>
      </c>
    </row>
    <row r="467" spans="1:46">
      <c r="A467" s="341">
        <v>2112</v>
      </c>
      <c r="B467" s="345">
        <v>173728</v>
      </c>
      <c r="C467" s="341" t="s">
        <v>574</v>
      </c>
      <c r="D467" s="340" t="s">
        <v>1076</v>
      </c>
      <c r="E467" s="341">
        <v>18</v>
      </c>
      <c r="F467" s="340"/>
      <c r="G467" s="340"/>
      <c r="H467" s="340">
        <v>0</v>
      </c>
      <c r="I467" s="340"/>
      <c r="J467" s="340"/>
      <c r="K467" s="340" t="s">
        <v>673</v>
      </c>
      <c r="L467" s="344">
        <v>39447</v>
      </c>
      <c r="M467" s="344">
        <v>39447</v>
      </c>
      <c r="N467" s="340"/>
      <c r="O467" s="341">
        <v>700</v>
      </c>
      <c r="P467" s="341">
        <v>14050</v>
      </c>
      <c r="Q467" s="342">
        <v>1350</v>
      </c>
      <c r="R467" s="341">
        <v>14056</v>
      </c>
      <c r="S467" s="342">
        <v>1350</v>
      </c>
      <c r="T467" s="342">
        <f t="shared" si="77"/>
        <v>0</v>
      </c>
      <c r="U467" s="343">
        <v>0</v>
      </c>
      <c r="V467" s="341">
        <v>54260</v>
      </c>
      <c r="W467" s="342">
        <v>0</v>
      </c>
      <c r="X467" s="340" t="s">
        <v>570</v>
      </c>
      <c r="Y467" s="340" t="s">
        <v>1072</v>
      </c>
      <c r="Z467" s="340"/>
      <c r="AA467" s="340"/>
      <c r="AB467" s="340" t="s">
        <v>571</v>
      </c>
      <c r="AC467" s="340" t="s">
        <v>570</v>
      </c>
      <c r="AD467" s="341" t="s">
        <v>569</v>
      </c>
      <c r="AE467" s="346">
        <v>42735</v>
      </c>
      <c r="AF467" s="341" t="s">
        <v>568</v>
      </c>
      <c r="AG467" s="340">
        <v>0</v>
      </c>
      <c r="AH467" s="340">
        <v>1350</v>
      </c>
      <c r="AI467" s="377"/>
      <c r="AK467" s="493">
        <f t="shared" si="78"/>
        <v>12</v>
      </c>
      <c r="AL467" s="493">
        <f t="shared" si="79"/>
        <v>2007</v>
      </c>
      <c r="AM467" s="493">
        <f t="shared" si="80"/>
        <v>2014</v>
      </c>
      <c r="AN467" s="494">
        <f t="shared" si="81"/>
        <v>2015</v>
      </c>
      <c r="AO467" s="505">
        <f t="shared" si="82"/>
        <v>16.071428571428573</v>
      </c>
      <c r="AP467" s="505">
        <f t="shared" si="83"/>
        <v>192.85714285714289</v>
      </c>
      <c r="AQ467" s="505">
        <f t="shared" si="84"/>
        <v>0</v>
      </c>
      <c r="AR467" s="505">
        <f t="shared" si="85"/>
        <v>1350</v>
      </c>
      <c r="AS467" s="505">
        <f t="shared" si="86"/>
        <v>1350</v>
      </c>
      <c r="AT467" s="506">
        <f t="shared" si="87"/>
        <v>0</v>
      </c>
    </row>
    <row r="468" spans="1:46">
      <c r="A468" s="341">
        <v>2112</v>
      </c>
      <c r="B468" s="345">
        <v>173727</v>
      </c>
      <c r="C468" s="341" t="s">
        <v>574</v>
      </c>
      <c r="D468" s="340" t="s">
        <v>1075</v>
      </c>
      <c r="E468" s="341">
        <v>28</v>
      </c>
      <c r="F468" s="340"/>
      <c r="G468" s="340"/>
      <c r="H468" s="340">
        <v>0</v>
      </c>
      <c r="I468" s="340"/>
      <c r="J468" s="340"/>
      <c r="K468" s="340" t="s">
        <v>782</v>
      </c>
      <c r="L468" s="344">
        <v>39447</v>
      </c>
      <c r="M468" s="344">
        <v>39447</v>
      </c>
      <c r="N468" s="340"/>
      <c r="O468" s="341">
        <v>700</v>
      </c>
      <c r="P468" s="341">
        <v>14050</v>
      </c>
      <c r="Q468" s="342">
        <v>2100</v>
      </c>
      <c r="R468" s="341">
        <v>14056</v>
      </c>
      <c r="S468" s="342">
        <v>2100</v>
      </c>
      <c r="T468" s="342">
        <f t="shared" si="77"/>
        <v>0</v>
      </c>
      <c r="U468" s="343">
        <v>0</v>
      </c>
      <c r="V468" s="341">
        <v>54260</v>
      </c>
      <c r="W468" s="342">
        <v>0</v>
      </c>
      <c r="X468" s="340" t="s">
        <v>570</v>
      </c>
      <c r="Y468" s="340" t="s">
        <v>1072</v>
      </c>
      <c r="Z468" s="340"/>
      <c r="AA468" s="340"/>
      <c r="AB468" s="340" t="s">
        <v>571</v>
      </c>
      <c r="AC468" s="340" t="s">
        <v>570</v>
      </c>
      <c r="AD468" s="341" t="s">
        <v>569</v>
      </c>
      <c r="AE468" s="346">
        <v>42735</v>
      </c>
      <c r="AF468" s="341" t="s">
        <v>568</v>
      </c>
      <c r="AG468" s="340">
        <v>0</v>
      </c>
      <c r="AH468" s="340">
        <v>2100</v>
      </c>
      <c r="AI468" s="377"/>
      <c r="AK468" s="493">
        <f t="shared" si="78"/>
        <v>12</v>
      </c>
      <c r="AL468" s="493">
        <f t="shared" si="79"/>
        <v>2007</v>
      </c>
      <c r="AM468" s="493">
        <f t="shared" si="80"/>
        <v>2014</v>
      </c>
      <c r="AN468" s="494">
        <f t="shared" si="81"/>
        <v>2015</v>
      </c>
      <c r="AO468" s="505">
        <f t="shared" si="82"/>
        <v>25</v>
      </c>
      <c r="AP468" s="505">
        <f t="shared" si="83"/>
        <v>300</v>
      </c>
      <c r="AQ468" s="505">
        <f t="shared" si="84"/>
        <v>0</v>
      </c>
      <c r="AR468" s="505">
        <f t="shared" si="85"/>
        <v>2100</v>
      </c>
      <c r="AS468" s="505">
        <f t="shared" si="86"/>
        <v>2100</v>
      </c>
      <c r="AT468" s="506">
        <f t="shared" si="87"/>
        <v>0</v>
      </c>
    </row>
    <row r="469" spans="1:46">
      <c r="A469" s="341">
        <v>2112</v>
      </c>
      <c r="B469" s="345">
        <v>173726</v>
      </c>
      <c r="C469" s="341" t="s">
        <v>574</v>
      </c>
      <c r="D469" s="340" t="s">
        <v>1074</v>
      </c>
      <c r="E469" s="341">
        <v>37</v>
      </c>
      <c r="F469" s="340"/>
      <c r="G469" s="340"/>
      <c r="H469" s="340">
        <v>0</v>
      </c>
      <c r="I469" s="340"/>
      <c r="J469" s="340"/>
      <c r="K469" s="340" t="s">
        <v>671</v>
      </c>
      <c r="L469" s="344">
        <v>39447</v>
      </c>
      <c r="M469" s="344">
        <v>39447</v>
      </c>
      <c r="N469" s="340"/>
      <c r="O469" s="341">
        <v>700</v>
      </c>
      <c r="P469" s="341">
        <v>14050</v>
      </c>
      <c r="Q469" s="342">
        <v>2775</v>
      </c>
      <c r="R469" s="341">
        <v>14056</v>
      </c>
      <c r="S469" s="342">
        <v>2775</v>
      </c>
      <c r="T469" s="342">
        <f t="shared" ref="T469:T532" si="88">Q469-S469</f>
        <v>0</v>
      </c>
      <c r="U469" s="343">
        <v>0</v>
      </c>
      <c r="V469" s="341">
        <v>54260</v>
      </c>
      <c r="W469" s="342">
        <v>0</v>
      </c>
      <c r="X469" s="340" t="s">
        <v>570</v>
      </c>
      <c r="Y469" s="340" t="s">
        <v>1072</v>
      </c>
      <c r="Z469" s="340"/>
      <c r="AA469" s="340"/>
      <c r="AB469" s="340" t="s">
        <v>571</v>
      </c>
      <c r="AC469" s="340" t="s">
        <v>570</v>
      </c>
      <c r="AD469" s="341" t="s">
        <v>569</v>
      </c>
      <c r="AE469" s="346">
        <v>42735</v>
      </c>
      <c r="AF469" s="341" t="s">
        <v>568</v>
      </c>
      <c r="AG469" s="340">
        <v>0</v>
      </c>
      <c r="AH469" s="340">
        <v>2775</v>
      </c>
      <c r="AI469" s="377"/>
      <c r="AK469" s="493">
        <f t="shared" si="78"/>
        <v>12</v>
      </c>
      <c r="AL469" s="493">
        <f t="shared" si="79"/>
        <v>2007</v>
      </c>
      <c r="AM469" s="493">
        <f t="shared" si="80"/>
        <v>2014</v>
      </c>
      <c r="AN469" s="494">
        <f t="shared" si="81"/>
        <v>2015</v>
      </c>
      <c r="AO469" s="505">
        <f t="shared" si="82"/>
        <v>33.035714285714285</v>
      </c>
      <c r="AP469" s="505">
        <f t="shared" si="83"/>
        <v>396.42857142857144</v>
      </c>
      <c r="AQ469" s="505">
        <f t="shared" si="84"/>
        <v>0</v>
      </c>
      <c r="AR469" s="505">
        <f t="shared" si="85"/>
        <v>2775</v>
      </c>
      <c r="AS469" s="505">
        <f t="shared" si="86"/>
        <v>2775</v>
      </c>
      <c r="AT469" s="506">
        <f t="shared" si="87"/>
        <v>0</v>
      </c>
    </row>
    <row r="470" spans="1:46">
      <c r="A470" s="341">
        <v>2112</v>
      </c>
      <c r="B470" s="345">
        <v>173725</v>
      </c>
      <c r="C470" s="341" t="s">
        <v>574</v>
      </c>
      <c r="D470" s="340" t="s">
        <v>543</v>
      </c>
      <c r="E470" s="341">
        <v>58</v>
      </c>
      <c r="F470" s="340"/>
      <c r="G470" s="340"/>
      <c r="H470" s="340">
        <v>0</v>
      </c>
      <c r="I470" s="340"/>
      <c r="J470" s="340"/>
      <c r="K470" s="340" t="s">
        <v>636</v>
      </c>
      <c r="L470" s="344">
        <v>39447</v>
      </c>
      <c r="M470" s="344">
        <v>39447</v>
      </c>
      <c r="N470" s="340"/>
      <c r="O470" s="341">
        <v>700</v>
      </c>
      <c r="P470" s="341">
        <v>14050</v>
      </c>
      <c r="Q470" s="342">
        <v>2607.34</v>
      </c>
      <c r="R470" s="341">
        <v>14056</v>
      </c>
      <c r="S470" s="342">
        <v>2607.34</v>
      </c>
      <c r="T470" s="342">
        <f t="shared" si="88"/>
        <v>0</v>
      </c>
      <c r="U470" s="343">
        <v>0</v>
      </c>
      <c r="V470" s="341">
        <v>54260</v>
      </c>
      <c r="W470" s="342">
        <v>0</v>
      </c>
      <c r="X470" s="340" t="s">
        <v>570</v>
      </c>
      <c r="Y470" s="340" t="s">
        <v>1072</v>
      </c>
      <c r="Z470" s="340"/>
      <c r="AA470" s="340"/>
      <c r="AB470" s="340" t="s">
        <v>571</v>
      </c>
      <c r="AC470" s="340" t="s">
        <v>570</v>
      </c>
      <c r="AD470" s="341" t="s">
        <v>569</v>
      </c>
      <c r="AE470" s="346">
        <v>42735</v>
      </c>
      <c r="AF470" s="341" t="s">
        <v>568</v>
      </c>
      <c r="AG470" s="340">
        <v>0</v>
      </c>
      <c r="AH470" s="340">
        <v>2607.34</v>
      </c>
      <c r="AI470" s="377"/>
      <c r="AK470" s="493">
        <f t="shared" si="78"/>
        <v>12</v>
      </c>
      <c r="AL470" s="493">
        <f t="shared" si="79"/>
        <v>2007</v>
      </c>
      <c r="AM470" s="493">
        <f t="shared" si="80"/>
        <v>2014</v>
      </c>
      <c r="AN470" s="494">
        <f t="shared" si="81"/>
        <v>2015</v>
      </c>
      <c r="AO470" s="505">
        <f t="shared" si="82"/>
        <v>31.039761904761907</v>
      </c>
      <c r="AP470" s="505">
        <f t="shared" si="83"/>
        <v>372.47714285714289</v>
      </c>
      <c r="AQ470" s="505">
        <f t="shared" si="84"/>
        <v>0</v>
      </c>
      <c r="AR470" s="505">
        <f t="shared" si="85"/>
        <v>2607.34</v>
      </c>
      <c r="AS470" s="505">
        <f t="shared" si="86"/>
        <v>2607.34</v>
      </c>
      <c r="AT470" s="506">
        <f t="shared" si="87"/>
        <v>0</v>
      </c>
    </row>
    <row r="471" spans="1:46">
      <c r="A471" s="341">
        <v>2112</v>
      </c>
      <c r="B471" s="345">
        <v>173724</v>
      </c>
      <c r="C471" s="341" t="s">
        <v>574</v>
      </c>
      <c r="D471" s="340" t="s">
        <v>1073</v>
      </c>
      <c r="E471" s="341">
        <v>114</v>
      </c>
      <c r="F471" s="340"/>
      <c r="G471" s="340"/>
      <c r="H471" s="340">
        <v>0</v>
      </c>
      <c r="I471" s="340"/>
      <c r="J471" s="340"/>
      <c r="K471" s="340" t="s">
        <v>706</v>
      </c>
      <c r="L471" s="344">
        <v>39447</v>
      </c>
      <c r="M471" s="344">
        <v>39447</v>
      </c>
      <c r="N471" s="340"/>
      <c r="O471" s="341">
        <v>700</v>
      </c>
      <c r="P471" s="341">
        <v>14050</v>
      </c>
      <c r="Q471" s="342">
        <v>8550</v>
      </c>
      <c r="R471" s="341">
        <v>14056</v>
      </c>
      <c r="S471" s="342">
        <v>8550</v>
      </c>
      <c r="T471" s="342">
        <f t="shared" si="88"/>
        <v>0</v>
      </c>
      <c r="U471" s="343">
        <v>0</v>
      </c>
      <c r="V471" s="341">
        <v>54260</v>
      </c>
      <c r="W471" s="342">
        <v>0</v>
      </c>
      <c r="X471" s="340" t="s">
        <v>570</v>
      </c>
      <c r="Y471" s="340" t="s">
        <v>1072</v>
      </c>
      <c r="Z471" s="340"/>
      <c r="AA471" s="340"/>
      <c r="AB471" s="340" t="s">
        <v>571</v>
      </c>
      <c r="AC471" s="340" t="s">
        <v>570</v>
      </c>
      <c r="AD471" s="341" t="s">
        <v>569</v>
      </c>
      <c r="AE471" s="346">
        <v>42735</v>
      </c>
      <c r="AF471" s="341" t="s">
        <v>568</v>
      </c>
      <c r="AG471" s="340">
        <v>0</v>
      </c>
      <c r="AH471" s="340">
        <v>8550</v>
      </c>
      <c r="AI471" s="377"/>
      <c r="AK471" s="493">
        <f t="shared" si="78"/>
        <v>12</v>
      </c>
      <c r="AL471" s="493">
        <f t="shared" si="79"/>
        <v>2007</v>
      </c>
      <c r="AM471" s="493">
        <f t="shared" si="80"/>
        <v>2014</v>
      </c>
      <c r="AN471" s="494">
        <f t="shared" si="81"/>
        <v>2015</v>
      </c>
      <c r="AO471" s="505">
        <f t="shared" si="82"/>
        <v>101.78571428571428</v>
      </c>
      <c r="AP471" s="505">
        <f t="shared" si="83"/>
        <v>1221.4285714285713</v>
      </c>
      <c r="AQ471" s="505">
        <f t="shared" si="84"/>
        <v>0</v>
      </c>
      <c r="AR471" s="505">
        <f t="shared" si="85"/>
        <v>8550</v>
      </c>
      <c r="AS471" s="505">
        <f t="shared" si="86"/>
        <v>8550</v>
      </c>
      <c r="AT471" s="506">
        <f t="shared" si="87"/>
        <v>0</v>
      </c>
    </row>
    <row r="472" spans="1:46">
      <c r="A472" s="341">
        <v>2112</v>
      </c>
      <c r="B472" s="345">
        <v>173720</v>
      </c>
      <c r="C472" s="341" t="s">
        <v>574</v>
      </c>
      <c r="D472" s="340" t="s">
        <v>1053</v>
      </c>
      <c r="E472" s="341">
        <v>588</v>
      </c>
      <c r="F472" s="340">
        <v>0</v>
      </c>
      <c r="G472" s="340"/>
      <c r="H472" s="340">
        <v>0</v>
      </c>
      <c r="I472" s="340" t="s">
        <v>1048</v>
      </c>
      <c r="J472" s="340"/>
      <c r="K472" s="340"/>
      <c r="L472" s="344">
        <v>39337</v>
      </c>
      <c r="M472" s="344">
        <v>39337</v>
      </c>
      <c r="N472" s="340" t="s">
        <v>1071</v>
      </c>
      <c r="O472" s="341">
        <v>700</v>
      </c>
      <c r="P472" s="341">
        <v>14050</v>
      </c>
      <c r="Q472" s="342">
        <v>33731.910000000003</v>
      </c>
      <c r="R472" s="341">
        <v>14056</v>
      </c>
      <c r="S472" s="342">
        <v>33731.910000000003</v>
      </c>
      <c r="T472" s="342">
        <f t="shared" si="88"/>
        <v>0</v>
      </c>
      <c r="U472" s="343">
        <v>0</v>
      </c>
      <c r="V472" s="341">
        <v>54260</v>
      </c>
      <c r="W472" s="342">
        <v>0</v>
      </c>
      <c r="X472" s="340" t="s">
        <v>574</v>
      </c>
      <c r="Y472" s="340"/>
      <c r="Z472" s="340">
        <v>210572</v>
      </c>
      <c r="AA472" s="340"/>
      <c r="AB472" s="340" t="s">
        <v>571</v>
      </c>
      <c r="AC472" s="340" t="s">
        <v>570</v>
      </c>
      <c r="AD472" s="341" t="s">
        <v>569</v>
      </c>
      <c r="AE472" s="346">
        <v>42735</v>
      </c>
      <c r="AF472" s="341" t="s">
        <v>568</v>
      </c>
      <c r="AG472" s="340">
        <v>0</v>
      </c>
      <c r="AH472" s="340">
        <v>33731.910000000003</v>
      </c>
      <c r="AI472" s="377"/>
      <c r="AK472" s="493">
        <f t="shared" si="78"/>
        <v>9</v>
      </c>
      <c r="AL472" s="493">
        <f t="shared" si="79"/>
        <v>2007</v>
      </c>
      <c r="AM472" s="493">
        <f t="shared" si="80"/>
        <v>2014</v>
      </c>
      <c r="AN472" s="494">
        <f t="shared" si="81"/>
        <v>2014.75</v>
      </c>
      <c r="AO472" s="505">
        <f t="shared" si="82"/>
        <v>401.57035714285718</v>
      </c>
      <c r="AP472" s="505">
        <f t="shared" si="83"/>
        <v>4818.8442857142863</v>
      </c>
      <c r="AQ472" s="505">
        <f t="shared" si="84"/>
        <v>0</v>
      </c>
      <c r="AR472" s="505">
        <f t="shared" si="85"/>
        <v>33731.910000000003</v>
      </c>
      <c r="AS472" s="505">
        <f t="shared" si="86"/>
        <v>33731.910000000003</v>
      </c>
      <c r="AT472" s="506">
        <f t="shared" si="87"/>
        <v>0</v>
      </c>
    </row>
    <row r="473" spans="1:46">
      <c r="A473" s="341">
        <v>2112</v>
      </c>
      <c r="B473" s="345">
        <v>173719</v>
      </c>
      <c r="C473" s="341" t="s">
        <v>574</v>
      </c>
      <c r="D473" s="340" t="s">
        <v>1070</v>
      </c>
      <c r="E473" s="341">
        <v>54</v>
      </c>
      <c r="F473" s="340">
        <v>0</v>
      </c>
      <c r="G473" s="340"/>
      <c r="H473" s="340">
        <v>0</v>
      </c>
      <c r="I473" s="340" t="s">
        <v>714</v>
      </c>
      <c r="J473" s="340"/>
      <c r="K473" s="340" t="s">
        <v>578</v>
      </c>
      <c r="L473" s="344">
        <v>39310</v>
      </c>
      <c r="M473" s="344">
        <v>39310</v>
      </c>
      <c r="N473" s="340" t="s">
        <v>1069</v>
      </c>
      <c r="O473" s="341">
        <v>1200</v>
      </c>
      <c r="P473" s="341">
        <v>14050</v>
      </c>
      <c r="Q473" s="342">
        <v>24767.23</v>
      </c>
      <c r="R473" s="341">
        <v>14056</v>
      </c>
      <c r="S473" s="342">
        <v>24767.23</v>
      </c>
      <c r="T473" s="342">
        <f t="shared" si="88"/>
        <v>0</v>
      </c>
      <c r="U473" s="343">
        <v>0</v>
      </c>
      <c r="V473" s="341">
        <v>54260</v>
      </c>
      <c r="W473" s="342">
        <v>0</v>
      </c>
      <c r="X473" s="340" t="s">
        <v>574</v>
      </c>
      <c r="Y473" s="340"/>
      <c r="Z473" s="340">
        <v>3496</v>
      </c>
      <c r="AA473" s="340"/>
      <c r="AB473" s="340" t="s">
        <v>571</v>
      </c>
      <c r="AC473" s="340" t="s">
        <v>570</v>
      </c>
      <c r="AD473" s="341" t="s">
        <v>569</v>
      </c>
      <c r="AE473" s="346">
        <v>42735</v>
      </c>
      <c r="AF473" s="341" t="s">
        <v>568</v>
      </c>
      <c r="AG473" s="340">
        <v>0</v>
      </c>
      <c r="AH473" s="340">
        <v>19263.439999999999</v>
      </c>
      <c r="AI473" s="377"/>
      <c r="AK473" s="493">
        <f t="shared" si="78"/>
        <v>8</v>
      </c>
      <c r="AL473" s="493">
        <f t="shared" si="79"/>
        <v>2007</v>
      </c>
      <c r="AM473" s="493">
        <f t="shared" si="80"/>
        <v>2019</v>
      </c>
      <c r="AN473" s="494">
        <f t="shared" si="81"/>
        <v>2019.6666666666667</v>
      </c>
      <c r="AO473" s="505">
        <f t="shared" si="82"/>
        <v>171.99465277777779</v>
      </c>
      <c r="AP473" s="505">
        <f t="shared" si="83"/>
        <v>2063.9358333333334</v>
      </c>
      <c r="AQ473" s="505">
        <f t="shared" si="84"/>
        <v>0</v>
      </c>
      <c r="AR473" s="505">
        <f t="shared" si="85"/>
        <v>24767.23</v>
      </c>
      <c r="AS473" s="505">
        <f t="shared" si="86"/>
        <v>24767.23</v>
      </c>
      <c r="AT473" s="506">
        <f t="shared" si="87"/>
        <v>0</v>
      </c>
    </row>
    <row r="474" spans="1:46">
      <c r="A474" s="341">
        <v>2112</v>
      </c>
      <c r="B474" s="345">
        <v>173718</v>
      </c>
      <c r="C474" s="341">
        <v>47554</v>
      </c>
      <c r="D474" s="340" t="s">
        <v>1068</v>
      </c>
      <c r="E474" s="341">
        <v>0</v>
      </c>
      <c r="F474" s="340" t="s">
        <v>1067</v>
      </c>
      <c r="G474" s="340"/>
      <c r="H474" s="340">
        <v>2006</v>
      </c>
      <c r="I474" s="340"/>
      <c r="J474" s="340"/>
      <c r="K474" s="340" t="s">
        <v>572</v>
      </c>
      <c r="L474" s="344">
        <v>39280</v>
      </c>
      <c r="M474" s="344">
        <v>39280</v>
      </c>
      <c r="N474" s="340" t="s">
        <v>1066</v>
      </c>
      <c r="O474" s="341">
        <v>800</v>
      </c>
      <c r="P474" s="341">
        <v>14040</v>
      </c>
      <c r="Q474" s="342">
        <v>15321.5</v>
      </c>
      <c r="R474" s="341">
        <v>14046</v>
      </c>
      <c r="S474" s="342">
        <v>15321.5</v>
      </c>
      <c r="T474" s="342">
        <f t="shared" si="88"/>
        <v>0</v>
      </c>
      <c r="U474" s="343">
        <v>0</v>
      </c>
      <c r="V474" s="341">
        <v>51260</v>
      </c>
      <c r="W474" s="342">
        <v>0</v>
      </c>
      <c r="X474" s="340" t="s">
        <v>574</v>
      </c>
      <c r="Y474" s="340"/>
      <c r="Z474" s="347">
        <v>1863865</v>
      </c>
      <c r="AA474" s="340"/>
      <c r="AB474" s="340" t="s">
        <v>571</v>
      </c>
      <c r="AC474" s="340" t="s">
        <v>570</v>
      </c>
      <c r="AD474" s="341" t="s">
        <v>569</v>
      </c>
      <c r="AE474" s="346">
        <v>42735</v>
      </c>
      <c r="AF474" s="341" t="s">
        <v>568</v>
      </c>
      <c r="AG474" s="340">
        <v>0</v>
      </c>
      <c r="AH474" s="340">
        <v>15321.5</v>
      </c>
      <c r="AI474" s="377"/>
      <c r="AK474" s="493">
        <f t="shared" si="78"/>
        <v>7</v>
      </c>
      <c r="AL474" s="493">
        <f t="shared" si="79"/>
        <v>2007</v>
      </c>
      <c r="AM474" s="493">
        <f t="shared" si="80"/>
        <v>2015</v>
      </c>
      <c r="AN474" s="494">
        <f t="shared" si="81"/>
        <v>2015.5833333333333</v>
      </c>
      <c r="AO474" s="505">
        <f t="shared" si="82"/>
        <v>159.59895833333334</v>
      </c>
      <c r="AP474" s="505">
        <f t="shared" si="83"/>
        <v>1915.1875</v>
      </c>
      <c r="AQ474" s="505">
        <f t="shared" si="84"/>
        <v>0</v>
      </c>
      <c r="AR474" s="505">
        <f t="shared" si="85"/>
        <v>15321.5</v>
      </c>
      <c r="AS474" s="505">
        <f t="shared" si="86"/>
        <v>15321.5</v>
      </c>
      <c r="AT474" s="506">
        <f t="shared" si="87"/>
        <v>0</v>
      </c>
    </row>
    <row r="475" spans="1:46">
      <c r="A475" s="341">
        <v>2112</v>
      </c>
      <c r="B475" s="345">
        <v>173717</v>
      </c>
      <c r="C475" s="341">
        <v>47553</v>
      </c>
      <c r="D475" s="340" t="s">
        <v>1065</v>
      </c>
      <c r="E475" s="341">
        <v>0</v>
      </c>
      <c r="F475" s="340" t="s">
        <v>1064</v>
      </c>
      <c r="G475" s="340"/>
      <c r="H475" s="340">
        <v>2003</v>
      </c>
      <c r="I475" s="340"/>
      <c r="J475" s="340"/>
      <c r="K475" s="340" t="s">
        <v>572</v>
      </c>
      <c r="L475" s="344">
        <v>39280</v>
      </c>
      <c r="M475" s="344">
        <v>39280</v>
      </c>
      <c r="N475" s="340" t="s">
        <v>1063</v>
      </c>
      <c r="O475" s="341">
        <v>500</v>
      </c>
      <c r="P475" s="341">
        <v>14040</v>
      </c>
      <c r="Q475" s="342">
        <v>15321.5</v>
      </c>
      <c r="R475" s="341">
        <v>14046</v>
      </c>
      <c r="S475" s="342">
        <v>15321.5</v>
      </c>
      <c r="T475" s="342">
        <f t="shared" si="88"/>
        <v>0</v>
      </c>
      <c r="U475" s="343">
        <v>0</v>
      </c>
      <c r="V475" s="341">
        <v>51260</v>
      </c>
      <c r="W475" s="342">
        <v>0</v>
      </c>
      <c r="X475" s="340" t="s">
        <v>574</v>
      </c>
      <c r="Y475" s="340"/>
      <c r="Z475" s="347">
        <v>1864230</v>
      </c>
      <c r="AA475" s="340"/>
      <c r="AB475" s="340" t="s">
        <v>571</v>
      </c>
      <c r="AC475" s="340" t="s">
        <v>570</v>
      </c>
      <c r="AD475" s="341" t="s">
        <v>569</v>
      </c>
      <c r="AE475" s="346">
        <v>42735</v>
      </c>
      <c r="AF475" s="341" t="s">
        <v>568</v>
      </c>
      <c r="AG475" s="340">
        <v>0</v>
      </c>
      <c r="AH475" s="340">
        <v>15321.5</v>
      </c>
      <c r="AI475" s="377"/>
      <c r="AK475" s="493">
        <f t="shared" si="78"/>
        <v>7</v>
      </c>
      <c r="AL475" s="493">
        <f t="shared" si="79"/>
        <v>2007</v>
      </c>
      <c r="AM475" s="493">
        <f t="shared" si="80"/>
        <v>2012</v>
      </c>
      <c r="AN475" s="494">
        <f t="shared" si="81"/>
        <v>2012.5833333333333</v>
      </c>
      <c r="AO475" s="505">
        <f t="shared" si="82"/>
        <v>255.35833333333335</v>
      </c>
      <c r="AP475" s="505">
        <f t="shared" si="83"/>
        <v>3064.3</v>
      </c>
      <c r="AQ475" s="505">
        <f t="shared" si="84"/>
        <v>0</v>
      </c>
      <c r="AR475" s="505">
        <f t="shared" si="85"/>
        <v>15321.5</v>
      </c>
      <c r="AS475" s="505">
        <f t="shared" si="86"/>
        <v>15321.5</v>
      </c>
      <c r="AT475" s="506">
        <f t="shared" si="87"/>
        <v>0</v>
      </c>
    </row>
    <row r="476" spans="1:46">
      <c r="A476" s="341">
        <v>2112</v>
      </c>
      <c r="B476" s="345">
        <v>173715</v>
      </c>
      <c r="C476" s="341" t="s">
        <v>574</v>
      </c>
      <c r="D476" s="340" t="s">
        <v>1062</v>
      </c>
      <c r="E476" s="341">
        <v>0</v>
      </c>
      <c r="F476" s="340">
        <v>0</v>
      </c>
      <c r="G476" s="340"/>
      <c r="H476" s="340">
        <v>0</v>
      </c>
      <c r="I476" s="340" t="s">
        <v>719</v>
      </c>
      <c r="J476" s="340"/>
      <c r="K476" s="340"/>
      <c r="L476" s="344">
        <v>39107</v>
      </c>
      <c r="M476" s="344">
        <v>39107</v>
      </c>
      <c r="N476" s="340" t="s">
        <v>1061</v>
      </c>
      <c r="O476" s="341">
        <v>300</v>
      </c>
      <c r="P476" s="341">
        <v>14110</v>
      </c>
      <c r="Q476" s="342">
        <v>875</v>
      </c>
      <c r="R476" s="341">
        <v>14116</v>
      </c>
      <c r="S476" s="342">
        <v>875</v>
      </c>
      <c r="T476" s="342">
        <f t="shared" si="88"/>
        <v>0</v>
      </c>
      <c r="U476" s="343">
        <v>0</v>
      </c>
      <c r="V476" s="341">
        <v>70260</v>
      </c>
      <c r="W476" s="342">
        <v>0</v>
      </c>
      <c r="X476" s="340" t="s">
        <v>574</v>
      </c>
      <c r="Y476" s="340"/>
      <c r="Z476" s="340">
        <v>9249</v>
      </c>
      <c r="AA476" s="340"/>
      <c r="AB476" s="340" t="s">
        <v>571</v>
      </c>
      <c r="AC476" s="340" t="s">
        <v>570</v>
      </c>
      <c r="AD476" s="341" t="s">
        <v>569</v>
      </c>
      <c r="AE476" s="346">
        <v>42735</v>
      </c>
      <c r="AF476" s="341" t="s">
        <v>568</v>
      </c>
      <c r="AG476" s="340">
        <v>0</v>
      </c>
      <c r="AH476" s="340">
        <v>875</v>
      </c>
      <c r="AI476" s="377"/>
      <c r="AK476" s="493">
        <f t="shared" si="78"/>
        <v>1</v>
      </c>
      <c r="AL476" s="493">
        <f t="shared" si="79"/>
        <v>2007</v>
      </c>
      <c r="AM476" s="493">
        <f t="shared" si="80"/>
        <v>2010</v>
      </c>
      <c r="AN476" s="494">
        <f t="shared" si="81"/>
        <v>2010.0833333333333</v>
      </c>
      <c r="AO476" s="505">
        <f t="shared" si="82"/>
        <v>24.305555555555557</v>
      </c>
      <c r="AP476" s="505">
        <f t="shared" si="83"/>
        <v>291.66666666666669</v>
      </c>
      <c r="AQ476" s="505">
        <f t="shared" si="84"/>
        <v>0</v>
      </c>
      <c r="AR476" s="505">
        <f t="shared" si="85"/>
        <v>875</v>
      </c>
      <c r="AS476" s="505">
        <f t="shared" si="86"/>
        <v>875</v>
      </c>
      <c r="AT476" s="506">
        <f t="shared" si="87"/>
        <v>0</v>
      </c>
    </row>
    <row r="477" spans="1:46">
      <c r="A477" s="341">
        <v>2112</v>
      </c>
      <c r="B477" s="345">
        <v>173711</v>
      </c>
      <c r="C477" s="341" t="s">
        <v>574</v>
      </c>
      <c r="D477" s="340" t="s">
        <v>1060</v>
      </c>
      <c r="E477" s="341">
        <v>588</v>
      </c>
      <c r="F477" s="340">
        <v>0</v>
      </c>
      <c r="G477" s="340"/>
      <c r="H477" s="340">
        <v>0</v>
      </c>
      <c r="I477" s="340" t="s">
        <v>1048</v>
      </c>
      <c r="J477" s="340"/>
      <c r="K477" s="340"/>
      <c r="L477" s="344">
        <v>38945</v>
      </c>
      <c r="M477" s="344">
        <v>38945</v>
      </c>
      <c r="N477" s="340" t="s">
        <v>1059</v>
      </c>
      <c r="O477" s="341">
        <v>700</v>
      </c>
      <c r="P477" s="341">
        <v>14050</v>
      </c>
      <c r="Q477" s="342">
        <v>33623.51</v>
      </c>
      <c r="R477" s="341">
        <v>14056</v>
      </c>
      <c r="S477" s="342">
        <v>33623.51</v>
      </c>
      <c r="T477" s="342">
        <f t="shared" si="88"/>
        <v>0</v>
      </c>
      <c r="U477" s="343">
        <v>0</v>
      </c>
      <c r="V477" s="341">
        <v>54260</v>
      </c>
      <c r="W477" s="342">
        <v>0</v>
      </c>
      <c r="X477" s="340" t="s">
        <v>574</v>
      </c>
      <c r="Y477" s="340"/>
      <c r="Z477" s="340">
        <v>186277</v>
      </c>
      <c r="AA477" s="340"/>
      <c r="AB477" s="340" t="s">
        <v>571</v>
      </c>
      <c r="AC477" s="340" t="s">
        <v>570</v>
      </c>
      <c r="AD477" s="341" t="s">
        <v>569</v>
      </c>
      <c r="AE477" s="346">
        <v>42735</v>
      </c>
      <c r="AF477" s="341" t="s">
        <v>568</v>
      </c>
      <c r="AG477" s="340">
        <v>0</v>
      </c>
      <c r="AH477" s="340">
        <v>33623.51</v>
      </c>
      <c r="AI477" s="377"/>
      <c r="AK477" s="493">
        <f t="shared" si="78"/>
        <v>8</v>
      </c>
      <c r="AL477" s="493">
        <f t="shared" si="79"/>
        <v>2006</v>
      </c>
      <c r="AM477" s="493">
        <f t="shared" si="80"/>
        <v>2013</v>
      </c>
      <c r="AN477" s="494">
        <f t="shared" si="81"/>
        <v>2013.6666666666667</v>
      </c>
      <c r="AO477" s="505">
        <f t="shared" si="82"/>
        <v>400.27988095238101</v>
      </c>
      <c r="AP477" s="505">
        <f t="shared" si="83"/>
        <v>4803.3585714285718</v>
      </c>
      <c r="AQ477" s="505">
        <f t="shared" si="84"/>
        <v>0</v>
      </c>
      <c r="AR477" s="505">
        <f t="shared" si="85"/>
        <v>33623.51</v>
      </c>
      <c r="AS477" s="505">
        <f t="shared" si="86"/>
        <v>33623.51</v>
      </c>
      <c r="AT477" s="506">
        <f t="shared" si="87"/>
        <v>0</v>
      </c>
    </row>
    <row r="478" spans="1:46">
      <c r="A478" s="341">
        <v>2112</v>
      </c>
      <c r="B478" s="345">
        <v>173710</v>
      </c>
      <c r="C478" s="341" t="s">
        <v>574</v>
      </c>
      <c r="D478" s="340" t="s">
        <v>1058</v>
      </c>
      <c r="E478" s="341">
        <v>588</v>
      </c>
      <c r="F478" s="340">
        <v>0</v>
      </c>
      <c r="G478" s="340"/>
      <c r="H478" s="340">
        <v>0</v>
      </c>
      <c r="I478" s="340" t="s">
        <v>1048</v>
      </c>
      <c r="J478" s="340"/>
      <c r="K478" s="340"/>
      <c r="L478" s="344">
        <v>38954</v>
      </c>
      <c r="M478" s="344">
        <v>38954</v>
      </c>
      <c r="N478" s="340" t="s">
        <v>1057</v>
      </c>
      <c r="O478" s="341">
        <v>700</v>
      </c>
      <c r="P478" s="341">
        <v>14050</v>
      </c>
      <c r="Q478" s="342">
        <v>33623.51</v>
      </c>
      <c r="R478" s="341">
        <v>14056</v>
      </c>
      <c r="S478" s="342">
        <v>33623.51</v>
      </c>
      <c r="T478" s="342">
        <f t="shared" si="88"/>
        <v>0</v>
      </c>
      <c r="U478" s="343">
        <v>0</v>
      </c>
      <c r="V478" s="341">
        <v>54260</v>
      </c>
      <c r="W478" s="342">
        <v>0</v>
      </c>
      <c r="X478" s="340" t="s">
        <v>574</v>
      </c>
      <c r="Y478" s="340"/>
      <c r="Z478" s="340">
        <v>186750</v>
      </c>
      <c r="AA478" s="340"/>
      <c r="AB478" s="340" t="s">
        <v>571</v>
      </c>
      <c r="AC478" s="340" t="s">
        <v>570</v>
      </c>
      <c r="AD478" s="341" t="s">
        <v>569</v>
      </c>
      <c r="AE478" s="346">
        <v>42735</v>
      </c>
      <c r="AF478" s="341" t="s">
        <v>568</v>
      </c>
      <c r="AG478" s="340">
        <v>0</v>
      </c>
      <c r="AH478" s="340">
        <v>33623.51</v>
      </c>
      <c r="AI478" s="377"/>
      <c r="AK478" s="493">
        <f t="shared" si="78"/>
        <v>8</v>
      </c>
      <c r="AL478" s="493">
        <f t="shared" si="79"/>
        <v>2006</v>
      </c>
      <c r="AM478" s="493">
        <f t="shared" si="80"/>
        <v>2013</v>
      </c>
      <c r="AN478" s="494">
        <f t="shared" si="81"/>
        <v>2013.6666666666667</v>
      </c>
      <c r="AO478" s="505">
        <f t="shared" si="82"/>
        <v>400.27988095238101</v>
      </c>
      <c r="AP478" s="505">
        <f t="shared" si="83"/>
        <v>4803.3585714285718</v>
      </c>
      <c r="AQ478" s="505">
        <f t="shared" si="84"/>
        <v>0</v>
      </c>
      <c r="AR478" s="505">
        <f t="shared" si="85"/>
        <v>33623.51</v>
      </c>
      <c r="AS478" s="505">
        <f t="shared" si="86"/>
        <v>33623.51</v>
      </c>
      <c r="AT478" s="506">
        <f t="shared" si="87"/>
        <v>0</v>
      </c>
    </row>
    <row r="479" spans="1:46">
      <c r="A479" s="341">
        <v>2112</v>
      </c>
      <c r="B479" s="345">
        <v>173709</v>
      </c>
      <c r="C479" s="341" t="s">
        <v>574</v>
      </c>
      <c r="D479" s="340" t="s">
        <v>1056</v>
      </c>
      <c r="E479" s="341">
        <v>768</v>
      </c>
      <c r="F479" s="340">
        <v>0</v>
      </c>
      <c r="G479" s="340"/>
      <c r="H479" s="340">
        <v>0</v>
      </c>
      <c r="I479" s="340" t="s">
        <v>1048</v>
      </c>
      <c r="J479" s="340"/>
      <c r="K479" s="340" t="s">
        <v>588</v>
      </c>
      <c r="L479" s="344">
        <v>38909</v>
      </c>
      <c r="M479" s="344">
        <v>38909</v>
      </c>
      <c r="N479" s="340" t="s">
        <v>1052</v>
      </c>
      <c r="O479" s="341">
        <v>700</v>
      </c>
      <c r="P479" s="341">
        <v>14050</v>
      </c>
      <c r="Q479" s="342">
        <v>1247.6199999999999</v>
      </c>
      <c r="R479" s="341">
        <v>14056</v>
      </c>
      <c r="S479" s="342">
        <v>1247.6199999999999</v>
      </c>
      <c r="T479" s="342">
        <f t="shared" si="88"/>
        <v>0</v>
      </c>
      <c r="U479" s="343">
        <v>0</v>
      </c>
      <c r="V479" s="341">
        <v>54260</v>
      </c>
      <c r="W479" s="342">
        <v>0</v>
      </c>
      <c r="X479" s="340" t="s">
        <v>574</v>
      </c>
      <c r="Y479" s="340"/>
      <c r="Z479" s="340">
        <v>184241</v>
      </c>
      <c r="AA479" s="340"/>
      <c r="AB479" s="340" t="s">
        <v>571</v>
      </c>
      <c r="AC479" s="340" t="s">
        <v>570</v>
      </c>
      <c r="AD479" s="341" t="s">
        <v>569</v>
      </c>
      <c r="AE479" s="346">
        <v>42735</v>
      </c>
      <c r="AF479" s="341" t="s">
        <v>568</v>
      </c>
      <c r="AG479" s="340">
        <v>0</v>
      </c>
      <c r="AH479" s="340">
        <v>1247.6199999999999</v>
      </c>
      <c r="AI479" s="377"/>
      <c r="AK479" s="493">
        <f t="shared" si="78"/>
        <v>7</v>
      </c>
      <c r="AL479" s="493">
        <f t="shared" si="79"/>
        <v>2006</v>
      </c>
      <c r="AM479" s="493">
        <f t="shared" si="80"/>
        <v>2013</v>
      </c>
      <c r="AN479" s="494">
        <f t="shared" si="81"/>
        <v>2013.5833333333333</v>
      </c>
      <c r="AO479" s="505">
        <f t="shared" si="82"/>
        <v>14.852619047619045</v>
      </c>
      <c r="AP479" s="505">
        <f t="shared" si="83"/>
        <v>178.23142857142855</v>
      </c>
      <c r="AQ479" s="505">
        <f t="shared" si="84"/>
        <v>0</v>
      </c>
      <c r="AR479" s="505">
        <f t="shared" si="85"/>
        <v>1247.6199999999999</v>
      </c>
      <c r="AS479" s="505">
        <f t="shared" si="86"/>
        <v>1247.6199999999999</v>
      </c>
      <c r="AT479" s="506">
        <f t="shared" si="87"/>
        <v>0</v>
      </c>
    </row>
    <row r="480" spans="1:46">
      <c r="A480" s="341">
        <v>2112</v>
      </c>
      <c r="B480" s="345">
        <v>173708</v>
      </c>
      <c r="C480" s="341" t="s">
        <v>574</v>
      </c>
      <c r="D480" s="340" t="s">
        <v>1053</v>
      </c>
      <c r="E480" s="341">
        <v>200</v>
      </c>
      <c r="F480" s="340">
        <v>0</v>
      </c>
      <c r="G480" s="340"/>
      <c r="H480" s="340">
        <v>0</v>
      </c>
      <c r="I480" s="340" t="s">
        <v>1048</v>
      </c>
      <c r="J480" s="340"/>
      <c r="K480" s="340"/>
      <c r="L480" s="344">
        <v>38887</v>
      </c>
      <c r="M480" s="344">
        <v>38887</v>
      </c>
      <c r="N480" s="340" t="s">
        <v>1052</v>
      </c>
      <c r="O480" s="341">
        <v>700</v>
      </c>
      <c r="P480" s="341">
        <v>14050</v>
      </c>
      <c r="Q480" s="342">
        <v>6389.7</v>
      </c>
      <c r="R480" s="341">
        <v>14056</v>
      </c>
      <c r="S480" s="342">
        <v>6389.7</v>
      </c>
      <c r="T480" s="342">
        <f t="shared" si="88"/>
        <v>0</v>
      </c>
      <c r="U480" s="343">
        <v>0</v>
      </c>
      <c r="V480" s="341">
        <v>54260</v>
      </c>
      <c r="W480" s="342">
        <v>0</v>
      </c>
      <c r="X480" s="340" t="s">
        <v>574</v>
      </c>
      <c r="Y480" s="340"/>
      <c r="Z480" s="340">
        <v>183338</v>
      </c>
      <c r="AA480" s="340"/>
      <c r="AB480" s="340" t="s">
        <v>571</v>
      </c>
      <c r="AC480" s="340" t="s">
        <v>570</v>
      </c>
      <c r="AD480" s="341" t="s">
        <v>569</v>
      </c>
      <c r="AE480" s="346">
        <v>42735</v>
      </c>
      <c r="AF480" s="341" t="s">
        <v>568</v>
      </c>
      <c r="AG480" s="340">
        <v>0</v>
      </c>
      <c r="AH480" s="340">
        <v>6389.7</v>
      </c>
      <c r="AI480" s="377"/>
      <c r="AK480" s="493">
        <f t="shared" si="78"/>
        <v>6</v>
      </c>
      <c r="AL480" s="493">
        <f t="shared" si="79"/>
        <v>2006</v>
      </c>
      <c r="AM480" s="493">
        <f t="shared" si="80"/>
        <v>2013</v>
      </c>
      <c r="AN480" s="494">
        <f t="shared" si="81"/>
        <v>2013.5</v>
      </c>
      <c r="AO480" s="505">
        <f t="shared" si="82"/>
        <v>76.067857142857136</v>
      </c>
      <c r="AP480" s="505">
        <f t="shared" si="83"/>
        <v>912.81428571428569</v>
      </c>
      <c r="AQ480" s="505">
        <f t="shared" si="84"/>
        <v>0</v>
      </c>
      <c r="AR480" s="505">
        <f t="shared" si="85"/>
        <v>6389.7</v>
      </c>
      <c r="AS480" s="505">
        <f t="shared" si="86"/>
        <v>6389.7</v>
      </c>
      <c r="AT480" s="506">
        <f t="shared" si="87"/>
        <v>0</v>
      </c>
    </row>
    <row r="481" spans="1:46">
      <c r="A481" s="341">
        <v>2112</v>
      </c>
      <c r="B481" s="345">
        <v>173707</v>
      </c>
      <c r="C481" s="341" t="s">
        <v>574</v>
      </c>
      <c r="D481" s="340" t="s">
        <v>1054</v>
      </c>
      <c r="E481" s="341">
        <v>1184</v>
      </c>
      <c r="F481" s="340">
        <v>0</v>
      </c>
      <c r="G481" s="340"/>
      <c r="H481" s="340">
        <v>0</v>
      </c>
      <c r="I481" s="340" t="s">
        <v>1048</v>
      </c>
      <c r="J481" s="340"/>
      <c r="K481" s="340" t="s">
        <v>588</v>
      </c>
      <c r="L481" s="344">
        <v>38910</v>
      </c>
      <c r="M481" s="344">
        <v>38910</v>
      </c>
      <c r="N481" s="340" t="s">
        <v>1052</v>
      </c>
      <c r="O481" s="341">
        <v>700</v>
      </c>
      <c r="P481" s="341">
        <v>14050</v>
      </c>
      <c r="Q481" s="342">
        <v>2140.0100000000002</v>
      </c>
      <c r="R481" s="341">
        <v>14056</v>
      </c>
      <c r="S481" s="342">
        <v>2140.0100000000002</v>
      </c>
      <c r="T481" s="342">
        <f t="shared" si="88"/>
        <v>0</v>
      </c>
      <c r="U481" s="343">
        <v>0</v>
      </c>
      <c r="V481" s="341">
        <v>54260</v>
      </c>
      <c r="W481" s="342">
        <v>0</v>
      </c>
      <c r="X481" s="340" t="s">
        <v>574</v>
      </c>
      <c r="Y481" s="340"/>
      <c r="Z481" s="340">
        <v>184298</v>
      </c>
      <c r="AA481" s="340"/>
      <c r="AB481" s="340" t="s">
        <v>571</v>
      </c>
      <c r="AC481" s="340" t="s">
        <v>570</v>
      </c>
      <c r="AD481" s="341" t="s">
        <v>569</v>
      </c>
      <c r="AE481" s="346">
        <v>42735</v>
      </c>
      <c r="AF481" s="341" t="s">
        <v>568</v>
      </c>
      <c r="AG481" s="340">
        <v>0</v>
      </c>
      <c r="AH481" s="340">
        <v>2140.0100000000002</v>
      </c>
      <c r="AI481" s="377"/>
      <c r="AK481" s="493">
        <f t="shared" si="78"/>
        <v>7</v>
      </c>
      <c r="AL481" s="493">
        <f t="shared" si="79"/>
        <v>2006</v>
      </c>
      <c r="AM481" s="493">
        <f t="shared" si="80"/>
        <v>2013</v>
      </c>
      <c r="AN481" s="494">
        <f t="shared" si="81"/>
        <v>2013.5833333333333</v>
      </c>
      <c r="AO481" s="505">
        <f t="shared" si="82"/>
        <v>25.47630952380953</v>
      </c>
      <c r="AP481" s="505">
        <f t="shared" si="83"/>
        <v>305.71571428571434</v>
      </c>
      <c r="AQ481" s="505">
        <f t="shared" si="84"/>
        <v>0</v>
      </c>
      <c r="AR481" s="505">
        <f t="shared" si="85"/>
        <v>2140.0100000000002</v>
      </c>
      <c r="AS481" s="505">
        <f t="shared" si="86"/>
        <v>2140.0100000000002</v>
      </c>
      <c r="AT481" s="506">
        <f t="shared" si="87"/>
        <v>0</v>
      </c>
    </row>
    <row r="482" spans="1:46">
      <c r="A482" s="341">
        <v>2112</v>
      </c>
      <c r="B482" s="345">
        <v>173706</v>
      </c>
      <c r="C482" s="341" t="s">
        <v>574</v>
      </c>
      <c r="D482" s="340" t="s">
        <v>931</v>
      </c>
      <c r="E482" s="341">
        <v>588</v>
      </c>
      <c r="F482" s="340">
        <v>0</v>
      </c>
      <c r="G482" s="340"/>
      <c r="H482" s="340">
        <v>0</v>
      </c>
      <c r="I482" s="340" t="s">
        <v>1048</v>
      </c>
      <c r="J482" s="340"/>
      <c r="K482" s="340"/>
      <c r="L482" s="344">
        <v>38910</v>
      </c>
      <c r="M482" s="344">
        <v>38910</v>
      </c>
      <c r="N482" s="340" t="s">
        <v>1055</v>
      </c>
      <c r="O482" s="341">
        <v>700</v>
      </c>
      <c r="P482" s="341">
        <v>14050</v>
      </c>
      <c r="Q482" s="342">
        <v>33592.49</v>
      </c>
      <c r="R482" s="341">
        <v>14056</v>
      </c>
      <c r="S482" s="342">
        <v>33592.49</v>
      </c>
      <c r="T482" s="342">
        <f t="shared" si="88"/>
        <v>0</v>
      </c>
      <c r="U482" s="343">
        <v>0</v>
      </c>
      <c r="V482" s="341">
        <v>54260</v>
      </c>
      <c r="W482" s="342">
        <v>0</v>
      </c>
      <c r="X482" s="340" t="s">
        <v>574</v>
      </c>
      <c r="Y482" s="340"/>
      <c r="Z482" s="340">
        <v>184347</v>
      </c>
      <c r="AA482" s="340"/>
      <c r="AB482" s="340" t="s">
        <v>571</v>
      </c>
      <c r="AC482" s="340" t="s">
        <v>570</v>
      </c>
      <c r="AD482" s="341" t="s">
        <v>569</v>
      </c>
      <c r="AE482" s="346">
        <v>42735</v>
      </c>
      <c r="AF482" s="341" t="s">
        <v>568</v>
      </c>
      <c r="AG482" s="340">
        <v>0</v>
      </c>
      <c r="AH482" s="340">
        <v>33592.49</v>
      </c>
      <c r="AI482" s="377"/>
      <c r="AK482" s="493">
        <f t="shared" si="78"/>
        <v>7</v>
      </c>
      <c r="AL482" s="493">
        <f t="shared" si="79"/>
        <v>2006</v>
      </c>
      <c r="AM482" s="493">
        <f t="shared" si="80"/>
        <v>2013</v>
      </c>
      <c r="AN482" s="494">
        <f t="shared" si="81"/>
        <v>2013.5833333333333</v>
      </c>
      <c r="AO482" s="505">
        <f t="shared" si="82"/>
        <v>399.91059523809525</v>
      </c>
      <c r="AP482" s="505">
        <f t="shared" si="83"/>
        <v>4798.9271428571428</v>
      </c>
      <c r="AQ482" s="505">
        <f t="shared" si="84"/>
        <v>0</v>
      </c>
      <c r="AR482" s="505">
        <f t="shared" si="85"/>
        <v>33592.49</v>
      </c>
      <c r="AS482" s="505">
        <f t="shared" si="86"/>
        <v>33592.49</v>
      </c>
      <c r="AT482" s="506">
        <f t="shared" si="87"/>
        <v>0</v>
      </c>
    </row>
    <row r="483" spans="1:46">
      <c r="A483" s="341">
        <v>2112</v>
      </c>
      <c r="B483" s="345">
        <v>173705</v>
      </c>
      <c r="C483" s="341" t="s">
        <v>574</v>
      </c>
      <c r="D483" s="340" t="s">
        <v>1054</v>
      </c>
      <c r="E483" s="341">
        <v>2000</v>
      </c>
      <c r="F483" s="340">
        <v>0</v>
      </c>
      <c r="G483" s="340"/>
      <c r="H483" s="340">
        <v>0</v>
      </c>
      <c r="I483" s="340" t="s">
        <v>1048</v>
      </c>
      <c r="J483" s="340"/>
      <c r="K483" s="340" t="s">
        <v>588</v>
      </c>
      <c r="L483" s="344">
        <v>38909</v>
      </c>
      <c r="M483" s="344">
        <v>38909</v>
      </c>
      <c r="N483" s="340" t="s">
        <v>1047</v>
      </c>
      <c r="O483" s="341">
        <v>700</v>
      </c>
      <c r="P483" s="341">
        <v>14050</v>
      </c>
      <c r="Q483" s="342">
        <v>6498</v>
      </c>
      <c r="R483" s="341">
        <v>14056</v>
      </c>
      <c r="S483" s="342">
        <v>6498</v>
      </c>
      <c r="T483" s="342">
        <f t="shared" si="88"/>
        <v>0</v>
      </c>
      <c r="U483" s="343">
        <v>0</v>
      </c>
      <c r="V483" s="341">
        <v>54260</v>
      </c>
      <c r="W483" s="342">
        <v>0</v>
      </c>
      <c r="X483" s="340" t="s">
        <v>574</v>
      </c>
      <c r="Y483" s="340"/>
      <c r="Z483" s="340">
        <v>184239</v>
      </c>
      <c r="AA483" s="340"/>
      <c r="AB483" s="340" t="s">
        <v>571</v>
      </c>
      <c r="AC483" s="340" t="s">
        <v>570</v>
      </c>
      <c r="AD483" s="341" t="s">
        <v>569</v>
      </c>
      <c r="AE483" s="346">
        <v>42735</v>
      </c>
      <c r="AF483" s="341" t="s">
        <v>568</v>
      </c>
      <c r="AG483" s="340">
        <v>0</v>
      </c>
      <c r="AH483" s="340">
        <v>6498</v>
      </c>
      <c r="AI483" s="377"/>
      <c r="AK483" s="493">
        <f t="shared" si="78"/>
        <v>7</v>
      </c>
      <c r="AL483" s="493">
        <f t="shared" si="79"/>
        <v>2006</v>
      </c>
      <c r="AM483" s="493">
        <f t="shared" si="80"/>
        <v>2013</v>
      </c>
      <c r="AN483" s="494">
        <f t="shared" si="81"/>
        <v>2013.5833333333333</v>
      </c>
      <c r="AO483" s="505">
        <f t="shared" si="82"/>
        <v>77.357142857142861</v>
      </c>
      <c r="AP483" s="505">
        <f t="shared" si="83"/>
        <v>928.28571428571433</v>
      </c>
      <c r="AQ483" s="505">
        <f t="shared" si="84"/>
        <v>0</v>
      </c>
      <c r="AR483" s="505">
        <f t="shared" si="85"/>
        <v>6498</v>
      </c>
      <c r="AS483" s="505">
        <f t="shared" si="86"/>
        <v>6498</v>
      </c>
      <c r="AT483" s="506">
        <f t="shared" si="87"/>
        <v>0</v>
      </c>
    </row>
    <row r="484" spans="1:46">
      <c r="A484" s="341">
        <v>2112</v>
      </c>
      <c r="B484" s="345">
        <v>173704</v>
      </c>
      <c r="C484" s="341" t="s">
        <v>574</v>
      </c>
      <c r="D484" s="340" t="s">
        <v>1054</v>
      </c>
      <c r="E484" s="341">
        <v>2116</v>
      </c>
      <c r="F484" s="340">
        <v>0</v>
      </c>
      <c r="G484" s="340"/>
      <c r="H484" s="340">
        <v>0</v>
      </c>
      <c r="I484" s="340" t="s">
        <v>1048</v>
      </c>
      <c r="J484" s="340"/>
      <c r="K484" s="340" t="s">
        <v>588</v>
      </c>
      <c r="L484" s="344">
        <v>38909</v>
      </c>
      <c r="M484" s="344">
        <v>38909</v>
      </c>
      <c r="N484" s="340" t="s">
        <v>1047</v>
      </c>
      <c r="O484" s="341">
        <v>700</v>
      </c>
      <c r="P484" s="341">
        <v>14050</v>
      </c>
      <c r="Q484" s="342">
        <v>6874.88</v>
      </c>
      <c r="R484" s="341">
        <v>14056</v>
      </c>
      <c r="S484" s="342">
        <v>6874.88</v>
      </c>
      <c r="T484" s="342">
        <f t="shared" si="88"/>
        <v>0</v>
      </c>
      <c r="U484" s="343">
        <v>0</v>
      </c>
      <c r="V484" s="341">
        <v>54260</v>
      </c>
      <c r="W484" s="342">
        <v>0</v>
      </c>
      <c r="X484" s="340" t="s">
        <v>574</v>
      </c>
      <c r="Y484" s="340"/>
      <c r="Z484" s="340">
        <v>184240</v>
      </c>
      <c r="AA484" s="340"/>
      <c r="AB484" s="340" t="s">
        <v>571</v>
      </c>
      <c r="AC484" s="340" t="s">
        <v>570</v>
      </c>
      <c r="AD484" s="341" t="s">
        <v>569</v>
      </c>
      <c r="AE484" s="346">
        <v>42735</v>
      </c>
      <c r="AF484" s="341" t="s">
        <v>568</v>
      </c>
      <c r="AG484" s="340">
        <v>0</v>
      </c>
      <c r="AH484" s="340">
        <v>6874.88</v>
      </c>
      <c r="AI484" s="377"/>
      <c r="AK484" s="493">
        <f t="shared" si="78"/>
        <v>7</v>
      </c>
      <c r="AL484" s="493">
        <f t="shared" si="79"/>
        <v>2006</v>
      </c>
      <c r="AM484" s="493">
        <f t="shared" si="80"/>
        <v>2013</v>
      </c>
      <c r="AN484" s="494">
        <f t="shared" si="81"/>
        <v>2013.5833333333333</v>
      </c>
      <c r="AO484" s="505">
        <f t="shared" si="82"/>
        <v>81.843809523809526</v>
      </c>
      <c r="AP484" s="505">
        <f t="shared" si="83"/>
        <v>982.12571428571437</v>
      </c>
      <c r="AQ484" s="505">
        <f t="shared" si="84"/>
        <v>0</v>
      </c>
      <c r="AR484" s="505">
        <f t="shared" si="85"/>
        <v>6874.88</v>
      </c>
      <c r="AS484" s="505">
        <f t="shared" si="86"/>
        <v>6874.88</v>
      </c>
      <c r="AT484" s="506">
        <f t="shared" si="87"/>
        <v>0</v>
      </c>
    </row>
    <row r="485" spans="1:46">
      <c r="A485" s="341">
        <v>2112</v>
      </c>
      <c r="B485" s="345">
        <v>173703</v>
      </c>
      <c r="C485" s="341" t="s">
        <v>574</v>
      </c>
      <c r="D485" s="340" t="s">
        <v>1053</v>
      </c>
      <c r="E485" s="341">
        <v>588</v>
      </c>
      <c r="F485" s="340">
        <v>0</v>
      </c>
      <c r="G485" s="340"/>
      <c r="H485" s="340">
        <v>0</v>
      </c>
      <c r="I485" s="340" t="s">
        <v>1048</v>
      </c>
      <c r="J485" s="340"/>
      <c r="K485" s="340"/>
      <c r="L485" s="344">
        <v>38884</v>
      </c>
      <c r="M485" s="344">
        <v>38884</v>
      </c>
      <c r="N485" s="340" t="s">
        <v>1052</v>
      </c>
      <c r="O485" s="341">
        <v>700</v>
      </c>
      <c r="P485" s="341">
        <v>14050</v>
      </c>
      <c r="Q485" s="342">
        <v>33592.49</v>
      </c>
      <c r="R485" s="341">
        <v>14056</v>
      </c>
      <c r="S485" s="342">
        <v>33592.49</v>
      </c>
      <c r="T485" s="342">
        <f t="shared" si="88"/>
        <v>0</v>
      </c>
      <c r="U485" s="343">
        <v>0</v>
      </c>
      <c r="V485" s="341">
        <v>54260</v>
      </c>
      <c r="W485" s="342">
        <v>0</v>
      </c>
      <c r="X485" s="340" t="s">
        <v>574</v>
      </c>
      <c r="Y485" s="340"/>
      <c r="Z485" s="340">
        <v>183298</v>
      </c>
      <c r="AA485" s="340"/>
      <c r="AB485" s="340" t="s">
        <v>571</v>
      </c>
      <c r="AC485" s="340" t="s">
        <v>570</v>
      </c>
      <c r="AD485" s="341" t="s">
        <v>569</v>
      </c>
      <c r="AE485" s="346">
        <v>42735</v>
      </c>
      <c r="AF485" s="341" t="s">
        <v>568</v>
      </c>
      <c r="AG485" s="340">
        <v>0</v>
      </c>
      <c r="AH485" s="340">
        <v>33592.49</v>
      </c>
      <c r="AI485" s="377"/>
      <c r="AK485" s="493">
        <f t="shared" si="78"/>
        <v>6</v>
      </c>
      <c r="AL485" s="493">
        <f t="shared" si="79"/>
        <v>2006</v>
      </c>
      <c r="AM485" s="493">
        <f t="shared" si="80"/>
        <v>2013</v>
      </c>
      <c r="AN485" s="494">
        <f t="shared" si="81"/>
        <v>2013.5</v>
      </c>
      <c r="AO485" s="505">
        <f t="shared" si="82"/>
        <v>399.91059523809525</v>
      </c>
      <c r="AP485" s="505">
        <f t="shared" si="83"/>
        <v>4798.9271428571428</v>
      </c>
      <c r="AQ485" s="505">
        <f t="shared" si="84"/>
        <v>0</v>
      </c>
      <c r="AR485" s="505">
        <f t="shared" si="85"/>
        <v>33592.49</v>
      </c>
      <c r="AS485" s="505">
        <f t="shared" si="86"/>
        <v>33592.49</v>
      </c>
      <c r="AT485" s="506">
        <f t="shared" si="87"/>
        <v>0</v>
      </c>
    </row>
    <row r="486" spans="1:46">
      <c r="A486" s="341">
        <v>2112</v>
      </c>
      <c r="B486" s="345">
        <v>173702</v>
      </c>
      <c r="C486" s="341" t="s">
        <v>574</v>
      </c>
      <c r="D486" s="340" t="s">
        <v>1053</v>
      </c>
      <c r="E486" s="341">
        <v>588</v>
      </c>
      <c r="F486" s="340">
        <v>0</v>
      </c>
      <c r="G486" s="340"/>
      <c r="H486" s="340">
        <v>0</v>
      </c>
      <c r="I486" s="340" t="s">
        <v>1048</v>
      </c>
      <c r="J486" s="340"/>
      <c r="K486" s="340"/>
      <c r="L486" s="344">
        <v>38884</v>
      </c>
      <c r="M486" s="344">
        <v>38884</v>
      </c>
      <c r="N486" s="340" t="s">
        <v>1052</v>
      </c>
      <c r="O486" s="341">
        <v>700</v>
      </c>
      <c r="P486" s="341">
        <v>14050</v>
      </c>
      <c r="Q486" s="342">
        <v>33592.49</v>
      </c>
      <c r="R486" s="341">
        <v>14056</v>
      </c>
      <c r="S486" s="342">
        <v>33592.49</v>
      </c>
      <c r="T486" s="342">
        <f t="shared" si="88"/>
        <v>0</v>
      </c>
      <c r="U486" s="343">
        <v>0</v>
      </c>
      <c r="V486" s="341">
        <v>54260</v>
      </c>
      <c r="W486" s="342">
        <v>0</v>
      </c>
      <c r="X486" s="340" t="s">
        <v>574</v>
      </c>
      <c r="Y486" s="340"/>
      <c r="Z486" s="340">
        <v>183297</v>
      </c>
      <c r="AA486" s="340"/>
      <c r="AB486" s="340" t="s">
        <v>571</v>
      </c>
      <c r="AC486" s="340" t="s">
        <v>570</v>
      </c>
      <c r="AD486" s="341" t="s">
        <v>569</v>
      </c>
      <c r="AE486" s="346">
        <v>42735</v>
      </c>
      <c r="AF486" s="341" t="s">
        <v>568</v>
      </c>
      <c r="AG486" s="340">
        <v>0</v>
      </c>
      <c r="AH486" s="340">
        <v>33592.49</v>
      </c>
      <c r="AI486" s="377"/>
      <c r="AK486" s="493">
        <f t="shared" si="78"/>
        <v>6</v>
      </c>
      <c r="AL486" s="493">
        <f t="shared" si="79"/>
        <v>2006</v>
      </c>
      <c r="AM486" s="493">
        <f t="shared" si="80"/>
        <v>2013</v>
      </c>
      <c r="AN486" s="494">
        <f t="shared" si="81"/>
        <v>2013.5</v>
      </c>
      <c r="AO486" s="505">
        <f t="shared" si="82"/>
        <v>399.91059523809525</v>
      </c>
      <c r="AP486" s="505">
        <f t="shared" si="83"/>
        <v>4798.9271428571428</v>
      </c>
      <c r="AQ486" s="505">
        <f t="shared" si="84"/>
        <v>0</v>
      </c>
      <c r="AR486" s="505">
        <f t="shared" si="85"/>
        <v>33592.49</v>
      </c>
      <c r="AS486" s="505">
        <f t="shared" si="86"/>
        <v>33592.49</v>
      </c>
      <c r="AT486" s="506">
        <f t="shared" si="87"/>
        <v>0</v>
      </c>
    </row>
    <row r="487" spans="1:46">
      <c r="A487" s="341">
        <v>2112</v>
      </c>
      <c r="B487" s="345">
        <v>173701</v>
      </c>
      <c r="C487" s="341" t="s">
        <v>574</v>
      </c>
      <c r="D487" s="340" t="s">
        <v>1049</v>
      </c>
      <c r="E487" s="341">
        <v>720</v>
      </c>
      <c r="F487" s="340">
        <v>0</v>
      </c>
      <c r="G487" s="340"/>
      <c r="H487" s="340">
        <v>0</v>
      </c>
      <c r="I487" s="340" t="s">
        <v>1048</v>
      </c>
      <c r="J487" s="340"/>
      <c r="K487" s="340"/>
      <c r="L487" s="344">
        <v>38870</v>
      </c>
      <c r="M487" s="344">
        <v>38870</v>
      </c>
      <c r="N487" s="340" t="s">
        <v>1047</v>
      </c>
      <c r="O487" s="341">
        <v>700</v>
      </c>
      <c r="P487" s="341">
        <v>14050</v>
      </c>
      <c r="Q487" s="342">
        <v>40525.86</v>
      </c>
      <c r="R487" s="341">
        <v>14056</v>
      </c>
      <c r="S487" s="342">
        <v>40525.86</v>
      </c>
      <c r="T487" s="342">
        <f t="shared" si="88"/>
        <v>0</v>
      </c>
      <c r="U487" s="343">
        <v>0</v>
      </c>
      <c r="V487" s="341">
        <v>54260</v>
      </c>
      <c r="W487" s="342">
        <v>0</v>
      </c>
      <c r="X487" s="340" t="s">
        <v>574</v>
      </c>
      <c r="Y487" s="340"/>
      <c r="Z487" s="340">
        <v>182605</v>
      </c>
      <c r="AA487" s="340"/>
      <c r="AB487" s="340" t="s">
        <v>571</v>
      </c>
      <c r="AC487" s="340" t="s">
        <v>570</v>
      </c>
      <c r="AD487" s="341" t="s">
        <v>569</v>
      </c>
      <c r="AE487" s="346">
        <v>42735</v>
      </c>
      <c r="AF487" s="341" t="s">
        <v>568</v>
      </c>
      <c r="AG487" s="340">
        <v>0</v>
      </c>
      <c r="AH487" s="340">
        <v>40525.86</v>
      </c>
      <c r="AI487" s="377"/>
      <c r="AK487" s="493">
        <f t="shared" si="78"/>
        <v>6</v>
      </c>
      <c r="AL487" s="493">
        <f t="shared" si="79"/>
        <v>2006</v>
      </c>
      <c r="AM487" s="493">
        <f t="shared" si="80"/>
        <v>2013</v>
      </c>
      <c r="AN487" s="494">
        <f t="shared" si="81"/>
        <v>2013.5</v>
      </c>
      <c r="AO487" s="505">
        <f t="shared" si="82"/>
        <v>482.45071428571424</v>
      </c>
      <c r="AP487" s="505">
        <f t="shared" si="83"/>
        <v>5789.4085714285711</v>
      </c>
      <c r="AQ487" s="505">
        <f t="shared" si="84"/>
        <v>0</v>
      </c>
      <c r="AR487" s="505">
        <f t="shared" si="85"/>
        <v>40525.86</v>
      </c>
      <c r="AS487" s="505">
        <f t="shared" si="86"/>
        <v>40525.86</v>
      </c>
      <c r="AT487" s="506">
        <f t="shared" si="87"/>
        <v>0</v>
      </c>
    </row>
    <row r="488" spans="1:46">
      <c r="A488" s="341">
        <v>2112</v>
      </c>
      <c r="B488" s="345">
        <v>173700</v>
      </c>
      <c r="C488" s="341" t="s">
        <v>574</v>
      </c>
      <c r="D488" s="340" t="s">
        <v>1049</v>
      </c>
      <c r="E488" s="341">
        <v>720</v>
      </c>
      <c r="F488" s="340">
        <v>0</v>
      </c>
      <c r="G488" s="340"/>
      <c r="H488" s="340">
        <v>0</v>
      </c>
      <c r="I488" s="340" t="s">
        <v>1048</v>
      </c>
      <c r="J488" s="340"/>
      <c r="K488" s="340"/>
      <c r="L488" s="344">
        <v>38870</v>
      </c>
      <c r="M488" s="344">
        <v>38870</v>
      </c>
      <c r="N488" s="340" t="s">
        <v>1047</v>
      </c>
      <c r="O488" s="341">
        <v>700</v>
      </c>
      <c r="P488" s="341">
        <v>14050</v>
      </c>
      <c r="Q488" s="342">
        <v>40525.86</v>
      </c>
      <c r="R488" s="341">
        <v>14056</v>
      </c>
      <c r="S488" s="342">
        <v>40525.86</v>
      </c>
      <c r="T488" s="342">
        <f t="shared" si="88"/>
        <v>0</v>
      </c>
      <c r="U488" s="343">
        <v>0</v>
      </c>
      <c r="V488" s="341">
        <v>54260</v>
      </c>
      <c r="W488" s="342">
        <v>0</v>
      </c>
      <c r="X488" s="340" t="s">
        <v>574</v>
      </c>
      <c r="Y488" s="340"/>
      <c r="Z488" s="340">
        <v>182615</v>
      </c>
      <c r="AA488" s="340"/>
      <c r="AB488" s="340" t="s">
        <v>571</v>
      </c>
      <c r="AC488" s="340" t="s">
        <v>570</v>
      </c>
      <c r="AD488" s="341" t="s">
        <v>569</v>
      </c>
      <c r="AE488" s="346">
        <v>42735</v>
      </c>
      <c r="AF488" s="341" t="s">
        <v>568</v>
      </c>
      <c r="AG488" s="340">
        <v>0</v>
      </c>
      <c r="AH488" s="340">
        <v>40525.86</v>
      </c>
      <c r="AI488" s="377"/>
      <c r="AK488" s="493">
        <f t="shared" si="78"/>
        <v>6</v>
      </c>
      <c r="AL488" s="493">
        <f t="shared" si="79"/>
        <v>2006</v>
      </c>
      <c r="AM488" s="493">
        <f t="shared" si="80"/>
        <v>2013</v>
      </c>
      <c r="AN488" s="494">
        <f t="shared" si="81"/>
        <v>2013.5</v>
      </c>
      <c r="AO488" s="505">
        <f t="shared" si="82"/>
        <v>482.45071428571424</v>
      </c>
      <c r="AP488" s="505">
        <f t="shared" si="83"/>
        <v>5789.4085714285711</v>
      </c>
      <c r="AQ488" s="505">
        <f t="shared" si="84"/>
        <v>0</v>
      </c>
      <c r="AR488" s="505">
        <f t="shared" si="85"/>
        <v>40525.86</v>
      </c>
      <c r="AS488" s="505">
        <f t="shared" si="86"/>
        <v>40525.86</v>
      </c>
      <c r="AT488" s="506">
        <f t="shared" si="87"/>
        <v>0</v>
      </c>
    </row>
    <row r="489" spans="1:46">
      <c r="A489" s="341">
        <v>2112</v>
      </c>
      <c r="B489" s="345">
        <v>173699</v>
      </c>
      <c r="C489" s="341" t="s">
        <v>574</v>
      </c>
      <c r="D489" s="340" t="s">
        <v>1049</v>
      </c>
      <c r="E489" s="341">
        <v>720</v>
      </c>
      <c r="F489" s="340">
        <v>0</v>
      </c>
      <c r="G489" s="340"/>
      <c r="H489" s="340">
        <v>0</v>
      </c>
      <c r="I489" s="340" t="s">
        <v>1048</v>
      </c>
      <c r="J489" s="340"/>
      <c r="K489" s="340"/>
      <c r="L489" s="344">
        <v>38870</v>
      </c>
      <c r="M489" s="344">
        <v>38870</v>
      </c>
      <c r="N489" s="340" t="s">
        <v>1047</v>
      </c>
      <c r="O489" s="341">
        <v>700</v>
      </c>
      <c r="P489" s="341">
        <v>14050</v>
      </c>
      <c r="Q489" s="342">
        <v>40525.86</v>
      </c>
      <c r="R489" s="341">
        <v>14056</v>
      </c>
      <c r="S489" s="342">
        <v>40525.86</v>
      </c>
      <c r="T489" s="342">
        <f t="shared" si="88"/>
        <v>0</v>
      </c>
      <c r="U489" s="343">
        <v>0</v>
      </c>
      <c r="V489" s="341">
        <v>54260</v>
      </c>
      <c r="W489" s="342">
        <v>0</v>
      </c>
      <c r="X489" s="340" t="s">
        <v>574</v>
      </c>
      <c r="Y489" s="340"/>
      <c r="Z489" s="340">
        <v>182614</v>
      </c>
      <c r="AA489" s="340"/>
      <c r="AB489" s="340" t="s">
        <v>571</v>
      </c>
      <c r="AC489" s="340" t="s">
        <v>570</v>
      </c>
      <c r="AD489" s="341" t="s">
        <v>569</v>
      </c>
      <c r="AE489" s="346">
        <v>42735</v>
      </c>
      <c r="AF489" s="341" t="s">
        <v>568</v>
      </c>
      <c r="AG489" s="340">
        <v>0</v>
      </c>
      <c r="AH489" s="340">
        <v>40525.86</v>
      </c>
      <c r="AI489" s="377"/>
      <c r="AK489" s="493">
        <f t="shared" si="78"/>
        <v>6</v>
      </c>
      <c r="AL489" s="493">
        <f t="shared" si="79"/>
        <v>2006</v>
      </c>
      <c r="AM489" s="493">
        <f t="shared" si="80"/>
        <v>2013</v>
      </c>
      <c r="AN489" s="494">
        <f t="shared" si="81"/>
        <v>2013.5</v>
      </c>
      <c r="AO489" s="505">
        <f t="shared" si="82"/>
        <v>482.45071428571424</v>
      </c>
      <c r="AP489" s="505">
        <f t="shared" si="83"/>
        <v>5789.4085714285711</v>
      </c>
      <c r="AQ489" s="505">
        <f t="shared" si="84"/>
        <v>0</v>
      </c>
      <c r="AR489" s="505">
        <f t="shared" si="85"/>
        <v>40525.86</v>
      </c>
      <c r="AS489" s="505">
        <f t="shared" si="86"/>
        <v>40525.86</v>
      </c>
      <c r="AT489" s="506">
        <f t="shared" si="87"/>
        <v>0</v>
      </c>
    </row>
    <row r="490" spans="1:46">
      <c r="A490" s="341">
        <v>2112</v>
      </c>
      <c r="B490" s="345">
        <v>173698</v>
      </c>
      <c r="C490" s="341" t="s">
        <v>574</v>
      </c>
      <c r="D490" s="340" t="s">
        <v>1049</v>
      </c>
      <c r="E490" s="341">
        <v>516</v>
      </c>
      <c r="F490" s="340">
        <v>0</v>
      </c>
      <c r="G490" s="340"/>
      <c r="H490" s="340">
        <v>0</v>
      </c>
      <c r="I490" s="340" t="s">
        <v>1048</v>
      </c>
      <c r="J490" s="340"/>
      <c r="K490" s="340"/>
      <c r="L490" s="344">
        <v>38870</v>
      </c>
      <c r="M490" s="344">
        <v>38870</v>
      </c>
      <c r="N490" s="340" t="s">
        <v>1047</v>
      </c>
      <c r="O490" s="341">
        <v>700</v>
      </c>
      <c r="P490" s="341">
        <v>14050</v>
      </c>
      <c r="Q490" s="342">
        <v>29810.66</v>
      </c>
      <c r="R490" s="341">
        <v>14056</v>
      </c>
      <c r="S490" s="342">
        <v>29810.66</v>
      </c>
      <c r="T490" s="342">
        <f t="shared" si="88"/>
        <v>0</v>
      </c>
      <c r="U490" s="343">
        <v>0</v>
      </c>
      <c r="V490" s="341">
        <v>54260</v>
      </c>
      <c r="W490" s="342">
        <v>0</v>
      </c>
      <c r="X490" s="340" t="s">
        <v>574</v>
      </c>
      <c r="Y490" s="340"/>
      <c r="Z490" s="340">
        <v>182612</v>
      </c>
      <c r="AA490" s="340"/>
      <c r="AB490" s="340" t="s">
        <v>571</v>
      </c>
      <c r="AC490" s="340" t="s">
        <v>570</v>
      </c>
      <c r="AD490" s="341" t="s">
        <v>569</v>
      </c>
      <c r="AE490" s="346">
        <v>42735</v>
      </c>
      <c r="AF490" s="341" t="s">
        <v>568</v>
      </c>
      <c r="AG490" s="340">
        <v>0</v>
      </c>
      <c r="AH490" s="340">
        <v>29810.66</v>
      </c>
      <c r="AI490" s="377"/>
      <c r="AK490" s="493">
        <f t="shared" si="78"/>
        <v>6</v>
      </c>
      <c r="AL490" s="493">
        <f t="shared" si="79"/>
        <v>2006</v>
      </c>
      <c r="AM490" s="493">
        <f t="shared" si="80"/>
        <v>2013</v>
      </c>
      <c r="AN490" s="494">
        <f t="shared" si="81"/>
        <v>2013.5</v>
      </c>
      <c r="AO490" s="505">
        <f t="shared" si="82"/>
        <v>354.88880952380947</v>
      </c>
      <c r="AP490" s="505">
        <f t="shared" si="83"/>
        <v>4258.6657142857139</v>
      </c>
      <c r="AQ490" s="505">
        <f t="shared" si="84"/>
        <v>0</v>
      </c>
      <c r="AR490" s="505">
        <f t="shared" si="85"/>
        <v>29810.66</v>
      </c>
      <c r="AS490" s="505">
        <f t="shared" si="86"/>
        <v>29810.66</v>
      </c>
      <c r="AT490" s="506">
        <f t="shared" si="87"/>
        <v>0</v>
      </c>
    </row>
    <row r="491" spans="1:46">
      <c r="A491" s="341">
        <v>2112</v>
      </c>
      <c r="B491" s="345">
        <v>173697</v>
      </c>
      <c r="C491" s="341" t="s">
        <v>574</v>
      </c>
      <c r="D491" s="340" t="s">
        <v>1051</v>
      </c>
      <c r="E491" s="341">
        <v>40</v>
      </c>
      <c r="F491" s="340">
        <v>0</v>
      </c>
      <c r="G491" s="340"/>
      <c r="H491" s="340">
        <v>0</v>
      </c>
      <c r="I491" s="340" t="s">
        <v>714</v>
      </c>
      <c r="J491" s="340"/>
      <c r="K491" s="340" t="s">
        <v>671</v>
      </c>
      <c r="L491" s="344">
        <v>38869</v>
      </c>
      <c r="M491" s="344">
        <v>38869</v>
      </c>
      <c r="N491" s="340" t="s">
        <v>1050</v>
      </c>
      <c r="O491" s="341">
        <v>1200</v>
      </c>
      <c r="P491" s="341">
        <v>14050</v>
      </c>
      <c r="Q491" s="342">
        <v>18428</v>
      </c>
      <c r="R491" s="341">
        <v>14056</v>
      </c>
      <c r="S491" s="342">
        <v>18428</v>
      </c>
      <c r="T491" s="342">
        <f t="shared" si="88"/>
        <v>0</v>
      </c>
      <c r="U491" s="343">
        <v>0</v>
      </c>
      <c r="V491" s="341">
        <v>54260</v>
      </c>
      <c r="W491" s="342">
        <v>0</v>
      </c>
      <c r="X491" s="340" t="s">
        <v>574</v>
      </c>
      <c r="Y491" s="340"/>
      <c r="Z491" s="340">
        <v>2974</v>
      </c>
      <c r="AA491" s="340"/>
      <c r="AB491" s="340" t="s">
        <v>571</v>
      </c>
      <c r="AC491" s="340" t="s">
        <v>570</v>
      </c>
      <c r="AD491" s="341" t="s">
        <v>569</v>
      </c>
      <c r="AE491" s="346">
        <v>42735</v>
      </c>
      <c r="AF491" s="341" t="s">
        <v>568</v>
      </c>
      <c r="AG491" s="340">
        <v>0</v>
      </c>
      <c r="AH491" s="340">
        <v>16252.51</v>
      </c>
      <c r="AI491" s="377"/>
      <c r="AK491" s="493">
        <f t="shared" si="78"/>
        <v>6</v>
      </c>
      <c r="AL491" s="493">
        <f t="shared" si="79"/>
        <v>2006</v>
      </c>
      <c r="AM491" s="493">
        <f t="shared" si="80"/>
        <v>2018</v>
      </c>
      <c r="AN491" s="494">
        <f t="shared" si="81"/>
        <v>2018.5</v>
      </c>
      <c r="AO491" s="505">
        <f t="shared" si="82"/>
        <v>127.97222222222223</v>
      </c>
      <c r="AP491" s="505">
        <f t="shared" si="83"/>
        <v>1535.6666666666667</v>
      </c>
      <c r="AQ491" s="505">
        <f t="shared" si="84"/>
        <v>0</v>
      </c>
      <c r="AR491" s="505">
        <f t="shared" si="85"/>
        <v>18428</v>
      </c>
      <c r="AS491" s="505">
        <f t="shared" si="86"/>
        <v>18428</v>
      </c>
      <c r="AT491" s="506">
        <f t="shared" si="87"/>
        <v>0</v>
      </c>
    </row>
    <row r="492" spans="1:46">
      <c r="A492" s="341">
        <v>2112</v>
      </c>
      <c r="B492" s="345">
        <v>173696</v>
      </c>
      <c r="C492" s="341" t="s">
        <v>574</v>
      </c>
      <c r="D492" s="340" t="s">
        <v>1049</v>
      </c>
      <c r="E492" s="341">
        <v>720</v>
      </c>
      <c r="F492" s="340">
        <v>0</v>
      </c>
      <c r="G492" s="340"/>
      <c r="H492" s="340">
        <v>0</v>
      </c>
      <c r="I492" s="340" t="s">
        <v>1048</v>
      </c>
      <c r="J492" s="340"/>
      <c r="K492" s="340"/>
      <c r="L492" s="344">
        <v>38869</v>
      </c>
      <c r="M492" s="344">
        <v>38869</v>
      </c>
      <c r="N492" s="340" t="s">
        <v>1047</v>
      </c>
      <c r="O492" s="341">
        <v>700</v>
      </c>
      <c r="P492" s="341">
        <v>14050</v>
      </c>
      <c r="Q492" s="342">
        <v>40525.86</v>
      </c>
      <c r="R492" s="341">
        <v>14056</v>
      </c>
      <c r="S492" s="342">
        <v>40525.86</v>
      </c>
      <c r="T492" s="342">
        <f t="shared" si="88"/>
        <v>0</v>
      </c>
      <c r="U492" s="343">
        <v>0</v>
      </c>
      <c r="V492" s="341">
        <v>54260</v>
      </c>
      <c r="W492" s="342">
        <v>0</v>
      </c>
      <c r="X492" s="340" t="s">
        <v>574</v>
      </c>
      <c r="Y492" s="340"/>
      <c r="Z492" s="340">
        <v>182535</v>
      </c>
      <c r="AA492" s="340"/>
      <c r="AB492" s="340" t="s">
        <v>571</v>
      </c>
      <c r="AC492" s="340" t="s">
        <v>570</v>
      </c>
      <c r="AD492" s="341" t="s">
        <v>569</v>
      </c>
      <c r="AE492" s="346">
        <v>42735</v>
      </c>
      <c r="AF492" s="341" t="s">
        <v>568</v>
      </c>
      <c r="AG492" s="340">
        <v>0</v>
      </c>
      <c r="AH492" s="340">
        <v>40525.86</v>
      </c>
      <c r="AI492" s="377"/>
      <c r="AK492" s="493">
        <f t="shared" si="78"/>
        <v>6</v>
      </c>
      <c r="AL492" s="493">
        <f t="shared" si="79"/>
        <v>2006</v>
      </c>
      <c r="AM492" s="493">
        <f t="shared" si="80"/>
        <v>2013</v>
      </c>
      <c r="AN492" s="494">
        <f t="shared" si="81"/>
        <v>2013.5</v>
      </c>
      <c r="AO492" s="505">
        <f t="shared" si="82"/>
        <v>482.45071428571424</v>
      </c>
      <c r="AP492" s="505">
        <f t="shared" si="83"/>
        <v>5789.4085714285711</v>
      </c>
      <c r="AQ492" s="505">
        <f t="shared" si="84"/>
        <v>0</v>
      </c>
      <c r="AR492" s="505">
        <f t="shared" si="85"/>
        <v>40525.86</v>
      </c>
      <c r="AS492" s="505">
        <f t="shared" si="86"/>
        <v>40525.86</v>
      </c>
      <c r="AT492" s="506">
        <f t="shared" si="87"/>
        <v>0</v>
      </c>
    </row>
    <row r="493" spans="1:46">
      <c r="A493" s="341">
        <v>2112</v>
      </c>
      <c r="B493" s="345">
        <v>173695</v>
      </c>
      <c r="C493" s="341" t="s">
        <v>574</v>
      </c>
      <c r="D493" s="340" t="s">
        <v>1049</v>
      </c>
      <c r="E493" s="341">
        <v>720</v>
      </c>
      <c r="F493" s="340">
        <v>0</v>
      </c>
      <c r="G493" s="340"/>
      <c r="H493" s="340">
        <v>0</v>
      </c>
      <c r="I493" s="340" t="s">
        <v>1048</v>
      </c>
      <c r="J493" s="340"/>
      <c r="K493" s="340"/>
      <c r="L493" s="344">
        <v>38869</v>
      </c>
      <c r="M493" s="344">
        <v>38869</v>
      </c>
      <c r="N493" s="340" t="s">
        <v>1047</v>
      </c>
      <c r="O493" s="341">
        <v>700</v>
      </c>
      <c r="P493" s="341">
        <v>14050</v>
      </c>
      <c r="Q493" s="342">
        <v>40525.86</v>
      </c>
      <c r="R493" s="341">
        <v>14056</v>
      </c>
      <c r="S493" s="342">
        <v>40525.86</v>
      </c>
      <c r="T493" s="342">
        <f t="shared" si="88"/>
        <v>0</v>
      </c>
      <c r="U493" s="343">
        <v>0</v>
      </c>
      <c r="V493" s="341">
        <v>54260</v>
      </c>
      <c r="W493" s="342">
        <v>0</v>
      </c>
      <c r="X493" s="340" t="s">
        <v>574</v>
      </c>
      <c r="Y493" s="340"/>
      <c r="Z493" s="340">
        <v>182534</v>
      </c>
      <c r="AA493" s="340"/>
      <c r="AB493" s="340" t="s">
        <v>571</v>
      </c>
      <c r="AC493" s="340" t="s">
        <v>570</v>
      </c>
      <c r="AD493" s="341" t="s">
        <v>569</v>
      </c>
      <c r="AE493" s="346">
        <v>42735</v>
      </c>
      <c r="AF493" s="341" t="s">
        <v>568</v>
      </c>
      <c r="AG493" s="340">
        <v>0</v>
      </c>
      <c r="AH493" s="340">
        <v>40525.86</v>
      </c>
      <c r="AI493" s="377"/>
      <c r="AK493" s="493">
        <f t="shared" si="78"/>
        <v>6</v>
      </c>
      <c r="AL493" s="493">
        <f t="shared" si="79"/>
        <v>2006</v>
      </c>
      <c r="AM493" s="493">
        <f t="shared" si="80"/>
        <v>2013</v>
      </c>
      <c r="AN493" s="494">
        <f t="shared" si="81"/>
        <v>2013.5</v>
      </c>
      <c r="AO493" s="505">
        <f t="shared" si="82"/>
        <v>482.45071428571424</v>
      </c>
      <c r="AP493" s="505">
        <f t="shared" si="83"/>
        <v>5789.4085714285711</v>
      </c>
      <c r="AQ493" s="505">
        <f t="shared" si="84"/>
        <v>0</v>
      </c>
      <c r="AR493" s="505">
        <f t="shared" si="85"/>
        <v>40525.86</v>
      </c>
      <c r="AS493" s="505">
        <f t="shared" si="86"/>
        <v>40525.86</v>
      </c>
      <c r="AT493" s="506">
        <f t="shared" si="87"/>
        <v>0</v>
      </c>
    </row>
    <row r="494" spans="1:46">
      <c r="A494" s="341">
        <v>2112</v>
      </c>
      <c r="B494" s="345">
        <v>173693</v>
      </c>
      <c r="C494" s="341" t="s">
        <v>574</v>
      </c>
      <c r="D494" s="340" t="s">
        <v>1046</v>
      </c>
      <c r="E494" s="341">
        <v>240</v>
      </c>
      <c r="F494" s="340">
        <v>0</v>
      </c>
      <c r="G494" s="340"/>
      <c r="H494" s="340">
        <v>0</v>
      </c>
      <c r="I494" s="340" t="s">
        <v>1045</v>
      </c>
      <c r="J494" s="340"/>
      <c r="K494" s="340"/>
      <c r="L494" s="344">
        <v>38849</v>
      </c>
      <c r="M494" s="344">
        <v>38849</v>
      </c>
      <c r="N494" s="340" t="s">
        <v>1044</v>
      </c>
      <c r="O494" s="341">
        <v>1200</v>
      </c>
      <c r="P494" s="341">
        <v>14050</v>
      </c>
      <c r="Q494" s="342">
        <v>68443.759999999995</v>
      </c>
      <c r="R494" s="341">
        <v>14056</v>
      </c>
      <c r="S494" s="342">
        <v>68443.759999999995</v>
      </c>
      <c r="T494" s="342">
        <f t="shared" si="88"/>
        <v>0</v>
      </c>
      <c r="U494" s="343">
        <v>0</v>
      </c>
      <c r="V494" s="341">
        <v>54260</v>
      </c>
      <c r="W494" s="342">
        <v>0</v>
      </c>
      <c r="X494" s="340" t="s">
        <v>574</v>
      </c>
      <c r="Y494" s="340"/>
      <c r="Z494" s="340" t="s">
        <v>1043</v>
      </c>
      <c r="AA494" s="340"/>
      <c r="AB494" s="340" t="s">
        <v>571</v>
      </c>
      <c r="AC494" s="340" t="s">
        <v>570</v>
      </c>
      <c r="AD494" s="341" t="s">
        <v>569</v>
      </c>
      <c r="AE494" s="346">
        <v>42735</v>
      </c>
      <c r="AF494" s="341" t="s">
        <v>568</v>
      </c>
      <c r="AG494" s="340">
        <v>0</v>
      </c>
      <c r="AH494" s="340">
        <v>60838.93</v>
      </c>
      <c r="AI494" s="377"/>
      <c r="AK494" s="493">
        <f t="shared" si="78"/>
        <v>5</v>
      </c>
      <c r="AL494" s="493">
        <f t="shared" si="79"/>
        <v>2006</v>
      </c>
      <c r="AM494" s="493">
        <f t="shared" si="80"/>
        <v>2018</v>
      </c>
      <c r="AN494" s="494">
        <f t="shared" si="81"/>
        <v>2018.4166666666667</v>
      </c>
      <c r="AO494" s="505">
        <f t="shared" si="82"/>
        <v>475.30388888888888</v>
      </c>
      <c r="AP494" s="505">
        <f t="shared" si="83"/>
        <v>5703.6466666666665</v>
      </c>
      <c r="AQ494" s="505">
        <f t="shared" si="84"/>
        <v>0</v>
      </c>
      <c r="AR494" s="505">
        <f t="shared" si="85"/>
        <v>68443.759999999995</v>
      </c>
      <c r="AS494" s="505">
        <f t="shared" si="86"/>
        <v>68443.759999999995</v>
      </c>
      <c r="AT494" s="506">
        <f t="shared" si="87"/>
        <v>0</v>
      </c>
    </row>
    <row r="495" spans="1:46">
      <c r="A495" s="341">
        <v>2112</v>
      </c>
      <c r="B495" s="345">
        <v>173692</v>
      </c>
      <c r="C495" s="341" t="s">
        <v>574</v>
      </c>
      <c r="D495" s="340" t="s">
        <v>1042</v>
      </c>
      <c r="E495" s="341">
        <v>1</v>
      </c>
      <c r="F495" s="340"/>
      <c r="G495" s="340"/>
      <c r="H495" s="340">
        <v>0</v>
      </c>
      <c r="I495" s="340" t="s">
        <v>689</v>
      </c>
      <c r="J495" s="340"/>
      <c r="K495" s="340" t="s">
        <v>722</v>
      </c>
      <c r="L495" s="344">
        <v>38670</v>
      </c>
      <c r="M495" s="344">
        <v>38670</v>
      </c>
      <c r="N495" s="340">
        <v>52148005</v>
      </c>
      <c r="O495" s="341">
        <v>1200</v>
      </c>
      <c r="P495" s="341">
        <v>14050</v>
      </c>
      <c r="Q495" s="342">
        <v>5347.52</v>
      </c>
      <c r="R495" s="341">
        <v>14056</v>
      </c>
      <c r="S495" s="342">
        <v>5347.52</v>
      </c>
      <c r="T495" s="342">
        <f t="shared" si="88"/>
        <v>0</v>
      </c>
      <c r="U495" s="343">
        <v>0</v>
      </c>
      <c r="V495" s="341">
        <v>54260</v>
      </c>
      <c r="W495" s="342">
        <v>0</v>
      </c>
      <c r="X495" s="340" t="s">
        <v>574</v>
      </c>
      <c r="Y495" s="340">
        <v>0</v>
      </c>
      <c r="Z495" s="340">
        <v>4867</v>
      </c>
      <c r="AA495" s="340"/>
      <c r="AB495" s="340" t="s">
        <v>571</v>
      </c>
      <c r="AC495" s="340" t="s">
        <v>570</v>
      </c>
      <c r="AD495" s="341" t="s">
        <v>569</v>
      </c>
      <c r="AE495" s="346">
        <v>42735</v>
      </c>
      <c r="AF495" s="341" t="s">
        <v>568</v>
      </c>
      <c r="AG495" s="340">
        <v>0</v>
      </c>
      <c r="AH495" s="340">
        <v>4976.2</v>
      </c>
      <c r="AI495" s="377"/>
      <c r="AK495" s="493">
        <f t="shared" si="78"/>
        <v>11</v>
      </c>
      <c r="AL495" s="493">
        <f t="shared" si="79"/>
        <v>2005</v>
      </c>
      <c r="AM495" s="493">
        <f t="shared" si="80"/>
        <v>2017</v>
      </c>
      <c r="AN495" s="494">
        <f t="shared" si="81"/>
        <v>2017.9166666666667</v>
      </c>
      <c r="AO495" s="505">
        <f t="shared" si="82"/>
        <v>37.135555555555563</v>
      </c>
      <c r="AP495" s="505">
        <f t="shared" si="83"/>
        <v>445.62666666666678</v>
      </c>
      <c r="AQ495" s="505">
        <f t="shared" si="84"/>
        <v>0</v>
      </c>
      <c r="AR495" s="505">
        <f t="shared" si="85"/>
        <v>5347.52</v>
      </c>
      <c r="AS495" s="505">
        <f t="shared" si="86"/>
        <v>5347.52</v>
      </c>
      <c r="AT495" s="506">
        <f t="shared" si="87"/>
        <v>0</v>
      </c>
    </row>
    <row r="496" spans="1:46">
      <c r="A496" s="341">
        <v>2112</v>
      </c>
      <c r="B496" s="345">
        <v>173691</v>
      </c>
      <c r="C496" s="341" t="s">
        <v>574</v>
      </c>
      <c r="D496" s="340" t="s">
        <v>1041</v>
      </c>
      <c r="E496" s="341">
        <v>12</v>
      </c>
      <c r="F496" s="340"/>
      <c r="G496" s="340"/>
      <c r="H496" s="340">
        <v>0</v>
      </c>
      <c r="I496" s="340" t="s">
        <v>689</v>
      </c>
      <c r="J496" s="340"/>
      <c r="K496" s="340" t="s">
        <v>671</v>
      </c>
      <c r="L496" s="344">
        <v>38670</v>
      </c>
      <c r="M496" s="344">
        <v>38670</v>
      </c>
      <c r="N496" s="340">
        <v>52148005</v>
      </c>
      <c r="O496" s="341">
        <v>1200</v>
      </c>
      <c r="P496" s="341">
        <v>14050</v>
      </c>
      <c r="Q496" s="342">
        <v>5679.36</v>
      </c>
      <c r="R496" s="341">
        <v>14056</v>
      </c>
      <c r="S496" s="342">
        <v>5679.36</v>
      </c>
      <c r="T496" s="342">
        <f t="shared" si="88"/>
        <v>0</v>
      </c>
      <c r="U496" s="343">
        <v>0</v>
      </c>
      <c r="V496" s="341">
        <v>54260</v>
      </c>
      <c r="W496" s="342">
        <v>0</v>
      </c>
      <c r="X496" s="340" t="s">
        <v>574</v>
      </c>
      <c r="Y496" s="340">
        <v>0</v>
      </c>
      <c r="Z496" s="340">
        <v>4865</v>
      </c>
      <c r="AA496" s="340"/>
      <c r="AB496" s="340" t="s">
        <v>571</v>
      </c>
      <c r="AC496" s="340" t="s">
        <v>570</v>
      </c>
      <c r="AD496" s="341" t="s">
        <v>569</v>
      </c>
      <c r="AE496" s="346">
        <v>42735</v>
      </c>
      <c r="AF496" s="341" t="s">
        <v>568</v>
      </c>
      <c r="AG496" s="340">
        <v>0</v>
      </c>
      <c r="AH496" s="340">
        <v>5284.96</v>
      </c>
      <c r="AI496" s="377"/>
      <c r="AK496" s="493">
        <f t="shared" si="78"/>
        <v>11</v>
      </c>
      <c r="AL496" s="493">
        <f t="shared" si="79"/>
        <v>2005</v>
      </c>
      <c r="AM496" s="493">
        <f t="shared" si="80"/>
        <v>2017</v>
      </c>
      <c r="AN496" s="494">
        <f t="shared" si="81"/>
        <v>2017.9166666666667</v>
      </c>
      <c r="AO496" s="505">
        <f t="shared" si="82"/>
        <v>39.44</v>
      </c>
      <c r="AP496" s="505">
        <f t="shared" si="83"/>
        <v>473.28</v>
      </c>
      <c r="AQ496" s="505">
        <f t="shared" si="84"/>
        <v>0</v>
      </c>
      <c r="AR496" s="505">
        <f t="shared" si="85"/>
        <v>5679.36</v>
      </c>
      <c r="AS496" s="505">
        <f t="shared" si="86"/>
        <v>5679.36</v>
      </c>
      <c r="AT496" s="506">
        <f t="shared" si="87"/>
        <v>0</v>
      </c>
    </row>
    <row r="497" spans="1:46">
      <c r="A497" s="341">
        <v>2112</v>
      </c>
      <c r="B497" s="345">
        <v>173690</v>
      </c>
      <c r="C497" s="341" t="s">
        <v>574</v>
      </c>
      <c r="D497" s="340" t="s">
        <v>640</v>
      </c>
      <c r="E497" s="341">
        <v>25</v>
      </c>
      <c r="F497" s="340"/>
      <c r="G497" s="340"/>
      <c r="H497" s="340">
        <v>0</v>
      </c>
      <c r="I497" s="340" t="s">
        <v>679</v>
      </c>
      <c r="J497" s="340"/>
      <c r="K497" s="340" t="s">
        <v>578</v>
      </c>
      <c r="L497" s="344">
        <v>38555</v>
      </c>
      <c r="M497" s="344">
        <v>38555</v>
      </c>
      <c r="N497" s="340">
        <v>52148003</v>
      </c>
      <c r="O497" s="341">
        <v>1200</v>
      </c>
      <c r="P497" s="341">
        <v>14050</v>
      </c>
      <c r="Q497" s="342">
        <v>10758.7</v>
      </c>
      <c r="R497" s="341">
        <v>14056</v>
      </c>
      <c r="S497" s="342">
        <v>10758.7</v>
      </c>
      <c r="T497" s="342">
        <f t="shared" si="88"/>
        <v>0</v>
      </c>
      <c r="U497" s="343">
        <v>0</v>
      </c>
      <c r="V497" s="341">
        <v>54260</v>
      </c>
      <c r="W497" s="342">
        <v>0</v>
      </c>
      <c r="X497" s="340" t="s">
        <v>574</v>
      </c>
      <c r="Y497" s="340">
        <v>0</v>
      </c>
      <c r="Z497" s="340">
        <v>2536</v>
      </c>
      <c r="AA497" s="340"/>
      <c r="AB497" s="340" t="s">
        <v>571</v>
      </c>
      <c r="AC497" s="340" t="s">
        <v>570</v>
      </c>
      <c r="AD497" s="341" t="s">
        <v>569</v>
      </c>
      <c r="AE497" s="346">
        <v>42735</v>
      </c>
      <c r="AF497" s="341" t="s">
        <v>568</v>
      </c>
      <c r="AG497" s="340">
        <v>0</v>
      </c>
      <c r="AH497" s="340">
        <v>10235.73</v>
      </c>
      <c r="AI497" s="377"/>
      <c r="AK497" s="493">
        <f t="shared" si="78"/>
        <v>7</v>
      </c>
      <c r="AL497" s="493">
        <f t="shared" si="79"/>
        <v>2005</v>
      </c>
      <c r="AM497" s="493">
        <f t="shared" si="80"/>
        <v>2017</v>
      </c>
      <c r="AN497" s="494">
        <f t="shared" si="81"/>
        <v>2017.5833333333333</v>
      </c>
      <c r="AO497" s="505">
        <f t="shared" si="82"/>
        <v>74.713194444444454</v>
      </c>
      <c r="AP497" s="505">
        <f t="shared" si="83"/>
        <v>896.55833333333339</v>
      </c>
      <c r="AQ497" s="505">
        <f t="shared" si="84"/>
        <v>0</v>
      </c>
      <c r="AR497" s="505">
        <f t="shared" si="85"/>
        <v>10758.7</v>
      </c>
      <c r="AS497" s="505">
        <f t="shared" si="86"/>
        <v>10758.7</v>
      </c>
      <c r="AT497" s="506">
        <f t="shared" si="87"/>
        <v>0</v>
      </c>
    </row>
    <row r="498" spans="1:46">
      <c r="A498" s="341">
        <v>2112</v>
      </c>
      <c r="B498" s="345">
        <v>173689</v>
      </c>
      <c r="C498" s="341">
        <v>34951</v>
      </c>
      <c r="D498" s="340" t="s">
        <v>1040</v>
      </c>
      <c r="E498" s="341">
        <v>0</v>
      </c>
      <c r="F498" s="340" t="s">
        <v>1039</v>
      </c>
      <c r="G498" s="340"/>
      <c r="H498" s="340">
        <v>2003</v>
      </c>
      <c r="I498" s="340"/>
      <c r="J498" s="340"/>
      <c r="K498" s="340" t="s">
        <v>572</v>
      </c>
      <c r="L498" s="344">
        <v>38610</v>
      </c>
      <c r="M498" s="344">
        <v>38610</v>
      </c>
      <c r="N498" s="340" t="s">
        <v>1038</v>
      </c>
      <c r="O498" s="341">
        <v>700</v>
      </c>
      <c r="P498" s="341">
        <v>14040</v>
      </c>
      <c r="Q498" s="342">
        <v>7215.4</v>
      </c>
      <c r="R498" s="341">
        <v>14046</v>
      </c>
      <c r="S498" s="342">
        <v>7215.4</v>
      </c>
      <c r="T498" s="342">
        <f t="shared" si="88"/>
        <v>0</v>
      </c>
      <c r="U498" s="343">
        <v>0</v>
      </c>
      <c r="V498" s="341">
        <v>51260</v>
      </c>
      <c r="W498" s="342">
        <v>0</v>
      </c>
      <c r="X498" s="340" t="s">
        <v>574</v>
      </c>
      <c r="Y498" s="340">
        <v>0</v>
      </c>
      <c r="Z498" s="347">
        <v>70554</v>
      </c>
      <c r="AA498" s="340"/>
      <c r="AB498" s="340" t="s">
        <v>571</v>
      </c>
      <c r="AC498" s="340" t="s">
        <v>570</v>
      </c>
      <c r="AD498" s="341" t="s">
        <v>569</v>
      </c>
      <c r="AE498" s="346">
        <v>42735</v>
      </c>
      <c r="AF498" s="341" t="s">
        <v>568</v>
      </c>
      <c r="AG498" s="340">
        <v>0</v>
      </c>
      <c r="AH498" s="340">
        <v>7215.4</v>
      </c>
      <c r="AI498" s="377"/>
      <c r="AK498" s="493">
        <f t="shared" si="78"/>
        <v>9</v>
      </c>
      <c r="AL498" s="493">
        <f t="shared" si="79"/>
        <v>2005</v>
      </c>
      <c r="AM498" s="493">
        <f t="shared" si="80"/>
        <v>2012</v>
      </c>
      <c r="AN498" s="494">
        <f t="shared" si="81"/>
        <v>2012.75</v>
      </c>
      <c r="AO498" s="505">
        <f t="shared" si="82"/>
        <v>85.897619047619045</v>
      </c>
      <c r="AP498" s="505">
        <f t="shared" si="83"/>
        <v>1030.7714285714285</v>
      </c>
      <c r="AQ498" s="505">
        <f t="shared" si="84"/>
        <v>0</v>
      </c>
      <c r="AR498" s="505">
        <f t="shared" si="85"/>
        <v>7215.4</v>
      </c>
      <c r="AS498" s="505">
        <f t="shared" si="86"/>
        <v>7215.4</v>
      </c>
      <c r="AT498" s="506">
        <f t="shared" si="87"/>
        <v>0</v>
      </c>
    </row>
    <row r="499" spans="1:46">
      <c r="A499" s="341">
        <v>2112</v>
      </c>
      <c r="B499" s="345">
        <v>173684</v>
      </c>
      <c r="C499" s="341" t="s">
        <v>574</v>
      </c>
      <c r="D499" s="340" t="s">
        <v>1035</v>
      </c>
      <c r="E499" s="341">
        <v>22</v>
      </c>
      <c r="F499" s="340"/>
      <c r="G499" s="340"/>
      <c r="H499" s="340">
        <v>0</v>
      </c>
      <c r="I499" s="340" t="s">
        <v>679</v>
      </c>
      <c r="J499" s="340"/>
      <c r="K499" s="340" t="s">
        <v>671</v>
      </c>
      <c r="L499" s="344">
        <v>38168</v>
      </c>
      <c r="M499" s="344">
        <v>38168</v>
      </c>
      <c r="N499" s="340">
        <v>42148003</v>
      </c>
      <c r="O499" s="341">
        <v>1200</v>
      </c>
      <c r="P499" s="341">
        <v>14050</v>
      </c>
      <c r="Q499" s="342">
        <v>10159.25</v>
      </c>
      <c r="R499" s="341">
        <v>14056</v>
      </c>
      <c r="S499" s="342">
        <v>10159.25</v>
      </c>
      <c r="T499" s="342">
        <f t="shared" si="88"/>
        <v>0</v>
      </c>
      <c r="U499" s="343">
        <v>0</v>
      </c>
      <c r="V499" s="341">
        <v>54260</v>
      </c>
      <c r="W499" s="342">
        <v>0</v>
      </c>
      <c r="X499" s="340" t="s">
        <v>574</v>
      </c>
      <c r="Y499" s="340">
        <v>0</v>
      </c>
      <c r="Z499" s="340">
        <v>2119</v>
      </c>
      <c r="AA499" s="340" t="s">
        <v>574</v>
      </c>
      <c r="AB499" s="340" t="s">
        <v>571</v>
      </c>
      <c r="AC499" s="340" t="s">
        <v>570</v>
      </c>
      <c r="AD499" s="341" t="s">
        <v>569</v>
      </c>
      <c r="AE499" s="346">
        <v>42735</v>
      </c>
      <c r="AF499" s="341" t="s">
        <v>568</v>
      </c>
      <c r="AG499" s="340">
        <v>0</v>
      </c>
      <c r="AH499" s="340">
        <v>10159.25</v>
      </c>
      <c r="AI499" s="377"/>
      <c r="AK499" s="493">
        <f t="shared" si="78"/>
        <v>6</v>
      </c>
      <c r="AL499" s="493">
        <f t="shared" si="79"/>
        <v>2004</v>
      </c>
      <c r="AM499" s="493">
        <f t="shared" si="80"/>
        <v>2016</v>
      </c>
      <c r="AN499" s="494">
        <f t="shared" si="81"/>
        <v>2016.5</v>
      </c>
      <c r="AO499" s="505">
        <f t="shared" si="82"/>
        <v>70.550347222222214</v>
      </c>
      <c r="AP499" s="505">
        <f t="shared" si="83"/>
        <v>846.60416666666652</v>
      </c>
      <c r="AQ499" s="505">
        <f t="shared" si="84"/>
        <v>0</v>
      </c>
      <c r="AR499" s="505">
        <f t="shared" si="85"/>
        <v>10159.25</v>
      </c>
      <c r="AS499" s="505">
        <f t="shared" si="86"/>
        <v>10159.25</v>
      </c>
      <c r="AT499" s="506">
        <f t="shared" si="87"/>
        <v>0</v>
      </c>
    </row>
    <row r="500" spans="1:46">
      <c r="A500" s="341">
        <v>2112</v>
      </c>
      <c r="B500" s="345">
        <v>173683</v>
      </c>
      <c r="C500" s="341" t="s">
        <v>574</v>
      </c>
      <c r="D500" s="340" t="s">
        <v>1034</v>
      </c>
      <c r="E500" s="341">
        <v>300</v>
      </c>
      <c r="F500" s="340"/>
      <c r="G500" s="340"/>
      <c r="H500" s="340">
        <v>0</v>
      </c>
      <c r="I500" s="340" t="s">
        <v>661</v>
      </c>
      <c r="J500" s="340"/>
      <c r="K500" s="340"/>
      <c r="L500" s="344">
        <v>38048</v>
      </c>
      <c r="M500" s="344">
        <v>38048</v>
      </c>
      <c r="N500" s="340">
        <v>42148004</v>
      </c>
      <c r="O500" s="341">
        <v>500</v>
      </c>
      <c r="P500" s="341">
        <v>14050</v>
      </c>
      <c r="Q500" s="342">
        <v>1605.56</v>
      </c>
      <c r="R500" s="341">
        <v>14056</v>
      </c>
      <c r="S500" s="342">
        <v>1605.56</v>
      </c>
      <c r="T500" s="342">
        <f t="shared" si="88"/>
        <v>0</v>
      </c>
      <c r="U500" s="343">
        <v>0</v>
      </c>
      <c r="V500" s="341">
        <v>54260</v>
      </c>
      <c r="W500" s="342">
        <v>0</v>
      </c>
      <c r="X500" s="340" t="s">
        <v>574</v>
      </c>
      <c r="Y500" s="340">
        <v>0</v>
      </c>
      <c r="Z500" s="340" t="s">
        <v>1033</v>
      </c>
      <c r="AA500" s="340"/>
      <c r="AB500" s="340" t="s">
        <v>571</v>
      </c>
      <c r="AC500" s="340" t="s">
        <v>570</v>
      </c>
      <c r="AD500" s="341" t="s">
        <v>569</v>
      </c>
      <c r="AE500" s="346">
        <v>42735</v>
      </c>
      <c r="AF500" s="341" t="s">
        <v>568</v>
      </c>
      <c r="AG500" s="340">
        <v>0</v>
      </c>
      <c r="AH500" s="340">
        <v>1605.56</v>
      </c>
      <c r="AI500" s="377"/>
      <c r="AK500" s="493">
        <f t="shared" si="78"/>
        <v>3</v>
      </c>
      <c r="AL500" s="493">
        <f t="shared" si="79"/>
        <v>2004</v>
      </c>
      <c r="AM500" s="493">
        <f t="shared" si="80"/>
        <v>2009</v>
      </c>
      <c r="AN500" s="494">
        <f t="shared" si="81"/>
        <v>2009.25</v>
      </c>
      <c r="AO500" s="505">
        <f t="shared" si="82"/>
        <v>26.759333333333331</v>
      </c>
      <c r="AP500" s="505">
        <f t="shared" si="83"/>
        <v>321.11199999999997</v>
      </c>
      <c r="AQ500" s="505">
        <f t="shared" si="84"/>
        <v>0</v>
      </c>
      <c r="AR500" s="505">
        <f t="shared" si="85"/>
        <v>1605.56</v>
      </c>
      <c r="AS500" s="505">
        <f t="shared" si="86"/>
        <v>1605.56</v>
      </c>
      <c r="AT500" s="506">
        <f t="shared" si="87"/>
        <v>0</v>
      </c>
    </row>
    <row r="501" spans="1:46">
      <c r="A501" s="341">
        <v>2112</v>
      </c>
      <c r="B501" s="345">
        <v>173682</v>
      </c>
      <c r="C501" s="341" t="s">
        <v>574</v>
      </c>
      <c r="D501" s="340" t="s">
        <v>1032</v>
      </c>
      <c r="E501" s="341">
        <v>300</v>
      </c>
      <c r="F501" s="340"/>
      <c r="G501" s="340"/>
      <c r="H501" s="340">
        <v>0</v>
      </c>
      <c r="I501" s="340" t="s">
        <v>661</v>
      </c>
      <c r="J501" s="340"/>
      <c r="K501" s="340"/>
      <c r="L501" s="344">
        <v>38048</v>
      </c>
      <c r="M501" s="344">
        <v>38048</v>
      </c>
      <c r="N501" s="340">
        <v>42148004</v>
      </c>
      <c r="O501" s="341">
        <v>500</v>
      </c>
      <c r="P501" s="341">
        <v>14050</v>
      </c>
      <c r="Q501" s="342">
        <v>1605.55</v>
      </c>
      <c r="R501" s="341">
        <v>14056</v>
      </c>
      <c r="S501" s="342">
        <v>1605.55</v>
      </c>
      <c r="T501" s="342">
        <f t="shared" si="88"/>
        <v>0</v>
      </c>
      <c r="U501" s="343">
        <v>0</v>
      </c>
      <c r="V501" s="341">
        <v>54260</v>
      </c>
      <c r="W501" s="342">
        <v>0</v>
      </c>
      <c r="X501" s="340" t="s">
        <v>574</v>
      </c>
      <c r="Y501" s="340">
        <v>0</v>
      </c>
      <c r="Z501" s="340" t="s">
        <v>1031</v>
      </c>
      <c r="AA501" s="340"/>
      <c r="AB501" s="340" t="s">
        <v>571</v>
      </c>
      <c r="AC501" s="340" t="s">
        <v>570</v>
      </c>
      <c r="AD501" s="341" t="s">
        <v>569</v>
      </c>
      <c r="AE501" s="346">
        <v>42735</v>
      </c>
      <c r="AF501" s="341" t="s">
        <v>568</v>
      </c>
      <c r="AG501" s="340">
        <v>0</v>
      </c>
      <c r="AH501" s="340">
        <v>1605.55</v>
      </c>
      <c r="AI501" s="377"/>
      <c r="AK501" s="493">
        <f t="shared" si="78"/>
        <v>3</v>
      </c>
      <c r="AL501" s="493">
        <f t="shared" si="79"/>
        <v>2004</v>
      </c>
      <c r="AM501" s="493">
        <f t="shared" si="80"/>
        <v>2009</v>
      </c>
      <c r="AN501" s="494">
        <f t="shared" si="81"/>
        <v>2009.25</v>
      </c>
      <c r="AO501" s="505">
        <f t="shared" si="82"/>
        <v>26.759166666666669</v>
      </c>
      <c r="AP501" s="505">
        <f t="shared" si="83"/>
        <v>321.11</v>
      </c>
      <c r="AQ501" s="505">
        <f t="shared" si="84"/>
        <v>0</v>
      </c>
      <c r="AR501" s="505">
        <f t="shared" si="85"/>
        <v>1605.55</v>
      </c>
      <c r="AS501" s="505">
        <f t="shared" si="86"/>
        <v>1605.55</v>
      </c>
      <c r="AT501" s="506">
        <f t="shared" si="87"/>
        <v>0</v>
      </c>
    </row>
    <row r="502" spans="1:46">
      <c r="A502" s="341">
        <v>2112</v>
      </c>
      <c r="B502" s="345">
        <v>173681</v>
      </c>
      <c r="C502" s="341" t="s">
        <v>574</v>
      </c>
      <c r="D502" s="340" t="s">
        <v>1030</v>
      </c>
      <c r="E502" s="341">
        <v>300</v>
      </c>
      <c r="F502" s="340"/>
      <c r="G502" s="340"/>
      <c r="H502" s="340">
        <v>0</v>
      </c>
      <c r="I502" s="340" t="s">
        <v>661</v>
      </c>
      <c r="J502" s="340"/>
      <c r="K502" s="340"/>
      <c r="L502" s="344">
        <v>38048</v>
      </c>
      <c r="M502" s="344">
        <v>38048</v>
      </c>
      <c r="N502" s="340">
        <v>42148004</v>
      </c>
      <c r="O502" s="341">
        <v>500</v>
      </c>
      <c r="P502" s="341">
        <v>14050</v>
      </c>
      <c r="Q502" s="342">
        <v>1605.55</v>
      </c>
      <c r="R502" s="341">
        <v>14056</v>
      </c>
      <c r="S502" s="342">
        <v>1605.55</v>
      </c>
      <c r="T502" s="342">
        <f t="shared" si="88"/>
        <v>0</v>
      </c>
      <c r="U502" s="343">
        <v>0</v>
      </c>
      <c r="V502" s="341">
        <v>54260</v>
      </c>
      <c r="W502" s="342">
        <v>0</v>
      </c>
      <c r="X502" s="340" t="s">
        <v>574</v>
      </c>
      <c r="Y502" s="340">
        <v>0</v>
      </c>
      <c r="Z502" s="340" t="s">
        <v>1029</v>
      </c>
      <c r="AA502" s="340"/>
      <c r="AB502" s="340" t="s">
        <v>571</v>
      </c>
      <c r="AC502" s="340" t="s">
        <v>570</v>
      </c>
      <c r="AD502" s="341" t="s">
        <v>569</v>
      </c>
      <c r="AE502" s="346">
        <v>42735</v>
      </c>
      <c r="AF502" s="341" t="s">
        <v>568</v>
      </c>
      <c r="AG502" s="340">
        <v>0</v>
      </c>
      <c r="AH502" s="340">
        <v>1605.55</v>
      </c>
      <c r="AI502" s="377"/>
      <c r="AK502" s="493">
        <f t="shared" si="78"/>
        <v>3</v>
      </c>
      <c r="AL502" s="493">
        <f t="shared" si="79"/>
        <v>2004</v>
      </c>
      <c r="AM502" s="493">
        <f t="shared" si="80"/>
        <v>2009</v>
      </c>
      <c r="AN502" s="494">
        <f t="shared" si="81"/>
        <v>2009.25</v>
      </c>
      <c r="AO502" s="505">
        <f t="shared" si="82"/>
        <v>26.759166666666669</v>
      </c>
      <c r="AP502" s="505">
        <f t="shared" si="83"/>
        <v>321.11</v>
      </c>
      <c r="AQ502" s="505">
        <f t="shared" si="84"/>
        <v>0</v>
      </c>
      <c r="AR502" s="505">
        <f t="shared" si="85"/>
        <v>1605.55</v>
      </c>
      <c r="AS502" s="505">
        <f t="shared" si="86"/>
        <v>1605.55</v>
      </c>
      <c r="AT502" s="506">
        <f t="shared" si="87"/>
        <v>0</v>
      </c>
    </row>
    <row r="503" spans="1:46">
      <c r="A503" s="341">
        <v>2112</v>
      </c>
      <c r="B503" s="345">
        <v>173680</v>
      </c>
      <c r="C503" s="341" t="s">
        <v>574</v>
      </c>
      <c r="D503" s="340" t="s">
        <v>1028</v>
      </c>
      <c r="E503" s="341">
        <v>20</v>
      </c>
      <c r="F503" s="340"/>
      <c r="G503" s="340"/>
      <c r="H503" s="340">
        <v>0</v>
      </c>
      <c r="I503" s="340" t="s">
        <v>672</v>
      </c>
      <c r="J503" s="340"/>
      <c r="K503" s="340" t="s">
        <v>578</v>
      </c>
      <c r="L503" s="344">
        <v>38107</v>
      </c>
      <c r="M503" s="344">
        <v>38107</v>
      </c>
      <c r="N503" s="340">
        <v>42148001</v>
      </c>
      <c r="O503" s="341">
        <v>1200</v>
      </c>
      <c r="P503" s="341">
        <v>14050</v>
      </c>
      <c r="Q503" s="342">
        <v>7616</v>
      </c>
      <c r="R503" s="341">
        <v>14056</v>
      </c>
      <c r="S503" s="342">
        <v>7616</v>
      </c>
      <c r="T503" s="342">
        <f t="shared" si="88"/>
        <v>0</v>
      </c>
      <c r="U503" s="343">
        <v>0</v>
      </c>
      <c r="V503" s="341">
        <v>54260</v>
      </c>
      <c r="W503" s="342">
        <v>0</v>
      </c>
      <c r="X503" s="340" t="s">
        <v>574</v>
      </c>
      <c r="Y503" s="340">
        <v>0</v>
      </c>
      <c r="Z503" s="340">
        <v>148198</v>
      </c>
      <c r="AA503" s="340"/>
      <c r="AB503" s="340" t="s">
        <v>571</v>
      </c>
      <c r="AC503" s="340" t="s">
        <v>570</v>
      </c>
      <c r="AD503" s="341" t="s">
        <v>569</v>
      </c>
      <c r="AE503" s="346">
        <v>42735</v>
      </c>
      <c r="AF503" s="341" t="s">
        <v>568</v>
      </c>
      <c r="AG503" s="340">
        <v>0</v>
      </c>
      <c r="AH503" s="340">
        <v>7616</v>
      </c>
      <c r="AI503" s="377"/>
      <c r="AK503" s="493">
        <f t="shared" si="78"/>
        <v>4</v>
      </c>
      <c r="AL503" s="493">
        <f t="shared" si="79"/>
        <v>2004</v>
      </c>
      <c r="AM503" s="493">
        <f t="shared" si="80"/>
        <v>2016</v>
      </c>
      <c r="AN503" s="494">
        <f t="shared" si="81"/>
        <v>2016.3333333333333</v>
      </c>
      <c r="AO503" s="505">
        <f t="shared" si="82"/>
        <v>52.888888888888886</v>
      </c>
      <c r="AP503" s="505">
        <f t="shared" si="83"/>
        <v>634.66666666666663</v>
      </c>
      <c r="AQ503" s="505">
        <f t="shared" si="84"/>
        <v>0</v>
      </c>
      <c r="AR503" s="505">
        <f t="shared" si="85"/>
        <v>7616</v>
      </c>
      <c r="AS503" s="505">
        <f t="shared" si="86"/>
        <v>7616</v>
      </c>
      <c r="AT503" s="506">
        <f t="shared" si="87"/>
        <v>0</v>
      </c>
    </row>
    <row r="504" spans="1:46">
      <c r="A504" s="341">
        <v>2112</v>
      </c>
      <c r="B504" s="345">
        <v>173679</v>
      </c>
      <c r="C504" s="341" t="s">
        <v>574</v>
      </c>
      <c r="D504" s="340" t="s">
        <v>1027</v>
      </c>
      <c r="E504" s="341">
        <v>0</v>
      </c>
      <c r="F504" s="340">
        <v>2148</v>
      </c>
      <c r="G504" s="340"/>
      <c r="H504" s="340">
        <v>2004</v>
      </c>
      <c r="I504" s="340" t="s">
        <v>1026</v>
      </c>
      <c r="J504" s="340" t="s">
        <v>668</v>
      </c>
      <c r="K504" s="340"/>
      <c r="L504" s="344">
        <v>38096</v>
      </c>
      <c r="M504" s="344">
        <v>38096</v>
      </c>
      <c r="N504" s="340">
        <v>42148007</v>
      </c>
      <c r="O504" s="341">
        <v>500</v>
      </c>
      <c r="P504" s="341">
        <v>14070</v>
      </c>
      <c r="Q504" s="342">
        <v>5315.1</v>
      </c>
      <c r="R504" s="341">
        <v>14076</v>
      </c>
      <c r="S504" s="342">
        <v>5315.1</v>
      </c>
      <c r="T504" s="342">
        <f t="shared" si="88"/>
        <v>0</v>
      </c>
      <c r="U504" s="343">
        <v>0</v>
      </c>
      <c r="V504" s="341">
        <v>51260</v>
      </c>
      <c r="W504" s="342">
        <v>0</v>
      </c>
      <c r="X504" s="340" t="s">
        <v>574</v>
      </c>
      <c r="Y504" s="340">
        <v>0</v>
      </c>
      <c r="Z504" s="340" t="s">
        <v>1025</v>
      </c>
      <c r="AA504" s="340"/>
      <c r="AB504" s="340" t="s">
        <v>571</v>
      </c>
      <c r="AC504" s="340" t="s">
        <v>570</v>
      </c>
      <c r="AD504" s="341" t="s">
        <v>569</v>
      </c>
      <c r="AE504" s="346">
        <v>42735</v>
      </c>
      <c r="AF504" s="341" t="s">
        <v>568</v>
      </c>
      <c r="AG504" s="340">
        <v>0</v>
      </c>
      <c r="AH504" s="340">
        <v>5315.1</v>
      </c>
      <c r="AI504" s="377"/>
      <c r="AK504" s="493">
        <f t="shared" si="78"/>
        <v>4</v>
      </c>
      <c r="AL504" s="493">
        <f t="shared" si="79"/>
        <v>2004</v>
      </c>
      <c r="AM504" s="493">
        <f t="shared" si="80"/>
        <v>2009</v>
      </c>
      <c r="AN504" s="494">
        <f t="shared" si="81"/>
        <v>2009.3333333333333</v>
      </c>
      <c r="AO504" s="505">
        <f t="shared" si="82"/>
        <v>88.584999999999994</v>
      </c>
      <c r="AP504" s="505">
        <f t="shared" si="83"/>
        <v>1063.02</v>
      </c>
      <c r="AQ504" s="505">
        <f t="shared" si="84"/>
        <v>0</v>
      </c>
      <c r="AR504" s="505">
        <f t="shared" si="85"/>
        <v>5315.1</v>
      </c>
      <c r="AS504" s="505">
        <f t="shared" si="86"/>
        <v>5315.1</v>
      </c>
      <c r="AT504" s="506">
        <f t="shared" si="87"/>
        <v>0</v>
      </c>
    </row>
    <row r="505" spans="1:46">
      <c r="A505" s="341">
        <v>2112</v>
      </c>
      <c r="B505" s="345">
        <v>173678</v>
      </c>
      <c r="C505" s="341" t="s">
        <v>574</v>
      </c>
      <c r="D505" s="340" t="s">
        <v>633</v>
      </c>
      <c r="E505" s="341">
        <v>50</v>
      </c>
      <c r="F505" s="340"/>
      <c r="G505" s="340"/>
      <c r="H505" s="340">
        <v>0</v>
      </c>
      <c r="I505" s="340" t="s">
        <v>618</v>
      </c>
      <c r="J505" s="340"/>
      <c r="K505" s="340"/>
      <c r="L505" s="344">
        <v>37865</v>
      </c>
      <c r="M505" s="344">
        <v>37865</v>
      </c>
      <c r="N505" s="340" t="s">
        <v>1024</v>
      </c>
      <c r="O505" s="341">
        <v>700</v>
      </c>
      <c r="P505" s="341">
        <v>14050</v>
      </c>
      <c r="Q505" s="342">
        <v>1584.96</v>
      </c>
      <c r="R505" s="341">
        <v>14056</v>
      </c>
      <c r="S505" s="342">
        <v>1584.96</v>
      </c>
      <c r="T505" s="342">
        <f t="shared" si="88"/>
        <v>0</v>
      </c>
      <c r="U505" s="343">
        <v>0</v>
      </c>
      <c r="V505" s="341">
        <v>54260</v>
      </c>
      <c r="W505" s="342">
        <v>0</v>
      </c>
      <c r="X505" s="340" t="s">
        <v>574</v>
      </c>
      <c r="Y505" s="340"/>
      <c r="Z505" s="340" t="s">
        <v>641</v>
      </c>
      <c r="AA505" s="340"/>
      <c r="AB505" s="340" t="s">
        <v>571</v>
      </c>
      <c r="AC505" s="340" t="s">
        <v>570</v>
      </c>
      <c r="AD505" s="341" t="s">
        <v>569</v>
      </c>
      <c r="AE505" s="346">
        <v>42735</v>
      </c>
      <c r="AF505" s="341" t="s">
        <v>568</v>
      </c>
      <c r="AG505" s="340">
        <v>0</v>
      </c>
      <c r="AH505" s="340">
        <v>1584.96</v>
      </c>
      <c r="AI505" s="377"/>
      <c r="AK505" s="493">
        <f t="shared" si="78"/>
        <v>9</v>
      </c>
      <c r="AL505" s="493">
        <f t="shared" si="79"/>
        <v>2003</v>
      </c>
      <c r="AM505" s="493">
        <f t="shared" si="80"/>
        <v>2010</v>
      </c>
      <c r="AN505" s="494">
        <f t="shared" si="81"/>
        <v>2010.75</v>
      </c>
      <c r="AO505" s="505">
        <f t="shared" si="82"/>
        <v>18.868571428571428</v>
      </c>
      <c r="AP505" s="505">
        <f t="shared" si="83"/>
        <v>226.42285714285714</v>
      </c>
      <c r="AQ505" s="505">
        <f t="shared" si="84"/>
        <v>0</v>
      </c>
      <c r="AR505" s="505">
        <f t="shared" si="85"/>
        <v>1584.96</v>
      </c>
      <c r="AS505" s="505">
        <f t="shared" si="86"/>
        <v>1584.96</v>
      </c>
      <c r="AT505" s="506">
        <f t="shared" si="87"/>
        <v>0</v>
      </c>
    </row>
    <row r="506" spans="1:46">
      <c r="A506" s="341">
        <v>2112</v>
      </c>
      <c r="B506" s="345">
        <v>173677</v>
      </c>
      <c r="C506" s="341" t="s">
        <v>574</v>
      </c>
      <c r="D506" s="340" t="s">
        <v>1023</v>
      </c>
      <c r="E506" s="341">
        <v>26</v>
      </c>
      <c r="F506" s="340"/>
      <c r="G506" s="340"/>
      <c r="H506" s="340">
        <v>0</v>
      </c>
      <c r="I506" s="340" t="s">
        <v>639</v>
      </c>
      <c r="J506" s="340"/>
      <c r="K506" s="340" t="s">
        <v>671</v>
      </c>
      <c r="L506" s="344">
        <v>37834</v>
      </c>
      <c r="M506" s="344">
        <v>37834</v>
      </c>
      <c r="N506" s="340" t="s">
        <v>1022</v>
      </c>
      <c r="O506" s="341">
        <v>1200</v>
      </c>
      <c r="P506" s="341">
        <v>14050</v>
      </c>
      <c r="Q506" s="342">
        <v>9200.19</v>
      </c>
      <c r="R506" s="341">
        <v>14056</v>
      </c>
      <c r="S506" s="342">
        <v>9200.19</v>
      </c>
      <c r="T506" s="342">
        <f t="shared" si="88"/>
        <v>0</v>
      </c>
      <c r="U506" s="343">
        <v>0</v>
      </c>
      <c r="V506" s="341">
        <v>54260</v>
      </c>
      <c r="W506" s="342">
        <v>0</v>
      </c>
      <c r="X506" s="340" t="s">
        <v>574</v>
      </c>
      <c r="Y506" s="340"/>
      <c r="Z506" s="340">
        <v>2658</v>
      </c>
      <c r="AA506" s="340"/>
      <c r="AB506" s="340" t="s">
        <v>571</v>
      </c>
      <c r="AC506" s="340" t="s">
        <v>570</v>
      </c>
      <c r="AD506" s="341" t="s">
        <v>569</v>
      </c>
      <c r="AE506" s="346">
        <v>42735</v>
      </c>
      <c r="AF506" s="341" t="s">
        <v>568</v>
      </c>
      <c r="AG506" s="340">
        <v>0</v>
      </c>
      <c r="AH506" s="340">
        <v>9200.19</v>
      </c>
      <c r="AI506" s="377"/>
      <c r="AK506" s="493">
        <f t="shared" si="78"/>
        <v>8</v>
      </c>
      <c r="AL506" s="493">
        <f t="shared" si="79"/>
        <v>2003</v>
      </c>
      <c r="AM506" s="493">
        <f t="shared" si="80"/>
        <v>2015</v>
      </c>
      <c r="AN506" s="494">
        <f t="shared" si="81"/>
        <v>2015.6666666666667</v>
      </c>
      <c r="AO506" s="505">
        <f t="shared" si="82"/>
        <v>63.890208333333334</v>
      </c>
      <c r="AP506" s="505">
        <f t="shared" si="83"/>
        <v>766.6825</v>
      </c>
      <c r="AQ506" s="505">
        <f t="shared" si="84"/>
        <v>0</v>
      </c>
      <c r="AR506" s="505">
        <f t="shared" si="85"/>
        <v>9200.19</v>
      </c>
      <c r="AS506" s="505">
        <f t="shared" si="86"/>
        <v>9200.19</v>
      </c>
      <c r="AT506" s="506">
        <f t="shared" si="87"/>
        <v>0</v>
      </c>
    </row>
    <row r="507" spans="1:46">
      <c r="A507" s="341">
        <v>2112</v>
      </c>
      <c r="B507" s="345">
        <v>173676</v>
      </c>
      <c r="C507" s="341" t="s">
        <v>574</v>
      </c>
      <c r="D507" s="340" t="s">
        <v>1021</v>
      </c>
      <c r="E507" s="341">
        <v>600</v>
      </c>
      <c r="F507" s="340"/>
      <c r="G507" s="340"/>
      <c r="H507" s="340">
        <v>0</v>
      </c>
      <c r="I507" s="340" t="s">
        <v>611</v>
      </c>
      <c r="J507" s="340"/>
      <c r="K507" s="340"/>
      <c r="L507" s="344">
        <v>37621</v>
      </c>
      <c r="M507" s="344">
        <v>37621</v>
      </c>
      <c r="N507" s="340" t="s">
        <v>1020</v>
      </c>
      <c r="O507" s="341">
        <v>1000</v>
      </c>
      <c r="P507" s="341">
        <v>14050</v>
      </c>
      <c r="Q507" s="342">
        <v>3916.8</v>
      </c>
      <c r="R507" s="341">
        <v>14056</v>
      </c>
      <c r="S507" s="342">
        <v>3916.8</v>
      </c>
      <c r="T507" s="342">
        <f t="shared" si="88"/>
        <v>0</v>
      </c>
      <c r="U507" s="343">
        <v>0</v>
      </c>
      <c r="V507" s="341">
        <v>54260</v>
      </c>
      <c r="W507" s="342">
        <v>0</v>
      </c>
      <c r="X507" s="340" t="s">
        <v>574</v>
      </c>
      <c r="Y507" s="340"/>
      <c r="Z507" s="340" t="s">
        <v>1019</v>
      </c>
      <c r="AA507" s="340"/>
      <c r="AB507" s="340" t="s">
        <v>571</v>
      </c>
      <c r="AC507" s="340" t="s">
        <v>570</v>
      </c>
      <c r="AD507" s="341" t="s">
        <v>569</v>
      </c>
      <c r="AE507" s="346">
        <v>42735</v>
      </c>
      <c r="AF507" s="341" t="s">
        <v>568</v>
      </c>
      <c r="AG507" s="340">
        <v>0</v>
      </c>
      <c r="AH507" s="340">
        <v>3916.8</v>
      </c>
      <c r="AI507" s="377"/>
      <c r="AK507" s="493">
        <f t="shared" si="78"/>
        <v>12</v>
      </c>
      <c r="AL507" s="493">
        <f t="shared" si="79"/>
        <v>2002</v>
      </c>
      <c r="AM507" s="493">
        <f t="shared" si="80"/>
        <v>2012</v>
      </c>
      <c r="AN507" s="494">
        <f t="shared" si="81"/>
        <v>2013</v>
      </c>
      <c r="AO507" s="505">
        <f t="shared" si="82"/>
        <v>32.64</v>
      </c>
      <c r="AP507" s="505">
        <f t="shared" si="83"/>
        <v>391.68</v>
      </c>
      <c r="AQ507" s="505">
        <f t="shared" si="84"/>
        <v>0</v>
      </c>
      <c r="AR507" s="505">
        <f t="shared" si="85"/>
        <v>3916.8</v>
      </c>
      <c r="AS507" s="505">
        <f t="shared" si="86"/>
        <v>3916.8</v>
      </c>
      <c r="AT507" s="506">
        <f t="shared" si="87"/>
        <v>0</v>
      </c>
    </row>
    <row r="508" spans="1:46">
      <c r="A508" s="341">
        <v>2112</v>
      </c>
      <c r="B508" s="345">
        <v>171683</v>
      </c>
      <c r="C508" s="341" t="s">
        <v>574</v>
      </c>
      <c r="D508" s="340" t="s">
        <v>343</v>
      </c>
      <c r="E508" s="341"/>
      <c r="F508" s="340"/>
      <c r="G508" s="340"/>
      <c r="H508" s="340">
        <v>0</v>
      </c>
      <c r="I508" s="340" t="s">
        <v>988</v>
      </c>
      <c r="J508" s="340"/>
      <c r="K508" s="340"/>
      <c r="L508" s="344">
        <v>42711</v>
      </c>
      <c r="M508" s="344">
        <v>42711</v>
      </c>
      <c r="N508" s="340" t="s">
        <v>1018</v>
      </c>
      <c r="O508" s="341">
        <v>500</v>
      </c>
      <c r="P508" s="341">
        <v>14070</v>
      </c>
      <c r="Q508" s="342">
        <v>4742.5</v>
      </c>
      <c r="R508" s="341">
        <v>14076</v>
      </c>
      <c r="S508" s="342">
        <v>4742.5</v>
      </c>
      <c r="T508" s="342">
        <f t="shared" si="88"/>
        <v>0</v>
      </c>
      <c r="U508" s="343">
        <v>0</v>
      </c>
      <c r="V508" s="341">
        <v>51260</v>
      </c>
      <c r="W508" s="342">
        <v>0</v>
      </c>
      <c r="X508" s="340" t="s">
        <v>574</v>
      </c>
      <c r="Y508" s="340"/>
      <c r="Z508" s="340">
        <v>11101650438</v>
      </c>
      <c r="AA508" s="340"/>
      <c r="AB508" s="340" t="s">
        <v>571</v>
      </c>
      <c r="AC508" s="340" t="s">
        <v>570</v>
      </c>
      <c r="AD508" s="341" t="s">
        <v>569</v>
      </c>
      <c r="AE508" s="340"/>
      <c r="AF508" s="341" t="s">
        <v>568</v>
      </c>
      <c r="AG508" s="340">
        <v>0</v>
      </c>
      <c r="AH508" s="340">
        <v>0</v>
      </c>
      <c r="AI508" s="377"/>
      <c r="AK508" s="493">
        <f t="shared" si="78"/>
        <v>12</v>
      </c>
      <c r="AL508" s="493">
        <f t="shared" si="79"/>
        <v>2016</v>
      </c>
      <c r="AM508" s="493">
        <f t="shared" si="80"/>
        <v>2021</v>
      </c>
      <c r="AN508" s="494">
        <f t="shared" si="81"/>
        <v>2022</v>
      </c>
      <c r="AO508" s="505">
        <f t="shared" si="82"/>
        <v>79.041666666666671</v>
      </c>
      <c r="AP508" s="505">
        <f t="shared" si="83"/>
        <v>948.5</v>
      </c>
      <c r="AQ508" s="505">
        <f t="shared" si="84"/>
        <v>0</v>
      </c>
      <c r="AR508" s="505">
        <f t="shared" si="85"/>
        <v>4742.5</v>
      </c>
      <c r="AS508" s="505">
        <f t="shared" si="86"/>
        <v>4742.5</v>
      </c>
      <c r="AT508" s="506">
        <f t="shared" si="87"/>
        <v>0</v>
      </c>
    </row>
    <row r="509" spans="1:46">
      <c r="A509" s="341">
        <v>2112</v>
      </c>
      <c r="B509" s="345">
        <v>171642</v>
      </c>
      <c r="C509" s="341" t="s">
        <v>574</v>
      </c>
      <c r="D509" s="340" t="s">
        <v>1017</v>
      </c>
      <c r="E509" s="341"/>
      <c r="F509" s="340">
        <v>27011829</v>
      </c>
      <c r="G509" s="340"/>
      <c r="H509" s="340">
        <v>0</v>
      </c>
      <c r="I509" s="340" t="s">
        <v>988</v>
      </c>
      <c r="J509" s="340" t="s">
        <v>1016</v>
      </c>
      <c r="K509" s="340" t="s">
        <v>1015</v>
      </c>
      <c r="L509" s="344">
        <v>42713</v>
      </c>
      <c r="M509" s="344">
        <v>42713</v>
      </c>
      <c r="N509" s="340" t="s">
        <v>1014</v>
      </c>
      <c r="O509" s="341">
        <v>1000</v>
      </c>
      <c r="P509" s="341">
        <v>14030</v>
      </c>
      <c r="Q509" s="526">
        <v>13518.4</v>
      </c>
      <c r="R509" s="341">
        <v>14036</v>
      </c>
      <c r="S509" s="526">
        <v>9012.26</v>
      </c>
      <c r="T509" s="526">
        <f t="shared" si="88"/>
        <v>4506.1399999999994</v>
      </c>
      <c r="U509" s="527">
        <v>788.57</v>
      </c>
      <c r="V509" s="341">
        <v>51260</v>
      </c>
      <c r="W509" s="526">
        <v>112.65</v>
      </c>
      <c r="X509" s="340" t="s">
        <v>574</v>
      </c>
      <c r="Y509" s="340"/>
      <c r="Z509" s="340" t="s">
        <v>1013</v>
      </c>
      <c r="AA509" s="340"/>
      <c r="AB509" s="340" t="s">
        <v>571</v>
      </c>
      <c r="AC509" s="340" t="s">
        <v>570</v>
      </c>
      <c r="AD509" s="341" t="s">
        <v>569</v>
      </c>
      <c r="AE509" s="340"/>
      <c r="AF509" s="341" t="s">
        <v>568</v>
      </c>
      <c r="AG509" s="340">
        <v>0</v>
      </c>
      <c r="AH509" s="340">
        <v>0</v>
      </c>
      <c r="AI509" s="377"/>
      <c r="AJ509" s="530"/>
      <c r="AK509" s="493">
        <f t="shared" si="78"/>
        <v>12</v>
      </c>
      <c r="AL509" s="493">
        <f t="shared" si="79"/>
        <v>2016</v>
      </c>
      <c r="AM509" s="493">
        <f t="shared" si="80"/>
        <v>2026</v>
      </c>
      <c r="AN509" s="494">
        <f t="shared" si="81"/>
        <v>2027</v>
      </c>
      <c r="AO509" s="505">
        <f t="shared" si="82"/>
        <v>112.65333333333332</v>
      </c>
      <c r="AP509" s="505">
        <f t="shared" si="83"/>
        <v>1351.84</v>
      </c>
      <c r="AQ509" s="505">
        <f t="shared" si="84"/>
        <v>1351.84</v>
      </c>
      <c r="AR509" s="505">
        <f t="shared" si="85"/>
        <v>7660.4266666667691</v>
      </c>
      <c r="AS509" s="505">
        <f t="shared" si="86"/>
        <v>9012.2666666667683</v>
      </c>
      <c r="AT509" s="506">
        <f t="shared" si="87"/>
        <v>4506.1333333332313</v>
      </c>
    </row>
    <row r="510" spans="1:46">
      <c r="A510" s="341">
        <v>2112</v>
      </c>
      <c r="B510" s="345">
        <v>170273</v>
      </c>
      <c r="C510" s="341" t="s">
        <v>574</v>
      </c>
      <c r="D510" s="340" t="s">
        <v>335</v>
      </c>
      <c r="E510" s="341">
        <v>10</v>
      </c>
      <c r="F510" s="340"/>
      <c r="G510" s="340"/>
      <c r="H510" s="340">
        <v>0</v>
      </c>
      <c r="I510" s="340" t="s">
        <v>1007</v>
      </c>
      <c r="J510" s="340"/>
      <c r="K510" s="340" t="s">
        <v>673</v>
      </c>
      <c r="L510" s="344">
        <v>42643</v>
      </c>
      <c r="M510" s="344">
        <v>42643</v>
      </c>
      <c r="N510" s="340" t="s">
        <v>1012</v>
      </c>
      <c r="O510" s="341">
        <v>1200</v>
      </c>
      <c r="P510" s="341">
        <v>14050</v>
      </c>
      <c r="Q510" s="342">
        <v>8329</v>
      </c>
      <c r="R510" s="341">
        <v>14056</v>
      </c>
      <c r="S510" s="342">
        <v>4742.88</v>
      </c>
      <c r="T510" s="342">
        <f t="shared" si="88"/>
        <v>3586.12</v>
      </c>
      <c r="U510" s="343">
        <v>404.88</v>
      </c>
      <c r="V510" s="341">
        <v>54260</v>
      </c>
      <c r="W510" s="342">
        <v>57.84</v>
      </c>
      <c r="X510" s="340" t="s">
        <v>574</v>
      </c>
      <c r="Y510" s="340"/>
      <c r="Z510" s="340" t="s">
        <v>1005</v>
      </c>
      <c r="AA510" s="340"/>
      <c r="AB510" s="340" t="s">
        <v>571</v>
      </c>
      <c r="AC510" s="340" t="s">
        <v>570</v>
      </c>
      <c r="AD510" s="341" t="s">
        <v>569</v>
      </c>
      <c r="AE510" s="340"/>
      <c r="AF510" s="341" t="s">
        <v>568</v>
      </c>
      <c r="AG510" s="340">
        <v>0</v>
      </c>
      <c r="AH510" s="340">
        <v>0</v>
      </c>
      <c r="AI510" s="377"/>
      <c r="AK510" s="493">
        <f t="shared" si="78"/>
        <v>9</v>
      </c>
      <c r="AL510" s="493">
        <f t="shared" si="79"/>
        <v>2016</v>
      </c>
      <c r="AM510" s="493">
        <f t="shared" si="80"/>
        <v>2028</v>
      </c>
      <c r="AN510" s="494">
        <f t="shared" si="81"/>
        <v>2028.75</v>
      </c>
      <c r="AO510" s="505">
        <f t="shared" si="82"/>
        <v>57.840277777777779</v>
      </c>
      <c r="AP510" s="505">
        <f t="shared" si="83"/>
        <v>694.08333333333337</v>
      </c>
      <c r="AQ510" s="505">
        <f t="shared" si="84"/>
        <v>694.08333333333337</v>
      </c>
      <c r="AR510" s="505">
        <f t="shared" si="85"/>
        <v>4106.6597222222745</v>
      </c>
      <c r="AS510" s="505">
        <f t="shared" si="86"/>
        <v>4800.7430555556075</v>
      </c>
      <c r="AT510" s="506">
        <f t="shared" si="87"/>
        <v>3528.2569444443925</v>
      </c>
    </row>
    <row r="511" spans="1:46">
      <c r="A511" s="341">
        <v>2112</v>
      </c>
      <c r="B511" s="345">
        <v>170272</v>
      </c>
      <c r="C511" s="341" t="s">
        <v>574</v>
      </c>
      <c r="D511" s="340" t="s">
        <v>336</v>
      </c>
      <c r="E511" s="341">
        <v>10</v>
      </c>
      <c r="F511" s="340"/>
      <c r="G511" s="340"/>
      <c r="H511" s="340">
        <v>0</v>
      </c>
      <c r="I511" s="340" t="s">
        <v>1007</v>
      </c>
      <c r="J511" s="340"/>
      <c r="K511" s="340" t="s">
        <v>578</v>
      </c>
      <c r="L511" s="344">
        <v>42643</v>
      </c>
      <c r="M511" s="344">
        <v>42643</v>
      </c>
      <c r="N511" s="340" t="s">
        <v>1011</v>
      </c>
      <c r="O511" s="341">
        <v>1200</v>
      </c>
      <c r="P511" s="341">
        <v>14050</v>
      </c>
      <c r="Q511" s="342">
        <v>4675.7299999999996</v>
      </c>
      <c r="R511" s="341">
        <v>14056</v>
      </c>
      <c r="S511" s="342">
        <v>2662.61</v>
      </c>
      <c r="T511" s="342">
        <f t="shared" si="88"/>
        <v>2013.1199999999994</v>
      </c>
      <c r="U511" s="343">
        <v>227.3</v>
      </c>
      <c r="V511" s="341">
        <v>54260</v>
      </c>
      <c r="W511" s="342">
        <v>32.47</v>
      </c>
      <c r="X511" s="340" t="s">
        <v>574</v>
      </c>
      <c r="Y511" s="340"/>
      <c r="Z511" s="340" t="s">
        <v>1005</v>
      </c>
      <c r="AA511" s="340"/>
      <c r="AB511" s="340" t="s">
        <v>571</v>
      </c>
      <c r="AC511" s="340" t="s">
        <v>570</v>
      </c>
      <c r="AD511" s="341" t="s">
        <v>569</v>
      </c>
      <c r="AE511" s="340"/>
      <c r="AF511" s="341" t="s">
        <v>568</v>
      </c>
      <c r="AG511" s="340">
        <v>0</v>
      </c>
      <c r="AH511" s="340">
        <v>0</v>
      </c>
      <c r="AI511" s="377"/>
      <c r="AK511" s="493">
        <f t="shared" si="78"/>
        <v>9</v>
      </c>
      <c r="AL511" s="493">
        <f t="shared" si="79"/>
        <v>2016</v>
      </c>
      <c r="AM511" s="493">
        <f t="shared" si="80"/>
        <v>2028</v>
      </c>
      <c r="AN511" s="494">
        <f t="shared" si="81"/>
        <v>2028.75</v>
      </c>
      <c r="AO511" s="505">
        <f t="shared" si="82"/>
        <v>32.470347222222223</v>
      </c>
      <c r="AP511" s="505">
        <f t="shared" si="83"/>
        <v>389.64416666666671</v>
      </c>
      <c r="AQ511" s="505">
        <f t="shared" si="84"/>
        <v>389.64416666666671</v>
      </c>
      <c r="AR511" s="505">
        <f t="shared" si="85"/>
        <v>2305.3946527778066</v>
      </c>
      <c r="AS511" s="505">
        <f t="shared" si="86"/>
        <v>2695.0388194444731</v>
      </c>
      <c r="AT511" s="506">
        <f t="shared" si="87"/>
        <v>1980.6911805555264</v>
      </c>
    </row>
    <row r="512" spans="1:46">
      <c r="A512" s="341">
        <v>2112</v>
      </c>
      <c r="B512" s="345">
        <v>170271</v>
      </c>
      <c r="C512" s="341" t="s">
        <v>574</v>
      </c>
      <c r="D512" s="340" t="s">
        <v>337</v>
      </c>
      <c r="E512" s="341">
        <v>10</v>
      </c>
      <c r="F512" s="340"/>
      <c r="G512" s="340"/>
      <c r="H512" s="340">
        <v>0</v>
      </c>
      <c r="I512" s="340" t="s">
        <v>1007</v>
      </c>
      <c r="J512" s="340"/>
      <c r="K512" s="340" t="s">
        <v>578</v>
      </c>
      <c r="L512" s="344">
        <v>42643</v>
      </c>
      <c r="M512" s="344">
        <v>42643</v>
      </c>
      <c r="N512" s="340" t="s">
        <v>1010</v>
      </c>
      <c r="O512" s="341">
        <v>1200</v>
      </c>
      <c r="P512" s="341">
        <v>14050</v>
      </c>
      <c r="Q512" s="342">
        <v>4711</v>
      </c>
      <c r="R512" s="341">
        <v>14056</v>
      </c>
      <c r="S512" s="342">
        <v>2682.64</v>
      </c>
      <c r="T512" s="342">
        <f t="shared" si="88"/>
        <v>2028.3600000000001</v>
      </c>
      <c r="U512" s="343">
        <v>229.01</v>
      </c>
      <c r="V512" s="341">
        <v>54260</v>
      </c>
      <c r="W512" s="342">
        <v>32.72</v>
      </c>
      <c r="X512" s="340" t="s">
        <v>574</v>
      </c>
      <c r="Y512" s="340"/>
      <c r="Z512" s="340" t="s">
        <v>1005</v>
      </c>
      <c r="AA512" s="340"/>
      <c r="AB512" s="340" t="s">
        <v>571</v>
      </c>
      <c r="AC512" s="340" t="s">
        <v>570</v>
      </c>
      <c r="AD512" s="341" t="s">
        <v>569</v>
      </c>
      <c r="AE512" s="340"/>
      <c r="AF512" s="341" t="s">
        <v>568</v>
      </c>
      <c r="AG512" s="340">
        <v>0</v>
      </c>
      <c r="AH512" s="340">
        <v>0</v>
      </c>
      <c r="AI512" s="377"/>
      <c r="AK512" s="493">
        <f t="shared" si="78"/>
        <v>9</v>
      </c>
      <c r="AL512" s="493">
        <f t="shared" si="79"/>
        <v>2016</v>
      </c>
      <c r="AM512" s="493">
        <f t="shared" si="80"/>
        <v>2028</v>
      </c>
      <c r="AN512" s="494">
        <f t="shared" si="81"/>
        <v>2028.75</v>
      </c>
      <c r="AO512" s="505">
        <f t="shared" si="82"/>
        <v>32.715277777777779</v>
      </c>
      <c r="AP512" s="505">
        <f t="shared" si="83"/>
        <v>392.58333333333337</v>
      </c>
      <c r="AQ512" s="505">
        <f t="shared" si="84"/>
        <v>392.58333333333337</v>
      </c>
      <c r="AR512" s="505">
        <f t="shared" si="85"/>
        <v>2322.7847222222517</v>
      </c>
      <c r="AS512" s="505">
        <f t="shared" si="86"/>
        <v>2715.3680555555852</v>
      </c>
      <c r="AT512" s="506">
        <f t="shared" si="87"/>
        <v>1995.6319444444148</v>
      </c>
    </row>
    <row r="513" spans="1:46">
      <c r="A513" s="341">
        <v>2112</v>
      </c>
      <c r="B513" s="345">
        <v>170270</v>
      </c>
      <c r="C513" s="341" t="s">
        <v>574</v>
      </c>
      <c r="D513" s="340" t="s">
        <v>338</v>
      </c>
      <c r="E513" s="341">
        <v>20</v>
      </c>
      <c r="F513" s="340"/>
      <c r="G513" s="340"/>
      <c r="H513" s="340">
        <v>0</v>
      </c>
      <c r="I513" s="340" t="s">
        <v>1007</v>
      </c>
      <c r="J513" s="340"/>
      <c r="K513" s="340" t="s">
        <v>671</v>
      </c>
      <c r="L513" s="344">
        <v>42643</v>
      </c>
      <c r="M513" s="344">
        <v>42643</v>
      </c>
      <c r="N513" s="340" t="s">
        <v>1009</v>
      </c>
      <c r="O513" s="341">
        <v>1200</v>
      </c>
      <c r="P513" s="341">
        <v>14050</v>
      </c>
      <c r="Q513" s="342">
        <v>10972</v>
      </c>
      <c r="R513" s="341">
        <v>14056</v>
      </c>
      <c r="S513" s="342">
        <v>6247.92</v>
      </c>
      <c r="T513" s="342">
        <f t="shared" si="88"/>
        <v>4724.08</v>
      </c>
      <c r="U513" s="343">
        <v>533.36</v>
      </c>
      <c r="V513" s="341">
        <v>54260</v>
      </c>
      <c r="W513" s="342">
        <v>76.19</v>
      </c>
      <c r="X513" s="340" t="s">
        <v>574</v>
      </c>
      <c r="Y513" s="340"/>
      <c r="Z513" s="340" t="s">
        <v>1005</v>
      </c>
      <c r="AA513" s="340"/>
      <c r="AB513" s="340" t="s">
        <v>571</v>
      </c>
      <c r="AC513" s="340" t="s">
        <v>570</v>
      </c>
      <c r="AD513" s="341" t="s">
        <v>569</v>
      </c>
      <c r="AE513" s="340"/>
      <c r="AF513" s="341" t="s">
        <v>568</v>
      </c>
      <c r="AG513" s="340">
        <v>0</v>
      </c>
      <c r="AH513" s="340">
        <v>0</v>
      </c>
      <c r="AI513" s="377"/>
      <c r="AK513" s="493">
        <f t="shared" si="78"/>
        <v>9</v>
      </c>
      <c r="AL513" s="493">
        <f t="shared" si="79"/>
        <v>2016</v>
      </c>
      <c r="AM513" s="493">
        <f t="shared" si="80"/>
        <v>2028</v>
      </c>
      <c r="AN513" s="494">
        <f t="shared" si="81"/>
        <v>2028.75</v>
      </c>
      <c r="AO513" s="505">
        <f t="shared" si="82"/>
        <v>76.194444444444443</v>
      </c>
      <c r="AP513" s="505">
        <f t="shared" si="83"/>
        <v>914.33333333333326</v>
      </c>
      <c r="AQ513" s="505">
        <f t="shared" si="84"/>
        <v>914.33333333333326</v>
      </c>
      <c r="AR513" s="505">
        <f t="shared" si="85"/>
        <v>5409.8055555556248</v>
      </c>
      <c r="AS513" s="505">
        <f t="shared" si="86"/>
        <v>6324.1388888889578</v>
      </c>
      <c r="AT513" s="506">
        <f t="shared" si="87"/>
        <v>4647.8611111110422</v>
      </c>
    </row>
    <row r="514" spans="1:46">
      <c r="A514" s="341">
        <v>2112</v>
      </c>
      <c r="B514" s="345">
        <v>170269</v>
      </c>
      <c r="C514" s="341" t="s">
        <v>574</v>
      </c>
      <c r="D514" s="340" t="s">
        <v>339</v>
      </c>
      <c r="E514" s="341">
        <v>10</v>
      </c>
      <c r="F514" s="340"/>
      <c r="G514" s="340"/>
      <c r="H514" s="340">
        <v>0</v>
      </c>
      <c r="I514" s="340" t="s">
        <v>1007</v>
      </c>
      <c r="J514" s="340"/>
      <c r="K514" s="340" t="s">
        <v>671</v>
      </c>
      <c r="L514" s="344">
        <v>42643</v>
      </c>
      <c r="M514" s="344">
        <v>42643</v>
      </c>
      <c r="N514" s="340" t="s">
        <v>1008</v>
      </c>
      <c r="O514" s="341">
        <v>1200</v>
      </c>
      <c r="P514" s="341">
        <v>14050</v>
      </c>
      <c r="Q514" s="342">
        <v>5991</v>
      </c>
      <c r="R514" s="341">
        <v>14056</v>
      </c>
      <c r="S514" s="342">
        <v>3411.48</v>
      </c>
      <c r="T514" s="342">
        <f t="shared" si="88"/>
        <v>2579.52</v>
      </c>
      <c r="U514" s="343">
        <v>291.23</v>
      </c>
      <c r="V514" s="341">
        <v>54260</v>
      </c>
      <c r="W514" s="342">
        <v>41.6</v>
      </c>
      <c r="X514" s="340" t="s">
        <v>574</v>
      </c>
      <c r="Y514" s="340"/>
      <c r="Z514" s="340" t="s">
        <v>1005</v>
      </c>
      <c r="AA514" s="340"/>
      <c r="AB514" s="340" t="s">
        <v>571</v>
      </c>
      <c r="AC514" s="340" t="s">
        <v>570</v>
      </c>
      <c r="AD514" s="341" t="s">
        <v>569</v>
      </c>
      <c r="AE514" s="340"/>
      <c r="AF514" s="341" t="s">
        <v>568</v>
      </c>
      <c r="AG514" s="340">
        <v>0</v>
      </c>
      <c r="AH514" s="340">
        <v>0</v>
      </c>
      <c r="AI514" s="377"/>
      <c r="AK514" s="493">
        <f t="shared" si="78"/>
        <v>9</v>
      </c>
      <c r="AL514" s="493">
        <f t="shared" si="79"/>
        <v>2016</v>
      </c>
      <c r="AM514" s="493">
        <f t="shared" si="80"/>
        <v>2028</v>
      </c>
      <c r="AN514" s="494">
        <f t="shared" si="81"/>
        <v>2028.75</v>
      </c>
      <c r="AO514" s="505">
        <f t="shared" si="82"/>
        <v>41.604166666666664</v>
      </c>
      <c r="AP514" s="505">
        <f t="shared" si="83"/>
        <v>499.25</v>
      </c>
      <c r="AQ514" s="505">
        <f t="shared" si="84"/>
        <v>499.25</v>
      </c>
      <c r="AR514" s="505">
        <f t="shared" si="85"/>
        <v>2953.8958333333712</v>
      </c>
      <c r="AS514" s="505">
        <f t="shared" si="86"/>
        <v>3453.1458333333712</v>
      </c>
      <c r="AT514" s="506">
        <f t="shared" si="87"/>
        <v>2537.8541666666288</v>
      </c>
    </row>
    <row r="515" spans="1:46">
      <c r="A515" s="341">
        <v>2112</v>
      </c>
      <c r="B515" s="345">
        <v>170268</v>
      </c>
      <c r="C515" s="341" t="s">
        <v>574</v>
      </c>
      <c r="D515" s="340" t="s">
        <v>340</v>
      </c>
      <c r="E515" s="341">
        <v>10</v>
      </c>
      <c r="F515" s="340"/>
      <c r="G515" s="340"/>
      <c r="H515" s="340">
        <v>0</v>
      </c>
      <c r="I515" s="340" t="s">
        <v>1007</v>
      </c>
      <c r="J515" s="340"/>
      <c r="K515" s="340" t="s">
        <v>782</v>
      </c>
      <c r="L515" s="344">
        <v>42643</v>
      </c>
      <c r="M515" s="344">
        <v>42643</v>
      </c>
      <c r="N515" s="340" t="s">
        <v>1006</v>
      </c>
      <c r="O515" s="341">
        <v>1200</v>
      </c>
      <c r="P515" s="341">
        <v>14050</v>
      </c>
      <c r="Q515" s="342">
        <v>7413</v>
      </c>
      <c r="R515" s="341">
        <v>14056</v>
      </c>
      <c r="S515" s="342">
        <v>4221.29</v>
      </c>
      <c r="T515" s="342">
        <f t="shared" si="88"/>
        <v>3191.71</v>
      </c>
      <c r="U515" s="343">
        <v>360.35</v>
      </c>
      <c r="V515" s="341">
        <v>54260</v>
      </c>
      <c r="W515" s="342">
        <v>51.47</v>
      </c>
      <c r="X515" s="340" t="s">
        <v>574</v>
      </c>
      <c r="Y515" s="340"/>
      <c r="Z515" s="340" t="s">
        <v>1005</v>
      </c>
      <c r="AA515" s="340"/>
      <c r="AB515" s="340" t="s">
        <v>571</v>
      </c>
      <c r="AC515" s="340" t="s">
        <v>570</v>
      </c>
      <c r="AD515" s="341" t="s">
        <v>569</v>
      </c>
      <c r="AE515" s="340"/>
      <c r="AF515" s="341" t="s">
        <v>568</v>
      </c>
      <c r="AG515" s="340">
        <v>0</v>
      </c>
      <c r="AH515" s="340">
        <v>0</v>
      </c>
      <c r="AI515" s="377"/>
      <c r="AK515" s="493">
        <f t="shared" si="78"/>
        <v>9</v>
      </c>
      <c r="AL515" s="493">
        <f t="shared" si="79"/>
        <v>2016</v>
      </c>
      <c r="AM515" s="493">
        <f t="shared" si="80"/>
        <v>2028</v>
      </c>
      <c r="AN515" s="494">
        <f t="shared" si="81"/>
        <v>2028.75</v>
      </c>
      <c r="AO515" s="505">
        <f t="shared" si="82"/>
        <v>51.479166666666664</v>
      </c>
      <c r="AP515" s="505">
        <f t="shared" si="83"/>
        <v>617.75</v>
      </c>
      <c r="AQ515" s="505">
        <f t="shared" si="84"/>
        <v>617.75</v>
      </c>
      <c r="AR515" s="505">
        <f t="shared" si="85"/>
        <v>3655.0208333333803</v>
      </c>
      <c r="AS515" s="505">
        <f t="shared" si="86"/>
        <v>4272.7708333333803</v>
      </c>
      <c r="AT515" s="506">
        <f t="shared" si="87"/>
        <v>3140.2291666666197</v>
      </c>
    </row>
    <row r="516" spans="1:46">
      <c r="A516" s="341">
        <v>2112</v>
      </c>
      <c r="B516" s="345">
        <v>167239</v>
      </c>
      <c r="C516" s="341" t="s">
        <v>574</v>
      </c>
      <c r="D516" s="340" t="s">
        <v>1004</v>
      </c>
      <c r="E516" s="341">
        <v>2</v>
      </c>
      <c r="F516" s="340"/>
      <c r="G516" s="340"/>
      <c r="H516" s="340">
        <v>0</v>
      </c>
      <c r="I516" s="340" t="s">
        <v>714</v>
      </c>
      <c r="J516" s="340"/>
      <c r="K516" s="340" t="s">
        <v>575</v>
      </c>
      <c r="L516" s="344">
        <v>42528</v>
      </c>
      <c r="M516" s="344">
        <v>42528</v>
      </c>
      <c r="N516" s="340" t="s">
        <v>972</v>
      </c>
      <c r="O516" s="341">
        <v>1200</v>
      </c>
      <c r="P516" s="341">
        <v>14050</v>
      </c>
      <c r="Q516" s="342">
        <v>11626</v>
      </c>
      <c r="R516" s="341">
        <v>14056</v>
      </c>
      <c r="S516" s="342">
        <v>6943.28</v>
      </c>
      <c r="T516" s="342">
        <f t="shared" si="88"/>
        <v>4682.72</v>
      </c>
      <c r="U516" s="343">
        <v>565.15</v>
      </c>
      <c r="V516" s="341">
        <v>54260</v>
      </c>
      <c r="W516" s="342">
        <v>80.73</v>
      </c>
      <c r="X516" s="340" t="s">
        <v>574</v>
      </c>
      <c r="Y516" s="340"/>
      <c r="Z516" s="340">
        <v>7129</v>
      </c>
      <c r="AA516" s="340"/>
      <c r="AB516" s="340" t="s">
        <v>571</v>
      </c>
      <c r="AC516" s="340" t="s">
        <v>570</v>
      </c>
      <c r="AD516" s="341" t="s">
        <v>569</v>
      </c>
      <c r="AE516" s="340"/>
      <c r="AF516" s="341" t="s">
        <v>568</v>
      </c>
      <c r="AG516" s="340">
        <v>0</v>
      </c>
      <c r="AH516" s="340">
        <v>0</v>
      </c>
      <c r="AI516" s="377"/>
      <c r="AK516" s="493">
        <f t="shared" si="78"/>
        <v>6</v>
      </c>
      <c r="AL516" s="493">
        <f t="shared" si="79"/>
        <v>2016</v>
      </c>
      <c r="AM516" s="493">
        <f t="shared" si="80"/>
        <v>2028</v>
      </c>
      <c r="AN516" s="494">
        <f t="shared" si="81"/>
        <v>2028.5</v>
      </c>
      <c r="AO516" s="505">
        <f t="shared" si="82"/>
        <v>80.736111111111114</v>
      </c>
      <c r="AP516" s="505">
        <f t="shared" si="83"/>
        <v>968.83333333333337</v>
      </c>
      <c r="AQ516" s="505">
        <f t="shared" si="84"/>
        <v>968.83333333333337</v>
      </c>
      <c r="AR516" s="505">
        <f t="shared" si="85"/>
        <v>5974.4722222222954</v>
      </c>
      <c r="AS516" s="505">
        <f t="shared" si="86"/>
        <v>6943.3055555556284</v>
      </c>
      <c r="AT516" s="506">
        <f t="shared" si="87"/>
        <v>4682.6944444443716</v>
      </c>
    </row>
    <row r="517" spans="1:46">
      <c r="A517" s="341">
        <v>2112</v>
      </c>
      <c r="B517" s="345">
        <v>167238</v>
      </c>
      <c r="C517" s="341" t="s">
        <v>574</v>
      </c>
      <c r="D517" s="340" t="s">
        <v>1003</v>
      </c>
      <c r="E517" s="341">
        <v>1</v>
      </c>
      <c r="F517" s="340"/>
      <c r="G517" s="340"/>
      <c r="H517" s="340">
        <v>0</v>
      </c>
      <c r="I517" s="340" t="s">
        <v>714</v>
      </c>
      <c r="J517" s="340"/>
      <c r="K517" s="340" t="s">
        <v>722</v>
      </c>
      <c r="L517" s="344">
        <v>42528</v>
      </c>
      <c r="M517" s="344">
        <v>42528</v>
      </c>
      <c r="N517" s="340" t="s">
        <v>972</v>
      </c>
      <c r="O517" s="341">
        <v>1200</v>
      </c>
      <c r="P517" s="341">
        <v>14050</v>
      </c>
      <c r="Q517" s="342">
        <v>5981</v>
      </c>
      <c r="R517" s="341">
        <v>14056</v>
      </c>
      <c r="S517" s="342">
        <v>3571.94</v>
      </c>
      <c r="T517" s="342">
        <f t="shared" si="88"/>
        <v>2409.06</v>
      </c>
      <c r="U517" s="343">
        <v>290.75</v>
      </c>
      <c r="V517" s="341">
        <v>54260</v>
      </c>
      <c r="W517" s="342">
        <v>41.54</v>
      </c>
      <c r="X517" s="340" t="s">
        <v>574</v>
      </c>
      <c r="Y517" s="340"/>
      <c r="Z517" s="340">
        <v>7129</v>
      </c>
      <c r="AA517" s="340"/>
      <c r="AB517" s="340" t="s">
        <v>571</v>
      </c>
      <c r="AC517" s="340" t="s">
        <v>570</v>
      </c>
      <c r="AD517" s="341" t="s">
        <v>569</v>
      </c>
      <c r="AE517" s="340"/>
      <c r="AF517" s="341" t="s">
        <v>568</v>
      </c>
      <c r="AG517" s="340">
        <v>0</v>
      </c>
      <c r="AH517" s="340">
        <v>0</v>
      </c>
      <c r="AI517" s="377"/>
      <c r="AK517" s="493">
        <f t="shared" si="78"/>
        <v>6</v>
      </c>
      <c r="AL517" s="493">
        <f t="shared" si="79"/>
        <v>2016</v>
      </c>
      <c r="AM517" s="493">
        <f t="shared" si="80"/>
        <v>2028</v>
      </c>
      <c r="AN517" s="494">
        <f t="shared" si="81"/>
        <v>2028.5</v>
      </c>
      <c r="AO517" s="505">
        <f t="shared" si="82"/>
        <v>41.534722222222221</v>
      </c>
      <c r="AP517" s="505">
        <f t="shared" si="83"/>
        <v>498.41666666666663</v>
      </c>
      <c r="AQ517" s="505">
        <f t="shared" si="84"/>
        <v>498.41666666666663</v>
      </c>
      <c r="AR517" s="505">
        <f t="shared" si="85"/>
        <v>3073.5694444444821</v>
      </c>
      <c r="AS517" s="505">
        <f t="shared" si="86"/>
        <v>3571.9861111111486</v>
      </c>
      <c r="AT517" s="506">
        <f t="shared" si="87"/>
        <v>2409.0138888888514</v>
      </c>
    </row>
    <row r="518" spans="1:46">
      <c r="A518" s="341">
        <v>2112</v>
      </c>
      <c r="B518" s="345">
        <v>167138</v>
      </c>
      <c r="C518" s="341" t="s">
        <v>574</v>
      </c>
      <c r="D518" s="340" t="s">
        <v>633</v>
      </c>
      <c r="E518" s="341">
        <v>580</v>
      </c>
      <c r="F518" s="340"/>
      <c r="G518" s="340"/>
      <c r="H518" s="340">
        <v>0</v>
      </c>
      <c r="I518" s="340" t="s">
        <v>927</v>
      </c>
      <c r="J518" s="340"/>
      <c r="K518" s="340"/>
      <c r="L518" s="344">
        <v>42605</v>
      </c>
      <c r="M518" s="344">
        <v>42605</v>
      </c>
      <c r="N518" s="340" t="s">
        <v>1002</v>
      </c>
      <c r="O518" s="341">
        <v>700</v>
      </c>
      <c r="P518" s="341">
        <v>14050</v>
      </c>
      <c r="Q518" s="342">
        <v>19826.36</v>
      </c>
      <c r="R518" s="341">
        <v>14056</v>
      </c>
      <c r="S518" s="342">
        <v>19590.349999999999</v>
      </c>
      <c r="T518" s="342">
        <f t="shared" si="88"/>
        <v>236.01000000000204</v>
      </c>
      <c r="U518" s="343">
        <v>1652.2</v>
      </c>
      <c r="V518" s="341">
        <v>54260</v>
      </c>
      <c r="W518" s="342">
        <v>236.03</v>
      </c>
      <c r="X518" s="340" t="s">
        <v>574</v>
      </c>
      <c r="Y518" s="340"/>
      <c r="Z518" s="340">
        <v>20333</v>
      </c>
      <c r="AA518" s="340"/>
      <c r="AB518" s="340" t="s">
        <v>571</v>
      </c>
      <c r="AC518" s="340" t="s">
        <v>570</v>
      </c>
      <c r="AD518" s="341" t="s">
        <v>569</v>
      </c>
      <c r="AE518" s="340"/>
      <c r="AF518" s="341" t="s">
        <v>568</v>
      </c>
      <c r="AG518" s="340">
        <v>0</v>
      </c>
      <c r="AH518" s="340">
        <v>0</v>
      </c>
      <c r="AI518" s="377"/>
      <c r="AK518" s="493">
        <f t="shared" si="78"/>
        <v>8</v>
      </c>
      <c r="AL518" s="493">
        <f t="shared" si="79"/>
        <v>2016</v>
      </c>
      <c r="AM518" s="493">
        <f t="shared" si="80"/>
        <v>2023</v>
      </c>
      <c r="AN518" s="494">
        <f t="shared" si="81"/>
        <v>2023.6666666666667</v>
      </c>
      <c r="AO518" s="505">
        <f t="shared" si="82"/>
        <v>236.02809523809526</v>
      </c>
      <c r="AP518" s="505">
        <f t="shared" si="83"/>
        <v>2832.3371428571431</v>
      </c>
      <c r="AQ518" s="505">
        <f t="shared" si="84"/>
        <v>2832.3371428571431</v>
      </c>
      <c r="AR518" s="505">
        <f t="shared" si="85"/>
        <v>16994.022857142856</v>
      </c>
      <c r="AS518" s="505">
        <f t="shared" si="86"/>
        <v>19826.36</v>
      </c>
      <c r="AT518" s="506">
        <f t="shared" si="87"/>
        <v>0</v>
      </c>
    </row>
    <row r="519" spans="1:46">
      <c r="A519" s="341">
        <v>2112</v>
      </c>
      <c r="B519" s="345">
        <v>166338</v>
      </c>
      <c r="C519" s="341" t="s">
        <v>574</v>
      </c>
      <c r="D519" s="340" t="s">
        <v>1001</v>
      </c>
      <c r="E519" s="341"/>
      <c r="F519" s="340" t="s">
        <v>1000</v>
      </c>
      <c r="G519" s="340" t="s">
        <v>999</v>
      </c>
      <c r="H519" s="340">
        <v>2017</v>
      </c>
      <c r="I519" s="340" t="s">
        <v>998</v>
      </c>
      <c r="J519" s="340" t="s">
        <v>997</v>
      </c>
      <c r="K519" s="340" t="s">
        <v>699</v>
      </c>
      <c r="L519" s="344">
        <v>42612</v>
      </c>
      <c r="M519" s="344">
        <v>42612</v>
      </c>
      <c r="N519" s="340" t="s">
        <v>996</v>
      </c>
      <c r="O519" s="341">
        <v>1000</v>
      </c>
      <c r="P519" s="341">
        <v>14040</v>
      </c>
      <c r="Q519" s="342">
        <v>214036.16</v>
      </c>
      <c r="R519" s="341">
        <v>14046</v>
      </c>
      <c r="S519" s="342">
        <v>148041.71</v>
      </c>
      <c r="T519" s="342">
        <f t="shared" si="88"/>
        <v>65994.450000000012</v>
      </c>
      <c r="U519" s="343">
        <v>12485.45</v>
      </c>
      <c r="V519" s="341">
        <v>51260</v>
      </c>
      <c r="W519" s="342">
        <v>1783.64</v>
      </c>
      <c r="X519" s="340" t="s">
        <v>574</v>
      </c>
      <c r="Y519" s="340"/>
      <c r="Z519" s="340" t="s">
        <v>995</v>
      </c>
      <c r="AA519" s="340">
        <v>440</v>
      </c>
      <c r="AB519" s="340" t="s">
        <v>571</v>
      </c>
      <c r="AC519" s="340" t="s">
        <v>570</v>
      </c>
      <c r="AD519" s="341" t="s">
        <v>569</v>
      </c>
      <c r="AE519" s="340"/>
      <c r="AF519" s="341" t="s">
        <v>568</v>
      </c>
      <c r="AG519" s="340">
        <v>0</v>
      </c>
      <c r="AH519" s="340">
        <v>0</v>
      </c>
      <c r="AI519" s="377"/>
      <c r="AK519" s="493">
        <f t="shared" si="78"/>
        <v>8</v>
      </c>
      <c r="AL519" s="493">
        <f t="shared" si="79"/>
        <v>2016</v>
      </c>
      <c r="AM519" s="493">
        <f t="shared" si="80"/>
        <v>2026</v>
      </c>
      <c r="AN519" s="494">
        <f t="shared" si="81"/>
        <v>2026.6666666666667</v>
      </c>
      <c r="AO519" s="505">
        <f t="shared" si="82"/>
        <v>1783.6346666666668</v>
      </c>
      <c r="AP519" s="505">
        <f t="shared" si="83"/>
        <v>21403.616000000002</v>
      </c>
      <c r="AQ519" s="505">
        <f t="shared" si="84"/>
        <v>21403.616000000002</v>
      </c>
      <c r="AR519" s="505">
        <f t="shared" si="85"/>
        <v>128421.696</v>
      </c>
      <c r="AS519" s="505">
        <f t="shared" si="86"/>
        <v>149825.31200000001</v>
      </c>
      <c r="AT519" s="506">
        <f t="shared" si="87"/>
        <v>64210.847999999998</v>
      </c>
    </row>
    <row r="520" spans="1:46">
      <c r="A520" s="341">
        <v>2112</v>
      </c>
      <c r="B520" s="345">
        <v>165326</v>
      </c>
      <c r="C520" s="341" t="s">
        <v>574</v>
      </c>
      <c r="D520" s="340" t="s">
        <v>994</v>
      </c>
      <c r="E520" s="341">
        <v>1</v>
      </c>
      <c r="F520" s="340"/>
      <c r="G520" s="340"/>
      <c r="H520" s="340">
        <v>0</v>
      </c>
      <c r="I520" s="340" t="s">
        <v>730</v>
      </c>
      <c r="J520" s="340"/>
      <c r="K520" s="340" t="s">
        <v>993</v>
      </c>
      <c r="L520" s="344">
        <v>42563</v>
      </c>
      <c r="M520" s="344">
        <v>42563</v>
      </c>
      <c r="N520" s="340" t="s">
        <v>966</v>
      </c>
      <c r="O520" s="341">
        <v>700</v>
      </c>
      <c r="P520" s="341">
        <v>14050</v>
      </c>
      <c r="Q520" s="342">
        <v>1938.19</v>
      </c>
      <c r="R520" s="341">
        <v>14056</v>
      </c>
      <c r="S520" s="342">
        <v>1938.19</v>
      </c>
      <c r="T520" s="342">
        <f t="shared" si="88"/>
        <v>0</v>
      </c>
      <c r="U520" s="343">
        <v>138.41</v>
      </c>
      <c r="V520" s="341">
        <v>54260</v>
      </c>
      <c r="W520" s="342">
        <v>0</v>
      </c>
      <c r="X520" s="340" t="s">
        <v>574</v>
      </c>
      <c r="Y520" s="340"/>
      <c r="Z520" s="340" t="s">
        <v>992</v>
      </c>
      <c r="AA520" s="340"/>
      <c r="AB520" s="340" t="s">
        <v>571</v>
      </c>
      <c r="AC520" s="340" t="s">
        <v>570</v>
      </c>
      <c r="AD520" s="341" t="s">
        <v>569</v>
      </c>
      <c r="AE520" s="340"/>
      <c r="AF520" s="341" t="s">
        <v>568</v>
      </c>
      <c r="AG520" s="340">
        <v>0</v>
      </c>
      <c r="AH520" s="340">
        <v>0</v>
      </c>
      <c r="AI520" s="377"/>
      <c r="AK520" s="493">
        <f t="shared" si="78"/>
        <v>7</v>
      </c>
      <c r="AL520" s="493">
        <f t="shared" si="79"/>
        <v>2016</v>
      </c>
      <c r="AM520" s="493">
        <f t="shared" si="80"/>
        <v>2023</v>
      </c>
      <c r="AN520" s="494">
        <f t="shared" si="81"/>
        <v>2023.5833333333333</v>
      </c>
      <c r="AO520" s="505">
        <f t="shared" si="82"/>
        <v>23.073690476190478</v>
      </c>
      <c r="AP520" s="505">
        <f t="shared" si="83"/>
        <v>276.88428571428574</v>
      </c>
      <c r="AQ520" s="505">
        <f t="shared" si="84"/>
        <v>0</v>
      </c>
      <c r="AR520" s="505">
        <f t="shared" si="85"/>
        <v>1684.3794047619467</v>
      </c>
      <c r="AS520" s="505">
        <f t="shared" si="86"/>
        <v>1684.3794047619467</v>
      </c>
      <c r="AT520" s="506">
        <f t="shared" si="87"/>
        <v>253.81059523805334</v>
      </c>
    </row>
    <row r="521" spans="1:46">
      <c r="A521" s="341">
        <v>2112</v>
      </c>
      <c r="B521" s="345">
        <v>165325</v>
      </c>
      <c r="C521" s="341" t="s">
        <v>574</v>
      </c>
      <c r="D521" s="340" t="s">
        <v>991</v>
      </c>
      <c r="E521" s="341">
        <v>6</v>
      </c>
      <c r="F521" s="340"/>
      <c r="G521" s="340"/>
      <c r="H521" s="340">
        <v>0</v>
      </c>
      <c r="I521" s="340" t="s">
        <v>730</v>
      </c>
      <c r="J521" s="340"/>
      <c r="K521" s="340" t="s">
        <v>671</v>
      </c>
      <c r="L521" s="344">
        <v>42563</v>
      </c>
      <c r="M521" s="344">
        <v>42563</v>
      </c>
      <c r="N521" s="340" t="s">
        <v>966</v>
      </c>
      <c r="O521" s="341">
        <v>700</v>
      </c>
      <c r="P521" s="341">
        <v>14050</v>
      </c>
      <c r="Q521" s="342">
        <v>4802.12</v>
      </c>
      <c r="R521" s="341">
        <v>14056</v>
      </c>
      <c r="S521" s="342">
        <v>4802.12</v>
      </c>
      <c r="T521" s="342">
        <f t="shared" si="88"/>
        <v>0</v>
      </c>
      <c r="U521" s="343">
        <v>342.99</v>
      </c>
      <c r="V521" s="341">
        <v>54260</v>
      </c>
      <c r="W521" s="342">
        <v>0</v>
      </c>
      <c r="X521" s="340" t="s">
        <v>574</v>
      </c>
      <c r="Y521" s="340"/>
      <c r="Z521" s="340" t="s">
        <v>990</v>
      </c>
      <c r="AA521" s="340"/>
      <c r="AB521" s="340" t="s">
        <v>571</v>
      </c>
      <c r="AC521" s="340" t="s">
        <v>570</v>
      </c>
      <c r="AD521" s="341" t="s">
        <v>569</v>
      </c>
      <c r="AE521" s="340"/>
      <c r="AF521" s="341" t="s">
        <v>568</v>
      </c>
      <c r="AG521" s="340">
        <v>0</v>
      </c>
      <c r="AH521" s="340">
        <v>0</v>
      </c>
      <c r="AI521" s="377"/>
      <c r="AK521" s="493">
        <f t="shared" si="78"/>
        <v>7</v>
      </c>
      <c r="AL521" s="493">
        <f t="shared" si="79"/>
        <v>2016</v>
      </c>
      <c r="AM521" s="493">
        <f t="shared" si="80"/>
        <v>2023</v>
      </c>
      <c r="AN521" s="494">
        <f t="shared" si="81"/>
        <v>2023.5833333333333</v>
      </c>
      <c r="AO521" s="505">
        <f t="shared" si="82"/>
        <v>57.168095238095241</v>
      </c>
      <c r="AP521" s="505">
        <f t="shared" si="83"/>
        <v>686.01714285714286</v>
      </c>
      <c r="AQ521" s="505">
        <f t="shared" si="84"/>
        <v>0</v>
      </c>
      <c r="AR521" s="505">
        <f t="shared" si="85"/>
        <v>4173.2709523810563</v>
      </c>
      <c r="AS521" s="505">
        <f t="shared" si="86"/>
        <v>4173.2709523810563</v>
      </c>
      <c r="AT521" s="506">
        <f t="shared" si="87"/>
        <v>628.84904761894359</v>
      </c>
    </row>
    <row r="522" spans="1:46">
      <c r="A522" s="341">
        <v>2112</v>
      </c>
      <c r="B522" s="345">
        <v>139784</v>
      </c>
      <c r="C522" s="341" t="s">
        <v>574</v>
      </c>
      <c r="D522" s="340" t="s">
        <v>989</v>
      </c>
      <c r="E522" s="341"/>
      <c r="F522" s="340"/>
      <c r="G522" s="340"/>
      <c r="H522" s="340">
        <v>0</v>
      </c>
      <c r="I522" s="340" t="s">
        <v>988</v>
      </c>
      <c r="J522" s="340"/>
      <c r="K522" s="340"/>
      <c r="L522" s="344">
        <v>42531</v>
      </c>
      <c r="M522" s="344">
        <v>42531</v>
      </c>
      <c r="N522" s="340" t="s">
        <v>987</v>
      </c>
      <c r="O522" s="341">
        <v>300</v>
      </c>
      <c r="P522" s="341">
        <v>14110</v>
      </c>
      <c r="Q522" s="342">
        <v>8319.6200000000008</v>
      </c>
      <c r="R522" s="341">
        <v>14116</v>
      </c>
      <c r="S522" s="342">
        <v>8319.6200000000008</v>
      </c>
      <c r="T522" s="342">
        <f t="shared" si="88"/>
        <v>0</v>
      </c>
      <c r="U522" s="343">
        <v>0</v>
      </c>
      <c r="V522" s="341">
        <v>70260</v>
      </c>
      <c r="W522" s="342">
        <v>0</v>
      </c>
      <c r="X522" s="340" t="s">
        <v>574</v>
      </c>
      <c r="Y522" s="340"/>
      <c r="Z522" s="340">
        <v>2171640186</v>
      </c>
      <c r="AA522" s="340"/>
      <c r="AB522" s="340" t="s">
        <v>571</v>
      </c>
      <c r="AC522" s="340" t="s">
        <v>570</v>
      </c>
      <c r="AD522" s="341" t="s">
        <v>569</v>
      </c>
      <c r="AE522" s="340"/>
      <c r="AF522" s="341" t="s">
        <v>568</v>
      </c>
      <c r="AG522" s="340">
        <v>0</v>
      </c>
      <c r="AH522" s="340">
        <v>0</v>
      </c>
      <c r="AI522" s="377"/>
      <c r="AK522" s="493">
        <f t="shared" si="78"/>
        <v>6</v>
      </c>
      <c r="AL522" s="493">
        <f t="shared" si="79"/>
        <v>2016</v>
      </c>
      <c r="AM522" s="493">
        <f t="shared" si="80"/>
        <v>2019</v>
      </c>
      <c r="AN522" s="494">
        <f t="shared" si="81"/>
        <v>2019.5</v>
      </c>
      <c r="AO522" s="505">
        <f t="shared" si="82"/>
        <v>231.10055555555559</v>
      </c>
      <c r="AP522" s="505">
        <f t="shared" si="83"/>
        <v>2773.2066666666669</v>
      </c>
      <c r="AQ522" s="505">
        <f t="shared" si="84"/>
        <v>0</v>
      </c>
      <c r="AR522" s="505">
        <f t="shared" si="85"/>
        <v>8319.6200000000008</v>
      </c>
      <c r="AS522" s="505">
        <f t="shared" si="86"/>
        <v>8319.6200000000008</v>
      </c>
      <c r="AT522" s="506">
        <f t="shared" si="87"/>
        <v>0</v>
      </c>
    </row>
    <row r="523" spans="1:46">
      <c r="A523" s="341">
        <v>2112</v>
      </c>
      <c r="B523" s="345">
        <v>133564</v>
      </c>
      <c r="C523" s="341" t="s">
        <v>574</v>
      </c>
      <c r="D523" s="340" t="s">
        <v>986</v>
      </c>
      <c r="E523" s="341">
        <v>3</v>
      </c>
      <c r="F523" s="340"/>
      <c r="G523" s="340"/>
      <c r="H523" s="340">
        <v>0</v>
      </c>
      <c r="I523" s="340" t="s">
        <v>714</v>
      </c>
      <c r="J523" s="340"/>
      <c r="K523" s="340" t="s">
        <v>722</v>
      </c>
      <c r="L523" s="344">
        <v>42528</v>
      </c>
      <c r="M523" s="344">
        <v>42528</v>
      </c>
      <c r="N523" s="340" t="s">
        <v>972</v>
      </c>
      <c r="O523" s="341">
        <v>1200</v>
      </c>
      <c r="P523" s="341">
        <v>14050</v>
      </c>
      <c r="Q523" s="342">
        <v>17943</v>
      </c>
      <c r="R523" s="341">
        <v>14056</v>
      </c>
      <c r="S523" s="342">
        <v>10715.96</v>
      </c>
      <c r="T523" s="342">
        <f t="shared" si="88"/>
        <v>7227.0400000000009</v>
      </c>
      <c r="U523" s="343">
        <v>872.23</v>
      </c>
      <c r="V523" s="341">
        <v>54260</v>
      </c>
      <c r="W523" s="342">
        <v>124.6</v>
      </c>
      <c r="X523" s="340" t="s">
        <v>574</v>
      </c>
      <c r="Y523" s="340"/>
      <c r="Z523" s="340">
        <v>7135</v>
      </c>
      <c r="AA523" s="340"/>
      <c r="AB523" s="340" t="s">
        <v>571</v>
      </c>
      <c r="AC523" s="340" t="s">
        <v>570</v>
      </c>
      <c r="AD523" s="341" t="s">
        <v>569</v>
      </c>
      <c r="AE523" s="340"/>
      <c r="AF523" s="341" t="s">
        <v>568</v>
      </c>
      <c r="AG523" s="340">
        <v>0</v>
      </c>
      <c r="AH523" s="340">
        <v>0</v>
      </c>
      <c r="AI523" s="377"/>
      <c r="AK523" s="493">
        <f t="shared" si="78"/>
        <v>6</v>
      </c>
      <c r="AL523" s="493">
        <f t="shared" si="79"/>
        <v>2016</v>
      </c>
      <c r="AM523" s="493">
        <f t="shared" si="80"/>
        <v>2028</v>
      </c>
      <c r="AN523" s="494">
        <f t="shared" si="81"/>
        <v>2028.5</v>
      </c>
      <c r="AO523" s="505">
        <f t="shared" si="82"/>
        <v>124.60416666666667</v>
      </c>
      <c r="AP523" s="505">
        <f t="shared" si="83"/>
        <v>1495.25</v>
      </c>
      <c r="AQ523" s="505">
        <f t="shared" si="84"/>
        <v>1495.25</v>
      </c>
      <c r="AR523" s="505">
        <f t="shared" si="85"/>
        <v>9220.7083333334467</v>
      </c>
      <c r="AS523" s="505">
        <f t="shared" si="86"/>
        <v>10715.958333333447</v>
      </c>
      <c r="AT523" s="506">
        <f t="shared" si="87"/>
        <v>7227.0416666665533</v>
      </c>
    </row>
    <row r="524" spans="1:46">
      <c r="A524" s="341">
        <v>2112</v>
      </c>
      <c r="B524" s="345">
        <v>133440</v>
      </c>
      <c r="C524" s="341" t="s">
        <v>574</v>
      </c>
      <c r="D524" s="340" t="s">
        <v>985</v>
      </c>
      <c r="E524" s="341"/>
      <c r="F524" s="340"/>
      <c r="G524" s="340"/>
      <c r="H524" s="340">
        <v>0</v>
      </c>
      <c r="I524" s="340" t="s">
        <v>976</v>
      </c>
      <c r="J524" s="340"/>
      <c r="K524" s="340"/>
      <c r="L524" s="344">
        <v>42538</v>
      </c>
      <c r="M524" s="344">
        <v>42538</v>
      </c>
      <c r="N524" s="340" t="s">
        <v>984</v>
      </c>
      <c r="O524" s="341">
        <v>1000</v>
      </c>
      <c r="P524" s="341">
        <v>14010</v>
      </c>
      <c r="Q524" s="342">
        <v>3023.53</v>
      </c>
      <c r="R524" s="341">
        <v>14016</v>
      </c>
      <c r="S524" s="342">
        <v>2141.65</v>
      </c>
      <c r="T524" s="342">
        <f t="shared" si="88"/>
        <v>881.88000000000011</v>
      </c>
      <c r="U524" s="343">
        <v>176.37</v>
      </c>
      <c r="V524" s="341">
        <v>57260</v>
      </c>
      <c r="W524" s="342">
        <v>25.19</v>
      </c>
      <c r="X524" s="340" t="s">
        <v>574</v>
      </c>
      <c r="Y524" s="340"/>
      <c r="Z524" s="340" t="s">
        <v>978</v>
      </c>
      <c r="AA524" s="340"/>
      <c r="AB524" s="340" t="s">
        <v>571</v>
      </c>
      <c r="AC524" s="340" t="s">
        <v>570</v>
      </c>
      <c r="AD524" s="341" t="s">
        <v>569</v>
      </c>
      <c r="AE524" s="340"/>
      <c r="AF524" s="341" t="s">
        <v>568</v>
      </c>
      <c r="AG524" s="340">
        <v>0</v>
      </c>
      <c r="AH524" s="340">
        <v>0</v>
      </c>
      <c r="AI524" s="377"/>
      <c r="AK524" s="493">
        <f t="shared" si="78"/>
        <v>6</v>
      </c>
      <c r="AL524" s="493">
        <f t="shared" si="79"/>
        <v>2016</v>
      </c>
      <c r="AM524" s="493">
        <f t="shared" si="80"/>
        <v>2026</v>
      </c>
      <c r="AN524" s="494">
        <f t="shared" si="81"/>
        <v>2026.5</v>
      </c>
      <c r="AO524" s="505">
        <f t="shared" si="82"/>
        <v>25.196083333333334</v>
      </c>
      <c r="AP524" s="505">
        <f t="shared" si="83"/>
        <v>302.35300000000001</v>
      </c>
      <c r="AQ524" s="505">
        <f t="shared" si="84"/>
        <v>302.35300000000001</v>
      </c>
      <c r="AR524" s="505">
        <f t="shared" si="85"/>
        <v>1864.5101666666897</v>
      </c>
      <c r="AS524" s="505">
        <f t="shared" si="86"/>
        <v>2166.8631666666897</v>
      </c>
      <c r="AT524" s="506">
        <f t="shared" si="87"/>
        <v>856.66683333331048</v>
      </c>
    </row>
    <row r="525" spans="1:46">
      <c r="A525" s="341">
        <v>2112</v>
      </c>
      <c r="B525" s="345">
        <v>133439</v>
      </c>
      <c r="C525" s="341" t="s">
        <v>574</v>
      </c>
      <c r="D525" s="340" t="s">
        <v>983</v>
      </c>
      <c r="E525" s="341"/>
      <c r="F525" s="340"/>
      <c r="G525" s="340"/>
      <c r="H525" s="340">
        <v>0</v>
      </c>
      <c r="I525" s="340" t="s">
        <v>976</v>
      </c>
      <c r="J525" s="340"/>
      <c r="K525" s="340"/>
      <c r="L525" s="344">
        <v>42538</v>
      </c>
      <c r="M525" s="344">
        <v>42538</v>
      </c>
      <c r="N525" s="340" t="s">
        <v>982</v>
      </c>
      <c r="O525" s="341">
        <v>1000</v>
      </c>
      <c r="P525" s="341">
        <v>14010</v>
      </c>
      <c r="Q525" s="342">
        <v>13217.92</v>
      </c>
      <c r="R525" s="341">
        <v>14016</v>
      </c>
      <c r="S525" s="342">
        <v>9362.68</v>
      </c>
      <c r="T525" s="342">
        <f t="shared" si="88"/>
        <v>3855.24</v>
      </c>
      <c r="U525" s="343">
        <v>771.04</v>
      </c>
      <c r="V525" s="341">
        <v>57260</v>
      </c>
      <c r="W525" s="342">
        <v>110.14</v>
      </c>
      <c r="X525" s="340" t="s">
        <v>574</v>
      </c>
      <c r="Y525" s="340"/>
      <c r="Z525" s="340" t="s">
        <v>981</v>
      </c>
      <c r="AA525" s="340"/>
      <c r="AB525" s="340" t="s">
        <v>571</v>
      </c>
      <c r="AC525" s="340" t="s">
        <v>570</v>
      </c>
      <c r="AD525" s="341" t="s">
        <v>569</v>
      </c>
      <c r="AE525" s="340"/>
      <c r="AF525" s="341" t="s">
        <v>568</v>
      </c>
      <c r="AG525" s="340">
        <v>0</v>
      </c>
      <c r="AH525" s="340">
        <v>0</v>
      </c>
      <c r="AI525" s="377"/>
      <c r="AK525" s="493">
        <f t="shared" si="78"/>
        <v>6</v>
      </c>
      <c r="AL525" s="493">
        <f t="shared" si="79"/>
        <v>2016</v>
      </c>
      <c r="AM525" s="493">
        <f t="shared" si="80"/>
        <v>2026</v>
      </c>
      <c r="AN525" s="494">
        <f t="shared" si="81"/>
        <v>2026.5</v>
      </c>
      <c r="AO525" s="505">
        <f t="shared" si="82"/>
        <v>110.14933333333333</v>
      </c>
      <c r="AP525" s="505">
        <f t="shared" si="83"/>
        <v>1321.7919999999999</v>
      </c>
      <c r="AQ525" s="505">
        <f t="shared" si="84"/>
        <v>1321.7919999999999</v>
      </c>
      <c r="AR525" s="505">
        <f t="shared" si="85"/>
        <v>8151.050666666767</v>
      </c>
      <c r="AS525" s="505">
        <f t="shared" si="86"/>
        <v>9472.8426666667674</v>
      </c>
      <c r="AT525" s="506">
        <f t="shared" si="87"/>
        <v>3745.0773333332327</v>
      </c>
    </row>
    <row r="526" spans="1:46">
      <c r="A526" s="341">
        <v>2112</v>
      </c>
      <c r="B526" s="345">
        <v>133438</v>
      </c>
      <c r="C526" s="341" t="s">
        <v>574</v>
      </c>
      <c r="D526" s="340" t="s">
        <v>980</v>
      </c>
      <c r="E526" s="341"/>
      <c r="F526" s="340"/>
      <c r="G526" s="340"/>
      <c r="H526" s="340">
        <v>0</v>
      </c>
      <c r="I526" s="340" t="s">
        <v>976</v>
      </c>
      <c r="J526" s="340"/>
      <c r="K526" s="340"/>
      <c r="L526" s="344">
        <v>42538</v>
      </c>
      <c r="M526" s="344">
        <v>42538</v>
      </c>
      <c r="N526" s="340" t="s">
        <v>979</v>
      </c>
      <c r="O526" s="341">
        <v>1000</v>
      </c>
      <c r="P526" s="341">
        <v>14010</v>
      </c>
      <c r="Q526" s="342">
        <v>26290</v>
      </c>
      <c r="R526" s="341">
        <v>14016</v>
      </c>
      <c r="S526" s="342">
        <v>18622.080000000002</v>
      </c>
      <c r="T526" s="342">
        <f t="shared" si="88"/>
        <v>7667.9199999999983</v>
      </c>
      <c r="U526" s="343">
        <v>1533.58</v>
      </c>
      <c r="V526" s="341">
        <v>57260</v>
      </c>
      <c r="W526" s="342">
        <v>219.08</v>
      </c>
      <c r="X526" s="340" t="s">
        <v>574</v>
      </c>
      <c r="Y526" s="340"/>
      <c r="Z526" s="340" t="s">
        <v>978</v>
      </c>
      <c r="AA526" s="340"/>
      <c r="AB526" s="340" t="s">
        <v>571</v>
      </c>
      <c r="AC526" s="340" t="s">
        <v>570</v>
      </c>
      <c r="AD526" s="341" t="s">
        <v>569</v>
      </c>
      <c r="AE526" s="340"/>
      <c r="AF526" s="341" t="s">
        <v>568</v>
      </c>
      <c r="AG526" s="340">
        <v>0</v>
      </c>
      <c r="AH526" s="340">
        <v>0</v>
      </c>
      <c r="AI526" s="377"/>
      <c r="AK526" s="493">
        <f t="shared" ref="AK526:AK589" si="89">MONTH($L526)</f>
        <v>6</v>
      </c>
      <c r="AL526" s="493">
        <f t="shared" ref="AL526:AL589" si="90">YEAR($L526)</f>
        <v>2016</v>
      </c>
      <c r="AM526" s="493">
        <f t="shared" ref="AM526:AM589" si="91">$AL526+($O526/100)</f>
        <v>2026</v>
      </c>
      <c r="AN526" s="494">
        <f t="shared" ref="AN526:AN589" si="92">$AM526+($AK526/12)</f>
        <v>2026.5</v>
      </c>
      <c r="AO526" s="505">
        <f t="shared" ref="AO526:AO589" si="93">IFERROR($Q526/($O526/100)/12,0)</f>
        <v>219.08333333333334</v>
      </c>
      <c r="AP526" s="505">
        <f t="shared" ref="AP526:AP589" si="94">$AO526*12</f>
        <v>2629</v>
      </c>
      <c r="AQ526" s="505">
        <f t="shared" ref="AQ526:AQ589" si="95">+IF(AN526&lt;=$AI$9,0,AP526)</f>
        <v>2629</v>
      </c>
      <c r="AR526" s="505">
        <f t="shared" ref="AR526:AR589" si="96">+IF(AN526&lt;=$AI$10,Q526,IF((AL526+(AK526/12))&gt;=$AI$10,0,((Q526-((AN526-$AI$10)*12)*AO526))))</f>
        <v>16212.166666666866</v>
      </c>
      <c r="AS526" s="505">
        <f t="shared" ref="AS526:AS589" si="97">+IF(AN526&lt;$AI$9,Q526,AQ526+AR526)</f>
        <v>18841.166666666868</v>
      </c>
      <c r="AT526" s="506">
        <f t="shared" ref="AT526:AT589" si="98">$Q526-$AS526</f>
        <v>7448.833333333132</v>
      </c>
    </row>
    <row r="527" spans="1:46">
      <c r="A527" s="341">
        <v>2112</v>
      </c>
      <c r="B527" s="345">
        <v>133437</v>
      </c>
      <c r="C527" s="341" t="s">
        <v>574</v>
      </c>
      <c r="D527" s="340" t="s">
        <v>977</v>
      </c>
      <c r="E527" s="341"/>
      <c r="F527" s="340"/>
      <c r="G527" s="340"/>
      <c r="H527" s="340">
        <v>0</v>
      </c>
      <c r="I527" s="340" t="s">
        <v>976</v>
      </c>
      <c r="J527" s="340"/>
      <c r="K527" s="340"/>
      <c r="L527" s="344">
        <v>42538</v>
      </c>
      <c r="M527" s="344">
        <v>42538</v>
      </c>
      <c r="N527" s="340" t="s">
        <v>975</v>
      </c>
      <c r="O527" s="341">
        <v>1000</v>
      </c>
      <c r="P527" s="341">
        <v>14010</v>
      </c>
      <c r="Q527" s="342">
        <v>20781.93</v>
      </c>
      <c r="R527" s="341">
        <v>14016</v>
      </c>
      <c r="S527" s="342">
        <v>14720.46</v>
      </c>
      <c r="T527" s="342">
        <f t="shared" si="88"/>
        <v>6061.4700000000012</v>
      </c>
      <c r="U527" s="343">
        <v>1212.28</v>
      </c>
      <c r="V527" s="341">
        <v>57260</v>
      </c>
      <c r="W527" s="342">
        <v>173.18</v>
      </c>
      <c r="X527" s="340" t="s">
        <v>574</v>
      </c>
      <c r="Y527" s="340"/>
      <c r="Z527" s="340">
        <v>9974</v>
      </c>
      <c r="AA527" s="340"/>
      <c r="AB527" s="340" t="s">
        <v>571</v>
      </c>
      <c r="AC527" s="340" t="s">
        <v>570</v>
      </c>
      <c r="AD527" s="341" t="s">
        <v>569</v>
      </c>
      <c r="AE527" s="340"/>
      <c r="AF527" s="341" t="s">
        <v>568</v>
      </c>
      <c r="AG527" s="340">
        <v>0</v>
      </c>
      <c r="AH527" s="340">
        <v>0</v>
      </c>
      <c r="AI527" s="377"/>
      <c r="AK527" s="493">
        <f t="shared" si="89"/>
        <v>6</v>
      </c>
      <c r="AL527" s="493">
        <f t="shared" si="90"/>
        <v>2016</v>
      </c>
      <c r="AM527" s="493">
        <f t="shared" si="91"/>
        <v>2026</v>
      </c>
      <c r="AN527" s="494">
        <f t="shared" si="92"/>
        <v>2026.5</v>
      </c>
      <c r="AO527" s="505">
        <f t="shared" si="93"/>
        <v>173.18275000000003</v>
      </c>
      <c r="AP527" s="505">
        <f t="shared" si="94"/>
        <v>2078.1930000000002</v>
      </c>
      <c r="AQ527" s="505">
        <f t="shared" si="95"/>
        <v>2078.1930000000002</v>
      </c>
      <c r="AR527" s="505">
        <f t="shared" si="96"/>
        <v>12815.523500000156</v>
      </c>
      <c r="AS527" s="505">
        <f t="shared" si="97"/>
        <v>14893.716500000155</v>
      </c>
      <c r="AT527" s="506">
        <f t="shared" si="98"/>
        <v>5888.2134999998452</v>
      </c>
    </row>
    <row r="528" spans="1:46">
      <c r="A528" s="341">
        <v>2112</v>
      </c>
      <c r="B528" s="345">
        <v>133216</v>
      </c>
      <c r="C528" s="341" t="s">
        <v>574</v>
      </c>
      <c r="D528" s="340" t="s">
        <v>974</v>
      </c>
      <c r="E528" s="341">
        <v>2</v>
      </c>
      <c r="F528" s="340"/>
      <c r="G528" s="340"/>
      <c r="H528" s="340">
        <v>0</v>
      </c>
      <c r="I528" s="340" t="s">
        <v>714</v>
      </c>
      <c r="J528" s="340"/>
      <c r="K528" s="340" t="s">
        <v>575</v>
      </c>
      <c r="L528" s="344">
        <v>42516</v>
      </c>
      <c r="M528" s="344">
        <v>42516</v>
      </c>
      <c r="N528" s="340" t="s">
        <v>972</v>
      </c>
      <c r="O528" s="341">
        <v>1200</v>
      </c>
      <c r="P528" s="341">
        <v>14050</v>
      </c>
      <c r="Q528" s="342">
        <v>11626</v>
      </c>
      <c r="R528" s="341">
        <v>14056</v>
      </c>
      <c r="S528" s="342">
        <v>6943.28</v>
      </c>
      <c r="T528" s="342">
        <f t="shared" si="88"/>
        <v>4682.72</v>
      </c>
      <c r="U528" s="343">
        <v>565.15</v>
      </c>
      <c r="V528" s="341">
        <v>54260</v>
      </c>
      <c r="W528" s="342">
        <v>80.73</v>
      </c>
      <c r="X528" s="340" t="s">
        <v>574</v>
      </c>
      <c r="Y528" s="340"/>
      <c r="Z528" s="340">
        <v>7120</v>
      </c>
      <c r="AA528" s="340"/>
      <c r="AB528" s="340" t="s">
        <v>571</v>
      </c>
      <c r="AC528" s="340" t="s">
        <v>570</v>
      </c>
      <c r="AD528" s="341" t="s">
        <v>569</v>
      </c>
      <c r="AE528" s="340"/>
      <c r="AF528" s="341" t="s">
        <v>568</v>
      </c>
      <c r="AG528" s="340">
        <v>0</v>
      </c>
      <c r="AH528" s="340">
        <v>0</v>
      </c>
      <c r="AI528" s="377"/>
      <c r="AK528" s="493">
        <f t="shared" si="89"/>
        <v>5</v>
      </c>
      <c r="AL528" s="493">
        <f t="shared" si="90"/>
        <v>2016</v>
      </c>
      <c r="AM528" s="493">
        <f t="shared" si="91"/>
        <v>2028</v>
      </c>
      <c r="AN528" s="494">
        <f t="shared" si="92"/>
        <v>2028.4166666666667</v>
      </c>
      <c r="AO528" s="505">
        <f t="shared" si="93"/>
        <v>80.736111111111114</v>
      </c>
      <c r="AP528" s="505">
        <f t="shared" si="94"/>
        <v>968.83333333333337</v>
      </c>
      <c r="AQ528" s="505">
        <f t="shared" si="95"/>
        <v>968.83333333333337</v>
      </c>
      <c r="AR528" s="505">
        <f t="shared" si="96"/>
        <v>6055.208333333333</v>
      </c>
      <c r="AS528" s="505">
        <f t="shared" si="97"/>
        <v>7024.0416666666661</v>
      </c>
      <c r="AT528" s="506">
        <f t="shared" si="98"/>
        <v>4601.9583333333339</v>
      </c>
    </row>
    <row r="529" spans="1:46">
      <c r="A529" s="341">
        <v>2112</v>
      </c>
      <c r="B529" s="345">
        <v>133215</v>
      </c>
      <c r="C529" s="341" t="s">
        <v>574</v>
      </c>
      <c r="D529" s="340" t="s">
        <v>973</v>
      </c>
      <c r="E529" s="341">
        <v>1</v>
      </c>
      <c r="F529" s="340"/>
      <c r="G529" s="340"/>
      <c r="H529" s="340">
        <v>0</v>
      </c>
      <c r="I529" s="340" t="s">
        <v>714</v>
      </c>
      <c r="J529" s="340"/>
      <c r="K529" s="340" t="s">
        <v>722</v>
      </c>
      <c r="L529" s="344">
        <v>42516</v>
      </c>
      <c r="M529" s="344">
        <v>42516</v>
      </c>
      <c r="N529" s="340" t="s">
        <v>972</v>
      </c>
      <c r="O529" s="341">
        <v>1200</v>
      </c>
      <c r="P529" s="341">
        <v>14050</v>
      </c>
      <c r="Q529" s="342">
        <v>5981</v>
      </c>
      <c r="R529" s="341">
        <v>14056</v>
      </c>
      <c r="S529" s="342">
        <v>3571.94</v>
      </c>
      <c r="T529" s="342">
        <f t="shared" si="88"/>
        <v>2409.06</v>
      </c>
      <c r="U529" s="343">
        <v>290.75</v>
      </c>
      <c r="V529" s="341">
        <v>54260</v>
      </c>
      <c r="W529" s="342">
        <v>41.54</v>
      </c>
      <c r="X529" s="340" t="s">
        <v>574</v>
      </c>
      <c r="Y529" s="340"/>
      <c r="Z529" s="340">
        <v>7120</v>
      </c>
      <c r="AA529" s="340"/>
      <c r="AB529" s="340" t="s">
        <v>571</v>
      </c>
      <c r="AC529" s="340" t="s">
        <v>570</v>
      </c>
      <c r="AD529" s="341" t="s">
        <v>569</v>
      </c>
      <c r="AE529" s="340"/>
      <c r="AF529" s="341" t="s">
        <v>568</v>
      </c>
      <c r="AG529" s="340">
        <v>0</v>
      </c>
      <c r="AH529" s="340">
        <v>0</v>
      </c>
      <c r="AI529" s="377"/>
      <c r="AK529" s="493">
        <f t="shared" si="89"/>
        <v>5</v>
      </c>
      <c r="AL529" s="493">
        <f t="shared" si="90"/>
        <v>2016</v>
      </c>
      <c r="AM529" s="493">
        <f t="shared" si="91"/>
        <v>2028</v>
      </c>
      <c r="AN529" s="494">
        <f t="shared" si="92"/>
        <v>2028.4166666666667</v>
      </c>
      <c r="AO529" s="505">
        <f t="shared" si="93"/>
        <v>41.534722222222221</v>
      </c>
      <c r="AP529" s="505">
        <f t="shared" si="94"/>
        <v>498.41666666666663</v>
      </c>
      <c r="AQ529" s="505">
        <f t="shared" si="95"/>
        <v>498.41666666666663</v>
      </c>
      <c r="AR529" s="505">
        <f t="shared" si="96"/>
        <v>3115.1041666666665</v>
      </c>
      <c r="AS529" s="505">
        <f t="shared" si="97"/>
        <v>3613.520833333333</v>
      </c>
      <c r="AT529" s="506">
        <f t="shared" si="98"/>
        <v>2367.479166666667</v>
      </c>
    </row>
    <row r="530" spans="1:46">
      <c r="A530" s="341">
        <v>2112</v>
      </c>
      <c r="B530" s="345">
        <v>133182</v>
      </c>
      <c r="C530" s="341" t="s">
        <v>574</v>
      </c>
      <c r="D530" s="340" t="s">
        <v>971</v>
      </c>
      <c r="E530" s="341">
        <v>8</v>
      </c>
      <c r="F530" s="340"/>
      <c r="G530" s="340"/>
      <c r="H530" s="340">
        <v>0</v>
      </c>
      <c r="I530" s="340" t="s">
        <v>730</v>
      </c>
      <c r="J530" s="340"/>
      <c r="K530" s="340" t="s">
        <v>970</v>
      </c>
      <c r="L530" s="344">
        <v>42498</v>
      </c>
      <c r="M530" s="344">
        <v>42498</v>
      </c>
      <c r="N530" s="340" t="s">
        <v>966</v>
      </c>
      <c r="O530" s="341">
        <v>700</v>
      </c>
      <c r="P530" s="341">
        <v>14050</v>
      </c>
      <c r="Q530" s="342">
        <v>5127.32</v>
      </c>
      <c r="R530" s="341">
        <v>14056</v>
      </c>
      <c r="S530" s="342">
        <v>5127.32</v>
      </c>
      <c r="T530" s="342">
        <f t="shared" si="88"/>
        <v>0</v>
      </c>
      <c r="U530" s="343">
        <v>244.12</v>
      </c>
      <c r="V530" s="341">
        <v>54260</v>
      </c>
      <c r="W530" s="342">
        <v>0</v>
      </c>
      <c r="X530" s="340" t="s">
        <v>574</v>
      </c>
      <c r="Y530" s="340"/>
      <c r="Z530" s="340" t="s">
        <v>969</v>
      </c>
      <c r="AA530" s="340"/>
      <c r="AB530" s="340" t="s">
        <v>571</v>
      </c>
      <c r="AC530" s="340" t="s">
        <v>570</v>
      </c>
      <c r="AD530" s="341" t="s">
        <v>569</v>
      </c>
      <c r="AE530" s="340"/>
      <c r="AF530" s="341" t="s">
        <v>568</v>
      </c>
      <c r="AG530" s="340">
        <v>0</v>
      </c>
      <c r="AH530" s="340">
        <v>0</v>
      </c>
      <c r="AI530" s="377"/>
      <c r="AK530" s="493">
        <f t="shared" si="89"/>
        <v>5</v>
      </c>
      <c r="AL530" s="493">
        <f t="shared" si="90"/>
        <v>2016</v>
      </c>
      <c r="AM530" s="493">
        <f t="shared" si="91"/>
        <v>2023</v>
      </c>
      <c r="AN530" s="494">
        <f t="shared" si="92"/>
        <v>2023.4166666666667</v>
      </c>
      <c r="AO530" s="505">
        <f t="shared" si="93"/>
        <v>61.039523809523807</v>
      </c>
      <c r="AP530" s="505">
        <f t="shared" si="94"/>
        <v>732.47428571428566</v>
      </c>
      <c r="AQ530" s="505">
        <f t="shared" si="95"/>
        <v>0</v>
      </c>
      <c r="AR530" s="505">
        <f t="shared" si="96"/>
        <v>4577.9642857142853</v>
      </c>
      <c r="AS530" s="505">
        <f t="shared" si="97"/>
        <v>5127.32</v>
      </c>
      <c r="AT530" s="506">
        <f t="shared" si="98"/>
        <v>0</v>
      </c>
    </row>
    <row r="531" spans="1:46">
      <c r="A531" s="341">
        <v>2112</v>
      </c>
      <c r="B531" s="345">
        <v>133181</v>
      </c>
      <c r="C531" s="341" t="s">
        <v>574</v>
      </c>
      <c r="D531" s="340" t="s">
        <v>968</v>
      </c>
      <c r="E531" s="341">
        <v>9</v>
      </c>
      <c r="F531" s="340"/>
      <c r="G531" s="340"/>
      <c r="H531" s="340">
        <v>0</v>
      </c>
      <c r="I531" s="340" t="s">
        <v>730</v>
      </c>
      <c r="J531" s="340"/>
      <c r="K531" s="340" t="s">
        <v>967</v>
      </c>
      <c r="L531" s="344">
        <v>42498</v>
      </c>
      <c r="M531" s="344">
        <v>42498</v>
      </c>
      <c r="N531" s="340" t="s">
        <v>966</v>
      </c>
      <c r="O531" s="341">
        <v>700</v>
      </c>
      <c r="P531" s="341">
        <v>14050</v>
      </c>
      <c r="Q531" s="342">
        <v>6682.87</v>
      </c>
      <c r="R531" s="341">
        <v>14056</v>
      </c>
      <c r="S531" s="342">
        <v>6682.87</v>
      </c>
      <c r="T531" s="342">
        <f t="shared" si="88"/>
        <v>0</v>
      </c>
      <c r="U531" s="343">
        <v>318.20999999999998</v>
      </c>
      <c r="V531" s="341">
        <v>54260</v>
      </c>
      <c r="W531" s="342">
        <v>0</v>
      </c>
      <c r="X531" s="340" t="s">
        <v>574</v>
      </c>
      <c r="Y531" s="340"/>
      <c r="Z531" s="340" t="s">
        <v>965</v>
      </c>
      <c r="AA531" s="340"/>
      <c r="AB531" s="340" t="s">
        <v>571</v>
      </c>
      <c r="AC531" s="340" t="s">
        <v>570</v>
      </c>
      <c r="AD531" s="341" t="s">
        <v>569</v>
      </c>
      <c r="AE531" s="340"/>
      <c r="AF531" s="341" t="s">
        <v>568</v>
      </c>
      <c r="AG531" s="340">
        <v>0</v>
      </c>
      <c r="AH531" s="340">
        <v>0</v>
      </c>
      <c r="AI531" s="377"/>
      <c r="AK531" s="493">
        <f t="shared" si="89"/>
        <v>5</v>
      </c>
      <c r="AL531" s="493">
        <f t="shared" si="90"/>
        <v>2016</v>
      </c>
      <c r="AM531" s="493">
        <f t="shared" si="91"/>
        <v>2023</v>
      </c>
      <c r="AN531" s="494">
        <f t="shared" si="92"/>
        <v>2023.4166666666667</v>
      </c>
      <c r="AO531" s="505">
        <f t="shared" si="93"/>
        <v>79.557976190476197</v>
      </c>
      <c r="AP531" s="505">
        <f t="shared" si="94"/>
        <v>954.6957142857143</v>
      </c>
      <c r="AQ531" s="505">
        <f t="shared" si="95"/>
        <v>0</v>
      </c>
      <c r="AR531" s="505">
        <f t="shared" si="96"/>
        <v>5966.8482142857138</v>
      </c>
      <c r="AS531" s="505">
        <f t="shared" si="97"/>
        <v>6682.87</v>
      </c>
      <c r="AT531" s="506">
        <f t="shared" si="98"/>
        <v>0</v>
      </c>
    </row>
    <row r="532" spans="1:46">
      <c r="A532" s="341">
        <v>2112</v>
      </c>
      <c r="B532" s="345">
        <v>132477</v>
      </c>
      <c r="C532" s="341" t="s">
        <v>574</v>
      </c>
      <c r="D532" s="340" t="s">
        <v>964</v>
      </c>
      <c r="E532" s="341">
        <v>1800</v>
      </c>
      <c r="F532" s="340"/>
      <c r="G532" s="340"/>
      <c r="H532" s="340">
        <v>0</v>
      </c>
      <c r="I532" s="340" t="s">
        <v>886</v>
      </c>
      <c r="J532" s="340"/>
      <c r="K532" s="340"/>
      <c r="L532" s="344">
        <v>42459</v>
      </c>
      <c r="M532" s="344">
        <v>42459</v>
      </c>
      <c r="N532" s="340" t="s">
        <v>963</v>
      </c>
      <c r="O532" s="341">
        <v>500</v>
      </c>
      <c r="P532" s="341">
        <v>14050</v>
      </c>
      <c r="Q532" s="342">
        <v>15181</v>
      </c>
      <c r="R532" s="341">
        <v>14056</v>
      </c>
      <c r="S532" s="342">
        <v>15181</v>
      </c>
      <c r="T532" s="342">
        <f t="shared" si="88"/>
        <v>0</v>
      </c>
      <c r="U532" s="343">
        <v>0</v>
      </c>
      <c r="V532" s="341">
        <v>54260</v>
      </c>
      <c r="W532" s="342">
        <v>0</v>
      </c>
      <c r="X532" s="340" t="s">
        <v>574</v>
      </c>
      <c r="Y532" s="340"/>
      <c r="Z532" s="340">
        <v>25669</v>
      </c>
      <c r="AA532" s="340"/>
      <c r="AB532" s="340" t="s">
        <v>571</v>
      </c>
      <c r="AC532" s="340" t="s">
        <v>570</v>
      </c>
      <c r="AD532" s="341" t="s">
        <v>569</v>
      </c>
      <c r="AE532" s="340"/>
      <c r="AF532" s="341" t="s">
        <v>568</v>
      </c>
      <c r="AG532" s="340">
        <v>0</v>
      </c>
      <c r="AH532" s="340">
        <v>0</v>
      </c>
      <c r="AI532" s="377"/>
      <c r="AK532" s="493">
        <f t="shared" si="89"/>
        <v>3</v>
      </c>
      <c r="AL532" s="493">
        <f t="shared" si="90"/>
        <v>2016</v>
      </c>
      <c r="AM532" s="493">
        <f t="shared" si="91"/>
        <v>2021</v>
      </c>
      <c r="AN532" s="494">
        <f t="shared" si="92"/>
        <v>2021.25</v>
      </c>
      <c r="AO532" s="505">
        <f t="shared" si="93"/>
        <v>253.01666666666665</v>
      </c>
      <c r="AP532" s="505">
        <f t="shared" si="94"/>
        <v>3036.2</v>
      </c>
      <c r="AQ532" s="505">
        <f t="shared" si="95"/>
        <v>0</v>
      </c>
      <c r="AR532" s="505">
        <f t="shared" si="96"/>
        <v>15181</v>
      </c>
      <c r="AS532" s="505">
        <f t="shared" si="97"/>
        <v>15181</v>
      </c>
      <c r="AT532" s="506">
        <f t="shared" si="98"/>
        <v>0</v>
      </c>
    </row>
    <row r="533" spans="1:46">
      <c r="A533" s="341">
        <v>2112</v>
      </c>
      <c r="B533" s="345">
        <v>132353</v>
      </c>
      <c r="C533" s="341">
        <v>131543</v>
      </c>
      <c r="D533" s="340" t="s">
        <v>962</v>
      </c>
      <c r="E533" s="341"/>
      <c r="F533" s="340"/>
      <c r="G533" s="340"/>
      <c r="H533" s="340">
        <v>0</v>
      </c>
      <c r="I533" s="340" t="s">
        <v>961</v>
      </c>
      <c r="J533" s="340"/>
      <c r="K533" s="340"/>
      <c r="L533" s="344">
        <v>42460</v>
      </c>
      <c r="M533" s="344">
        <v>42460</v>
      </c>
      <c r="N533" s="340" t="s">
        <v>957</v>
      </c>
      <c r="O533" s="341">
        <v>100</v>
      </c>
      <c r="P533" s="341">
        <v>14110</v>
      </c>
      <c r="Q533" s="342">
        <v>7326.53</v>
      </c>
      <c r="R533" s="341">
        <v>14116</v>
      </c>
      <c r="S533" s="342">
        <v>7326.53</v>
      </c>
      <c r="T533" s="342">
        <f t="shared" ref="T533:T596" si="99">Q533-S533</f>
        <v>0</v>
      </c>
      <c r="U533" s="343">
        <v>0</v>
      </c>
      <c r="V533" s="341">
        <v>70260</v>
      </c>
      <c r="W533" s="342">
        <v>0</v>
      </c>
      <c r="X533" s="340" t="s">
        <v>574</v>
      </c>
      <c r="Y533" s="340"/>
      <c r="Z533" s="340" t="s">
        <v>960</v>
      </c>
      <c r="AA533" s="340"/>
      <c r="AB533" s="340" t="s">
        <v>571</v>
      </c>
      <c r="AC533" s="340" t="s">
        <v>570</v>
      </c>
      <c r="AD533" s="341" t="s">
        <v>569</v>
      </c>
      <c r="AE533" s="340"/>
      <c r="AF533" s="341" t="s">
        <v>568</v>
      </c>
      <c r="AG533" s="340">
        <v>0</v>
      </c>
      <c r="AH533" s="340">
        <v>0</v>
      </c>
      <c r="AI533" s="377"/>
      <c r="AK533" s="493">
        <f t="shared" si="89"/>
        <v>3</v>
      </c>
      <c r="AL533" s="493">
        <f t="shared" si="90"/>
        <v>2016</v>
      </c>
      <c r="AM533" s="493">
        <f t="shared" si="91"/>
        <v>2017</v>
      </c>
      <c r="AN533" s="494">
        <f t="shared" si="92"/>
        <v>2017.25</v>
      </c>
      <c r="AO533" s="505">
        <f t="shared" si="93"/>
        <v>610.54416666666668</v>
      </c>
      <c r="AP533" s="505">
        <f t="shared" si="94"/>
        <v>7326.5300000000007</v>
      </c>
      <c r="AQ533" s="505">
        <f t="shared" si="95"/>
        <v>0</v>
      </c>
      <c r="AR533" s="505">
        <f t="shared" si="96"/>
        <v>7326.53</v>
      </c>
      <c r="AS533" s="505">
        <f t="shared" si="97"/>
        <v>7326.53</v>
      </c>
      <c r="AT533" s="506">
        <f t="shared" si="98"/>
        <v>0</v>
      </c>
    </row>
    <row r="534" spans="1:46">
      <c r="A534" s="341">
        <v>2112</v>
      </c>
      <c r="B534" s="345">
        <v>131543</v>
      </c>
      <c r="C534" s="341" t="s">
        <v>574</v>
      </c>
      <c r="D534" s="340" t="s">
        <v>959</v>
      </c>
      <c r="E534" s="341"/>
      <c r="F534" s="340"/>
      <c r="G534" s="340"/>
      <c r="H534" s="340">
        <v>0</v>
      </c>
      <c r="I534" s="340" t="s">
        <v>958</v>
      </c>
      <c r="J534" s="340"/>
      <c r="K534" s="340"/>
      <c r="L534" s="344">
        <v>42460</v>
      </c>
      <c r="M534" s="344">
        <v>42460</v>
      </c>
      <c r="N534" s="340" t="s">
        <v>957</v>
      </c>
      <c r="O534" s="341">
        <v>100</v>
      </c>
      <c r="P534" s="341">
        <v>14110</v>
      </c>
      <c r="Q534" s="342">
        <v>8464.64</v>
      </c>
      <c r="R534" s="341">
        <v>14116</v>
      </c>
      <c r="S534" s="342">
        <v>8464.64</v>
      </c>
      <c r="T534" s="342">
        <f t="shared" si="99"/>
        <v>0</v>
      </c>
      <c r="U534" s="343">
        <v>0</v>
      </c>
      <c r="V534" s="341">
        <v>70260</v>
      </c>
      <c r="W534" s="342">
        <v>0</v>
      </c>
      <c r="X534" s="340" t="s">
        <v>574</v>
      </c>
      <c r="Y534" s="340"/>
      <c r="Z534" s="340" t="s">
        <v>956</v>
      </c>
      <c r="AA534" s="340"/>
      <c r="AB534" s="340" t="s">
        <v>571</v>
      </c>
      <c r="AC534" s="340" t="s">
        <v>570</v>
      </c>
      <c r="AD534" s="341" t="s">
        <v>569</v>
      </c>
      <c r="AE534" s="340"/>
      <c r="AF534" s="341" t="s">
        <v>568</v>
      </c>
      <c r="AG534" s="340">
        <v>0</v>
      </c>
      <c r="AH534" s="340">
        <v>0</v>
      </c>
      <c r="AI534" s="377"/>
      <c r="AK534" s="493">
        <f t="shared" si="89"/>
        <v>3</v>
      </c>
      <c r="AL534" s="493">
        <f t="shared" si="90"/>
        <v>2016</v>
      </c>
      <c r="AM534" s="493">
        <f t="shared" si="91"/>
        <v>2017</v>
      </c>
      <c r="AN534" s="494">
        <f t="shared" si="92"/>
        <v>2017.25</v>
      </c>
      <c r="AO534" s="505">
        <f t="shared" si="93"/>
        <v>705.38666666666666</v>
      </c>
      <c r="AP534" s="505">
        <f t="shared" si="94"/>
        <v>8464.64</v>
      </c>
      <c r="AQ534" s="505">
        <f t="shared" si="95"/>
        <v>0</v>
      </c>
      <c r="AR534" s="505">
        <f t="shared" si="96"/>
        <v>8464.64</v>
      </c>
      <c r="AS534" s="505">
        <f t="shared" si="97"/>
        <v>8464.64</v>
      </c>
      <c r="AT534" s="506">
        <f t="shared" si="98"/>
        <v>0</v>
      </c>
    </row>
    <row r="535" spans="1:46">
      <c r="A535" s="341">
        <v>2112</v>
      </c>
      <c r="B535" s="345">
        <v>130068</v>
      </c>
      <c r="C535" s="341" t="s">
        <v>574</v>
      </c>
      <c r="D535" s="340" t="s">
        <v>955</v>
      </c>
      <c r="E535" s="341">
        <v>3</v>
      </c>
      <c r="F535" s="340"/>
      <c r="G535" s="340"/>
      <c r="H535" s="340">
        <v>0</v>
      </c>
      <c r="I535" s="340" t="s">
        <v>714</v>
      </c>
      <c r="J535" s="340"/>
      <c r="K535" s="340" t="s">
        <v>722</v>
      </c>
      <c r="L535" s="344">
        <v>42370</v>
      </c>
      <c r="M535" s="344">
        <v>42370</v>
      </c>
      <c r="N535" s="340" t="s">
        <v>954</v>
      </c>
      <c r="O535" s="341">
        <v>1109</v>
      </c>
      <c r="P535" s="341">
        <v>14050</v>
      </c>
      <c r="Q535" s="342">
        <v>17943</v>
      </c>
      <c r="R535" s="341">
        <v>14056</v>
      </c>
      <c r="S535" s="342">
        <v>11580.21</v>
      </c>
      <c r="T535" s="342">
        <f t="shared" si="99"/>
        <v>6362.7900000000009</v>
      </c>
      <c r="U535" s="343">
        <v>890.79</v>
      </c>
      <c r="V535" s="341">
        <v>54260</v>
      </c>
      <c r="W535" s="342">
        <v>127.26</v>
      </c>
      <c r="X535" s="340" t="s">
        <v>574</v>
      </c>
      <c r="Y535" s="340"/>
      <c r="Z535" s="340">
        <v>6831</v>
      </c>
      <c r="AA535" s="340"/>
      <c r="AB535" s="340" t="s">
        <v>571</v>
      </c>
      <c r="AC535" s="340" t="s">
        <v>570</v>
      </c>
      <c r="AD535" s="341" t="s">
        <v>569</v>
      </c>
      <c r="AE535" s="340"/>
      <c r="AF535" s="341" t="s">
        <v>568</v>
      </c>
      <c r="AG535" s="340">
        <v>0</v>
      </c>
      <c r="AH535" s="340">
        <v>0</v>
      </c>
      <c r="AI535" s="377"/>
      <c r="AK535" s="493">
        <f t="shared" si="89"/>
        <v>1</v>
      </c>
      <c r="AL535" s="493">
        <f t="shared" si="90"/>
        <v>2016</v>
      </c>
      <c r="AM535" s="493">
        <f t="shared" si="91"/>
        <v>2027.09</v>
      </c>
      <c r="AN535" s="494">
        <f t="shared" si="92"/>
        <v>2027.1733333333332</v>
      </c>
      <c r="AO535" s="505">
        <f t="shared" si="93"/>
        <v>134.82867448151487</v>
      </c>
      <c r="AP535" s="505">
        <f t="shared" si="94"/>
        <v>1617.9440937781783</v>
      </c>
      <c r="AQ535" s="505">
        <f t="shared" si="95"/>
        <v>1617.9440937781783</v>
      </c>
      <c r="AR535" s="505">
        <f t="shared" si="96"/>
        <v>10651.465284040054</v>
      </c>
      <c r="AS535" s="505">
        <f t="shared" si="97"/>
        <v>12269.409377818232</v>
      </c>
      <c r="AT535" s="506">
        <f t="shared" si="98"/>
        <v>5673.5906221817677</v>
      </c>
    </row>
    <row r="536" spans="1:46">
      <c r="A536" s="341">
        <v>2112</v>
      </c>
      <c r="B536" s="345">
        <v>128860</v>
      </c>
      <c r="C536" s="341" t="s">
        <v>574</v>
      </c>
      <c r="D536" s="340" t="s">
        <v>953</v>
      </c>
      <c r="E536" s="341"/>
      <c r="F536" s="340"/>
      <c r="G536" s="340"/>
      <c r="H536" s="340">
        <v>0</v>
      </c>
      <c r="I536" s="340" t="s">
        <v>952</v>
      </c>
      <c r="J536" s="340"/>
      <c r="K536" s="340"/>
      <c r="L536" s="344">
        <v>42338</v>
      </c>
      <c r="M536" s="344">
        <v>42338</v>
      </c>
      <c r="N536" s="340" t="s">
        <v>951</v>
      </c>
      <c r="O536" s="341">
        <v>500</v>
      </c>
      <c r="P536" s="341">
        <v>14070</v>
      </c>
      <c r="Q536" s="342">
        <v>6914.84</v>
      </c>
      <c r="R536" s="341">
        <v>14076</v>
      </c>
      <c r="S536" s="342">
        <v>6914.84</v>
      </c>
      <c r="T536" s="342">
        <f t="shared" si="99"/>
        <v>0</v>
      </c>
      <c r="U536" s="343">
        <v>0</v>
      </c>
      <c r="V536" s="341">
        <v>51260</v>
      </c>
      <c r="W536" s="342">
        <v>0</v>
      </c>
      <c r="X536" s="340" t="s">
        <v>574</v>
      </c>
      <c r="Y536" s="340"/>
      <c r="Z536" s="340" t="s">
        <v>950</v>
      </c>
      <c r="AA536" s="340"/>
      <c r="AB536" s="340" t="s">
        <v>571</v>
      </c>
      <c r="AC536" s="340" t="s">
        <v>570</v>
      </c>
      <c r="AD536" s="341" t="s">
        <v>569</v>
      </c>
      <c r="AE536" s="340"/>
      <c r="AF536" s="341" t="s">
        <v>568</v>
      </c>
      <c r="AG536" s="340">
        <v>0</v>
      </c>
      <c r="AH536" s="340">
        <v>0</v>
      </c>
      <c r="AI536" s="377"/>
      <c r="AK536" s="493">
        <f t="shared" si="89"/>
        <v>11</v>
      </c>
      <c r="AL536" s="493">
        <f t="shared" si="90"/>
        <v>2015</v>
      </c>
      <c r="AM536" s="493">
        <f t="shared" si="91"/>
        <v>2020</v>
      </c>
      <c r="AN536" s="494">
        <f t="shared" si="92"/>
        <v>2020.9166666666667</v>
      </c>
      <c r="AO536" s="505">
        <f t="shared" si="93"/>
        <v>115.24733333333334</v>
      </c>
      <c r="AP536" s="505">
        <f t="shared" si="94"/>
        <v>1382.9680000000001</v>
      </c>
      <c r="AQ536" s="505">
        <f t="shared" si="95"/>
        <v>0</v>
      </c>
      <c r="AR536" s="505">
        <f t="shared" si="96"/>
        <v>6914.84</v>
      </c>
      <c r="AS536" s="505">
        <f t="shared" si="97"/>
        <v>6914.84</v>
      </c>
      <c r="AT536" s="506">
        <f t="shared" si="98"/>
        <v>0</v>
      </c>
    </row>
    <row r="537" spans="1:46">
      <c r="A537" s="341">
        <v>2112</v>
      </c>
      <c r="B537" s="345">
        <v>128144</v>
      </c>
      <c r="C537" s="341" t="s">
        <v>574</v>
      </c>
      <c r="D537" s="340" t="s">
        <v>949</v>
      </c>
      <c r="E537" s="341">
        <v>720</v>
      </c>
      <c r="F537" s="340"/>
      <c r="G537" s="340"/>
      <c r="H537" s="340">
        <v>0</v>
      </c>
      <c r="I537" s="340" t="s">
        <v>886</v>
      </c>
      <c r="J537" s="340"/>
      <c r="K537" s="340"/>
      <c r="L537" s="344">
        <v>42311</v>
      </c>
      <c r="M537" s="344">
        <v>42311</v>
      </c>
      <c r="N537" s="340" t="s">
        <v>948</v>
      </c>
      <c r="O537" s="341">
        <v>500</v>
      </c>
      <c r="P537" s="341">
        <v>14050</v>
      </c>
      <c r="Q537" s="342">
        <v>6126.77</v>
      </c>
      <c r="R537" s="341">
        <v>14056</v>
      </c>
      <c r="S537" s="342">
        <v>6126.77</v>
      </c>
      <c r="T537" s="342">
        <f t="shared" si="99"/>
        <v>0</v>
      </c>
      <c r="U537" s="343">
        <v>0</v>
      </c>
      <c r="V537" s="341">
        <v>54260</v>
      </c>
      <c r="W537" s="342">
        <v>0</v>
      </c>
      <c r="X537" s="340" t="s">
        <v>574</v>
      </c>
      <c r="Y537" s="340"/>
      <c r="Z537" s="340">
        <v>25199</v>
      </c>
      <c r="AA537" s="340"/>
      <c r="AB537" s="340" t="s">
        <v>571</v>
      </c>
      <c r="AC537" s="340" t="s">
        <v>570</v>
      </c>
      <c r="AD537" s="341" t="s">
        <v>569</v>
      </c>
      <c r="AE537" s="340"/>
      <c r="AF537" s="341" t="s">
        <v>568</v>
      </c>
      <c r="AG537" s="340">
        <v>0</v>
      </c>
      <c r="AH537" s="340">
        <v>0</v>
      </c>
      <c r="AI537" s="377"/>
      <c r="AK537" s="493">
        <f t="shared" si="89"/>
        <v>11</v>
      </c>
      <c r="AL537" s="493">
        <f t="shared" si="90"/>
        <v>2015</v>
      </c>
      <c r="AM537" s="493">
        <f t="shared" si="91"/>
        <v>2020</v>
      </c>
      <c r="AN537" s="494">
        <f t="shared" si="92"/>
        <v>2020.9166666666667</v>
      </c>
      <c r="AO537" s="505">
        <f t="shared" si="93"/>
        <v>102.11283333333334</v>
      </c>
      <c r="AP537" s="505">
        <f t="shared" si="94"/>
        <v>1225.354</v>
      </c>
      <c r="AQ537" s="505">
        <f t="shared" si="95"/>
        <v>0</v>
      </c>
      <c r="AR537" s="505">
        <f t="shared" si="96"/>
        <v>6126.77</v>
      </c>
      <c r="AS537" s="505">
        <f t="shared" si="97"/>
        <v>6126.77</v>
      </c>
      <c r="AT537" s="506">
        <f t="shared" si="98"/>
        <v>0</v>
      </c>
    </row>
    <row r="538" spans="1:46">
      <c r="A538" s="341">
        <v>2112</v>
      </c>
      <c r="B538" s="345">
        <v>126398</v>
      </c>
      <c r="C538" s="341" t="s">
        <v>574</v>
      </c>
      <c r="D538" s="340" t="s">
        <v>947</v>
      </c>
      <c r="E538" s="341"/>
      <c r="F538" s="340" t="s">
        <v>946</v>
      </c>
      <c r="G538" s="340" t="s">
        <v>945</v>
      </c>
      <c r="H538" s="340">
        <v>2016</v>
      </c>
      <c r="I538" s="340" t="s">
        <v>759</v>
      </c>
      <c r="J538" s="340" t="s">
        <v>855</v>
      </c>
      <c r="K538" s="340" t="s">
        <v>767</v>
      </c>
      <c r="L538" s="344">
        <v>42307</v>
      </c>
      <c r="M538" s="344">
        <v>42307</v>
      </c>
      <c r="N538" s="340" t="s">
        <v>944</v>
      </c>
      <c r="O538" s="341">
        <v>1000</v>
      </c>
      <c r="P538" s="341">
        <v>14040</v>
      </c>
      <c r="Q538" s="342">
        <v>345402.75</v>
      </c>
      <c r="R538" s="341">
        <v>14046</v>
      </c>
      <c r="S538" s="342">
        <v>267687.17</v>
      </c>
      <c r="T538" s="342">
        <f t="shared" si="99"/>
        <v>77715.580000000016</v>
      </c>
      <c r="U538" s="343">
        <v>20148.5</v>
      </c>
      <c r="V538" s="341">
        <v>51260</v>
      </c>
      <c r="W538" s="342">
        <v>2878.36</v>
      </c>
      <c r="X538" s="340" t="s">
        <v>574</v>
      </c>
      <c r="Y538" s="340"/>
      <c r="Z538" s="340" t="s">
        <v>943</v>
      </c>
      <c r="AA538" s="340">
        <v>885</v>
      </c>
      <c r="AB538" s="340" t="s">
        <v>571</v>
      </c>
      <c r="AC538" s="340" t="s">
        <v>570</v>
      </c>
      <c r="AD538" s="341" t="s">
        <v>569</v>
      </c>
      <c r="AE538" s="340"/>
      <c r="AF538" s="341" t="s">
        <v>568</v>
      </c>
      <c r="AG538" s="340">
        <v>0</v>
      </c>
      <c r="AH538" s="340">
        <v>0</v>
      </c>
      <c r="AI538" s="377"/>
      <c r="AK538" s="493">
        <f t="shared" si="89"/>
        <v>10</v>
      </c>
      <c r="AL538" s="493">
        <f t="shared" si="90"/>
        <v>2015</v>
      </c>
      <c r="AM538" s="493">
        <f t="shared" si="91"/>
        <v>2025</v>
      </c>
      <c r="AN538" s="494">
        <f t="shared" si="92"/>
        <v>2025.8333333333333</v>
      </c>
      <c r="AO538" s="505">
        <f t="shared" si="93"/>
        <v>2878.3562500000003</v>
      </c>
      <c r="AP538" s="505">
        <f t="shared" si="94"/>
        <v>34540.275000000001</v>
      </c>
      <c r="AQ538" s="505">
        <f t="shared" si="95"/>
        <v>34540.275000000001</v>
      </c>
      <c r="AR538" s="505">
        <f t="shared" si="96"/>
        <v>236025.2125000052</v>
      </c>
      <c r="AS538" s="505">
        <f t="shared" si="97"/>
        <v>270565.48750000523</v>
      </c>
      <c r="AT538" s="506">
        <f t="shared" si="98"/>
        <v>74837.262499994773</v>
      </c>
    </row>
    <row r="539" spans="1:46">
      <c r="A539" s="341">
        <v>2112</v>
      </c>
      <c r="B539" s="345">
        <v>125847</v>
      </c>
      <c r="C539" s="341">
        <v>42965</v>
      </c>
      <c r="D539" s="340" t="s">
        <v>942</v>
      </c>
      <c r="E539" s="341"/>
      <c r="F539" s="340"/>
      <c r="G539" s="340"/>
      <c r="H539" s="340">
        <v>0</v>
      </c>
      <c r="I539" s="340" t="s">
        <v>941</v>
      </c>
      <c r="J539" s="340"/>
      <c r="K539" s="340" t="s">
        <v>572</v>
      </c>
      <c r="L539" s="344">
        <v>42265</v>
      </c>
      <c r="M539" s="344">
        <v>42265</v>
      </c>
      <c r="N539" s="340" t="s">
        <v>940</v>
      </c>
      <c r="O539" s="341">
        <v>300</v>
      </c>
      <c r="P539" s="341">
        <v>14040</v>
      </c>
      <c r="Q539" s="342">
        <v>7579.79</v>
      </c>
      <c r="R539" s="341">
        <v>14046</v>
      </c>
      <c r="S539" s="342">
        <v>7579.79</v>
      </c>
      <c r="T539" s="342">
        <f t="shared" si="99"/>
        <v>0</v>
      </c>
      <c r="U539" s="343">
        <v>0</v>
      </c>
      <c r="V539" s="341">
        <v>51260</v>
      </c>
      <c r="W539" s="342">
        <v>0</v>
      </c>
      <c r="X539" s="340" t="s">
        <v>574</v>
      </c>
      <c r="Y539" s="340"/>
      <c r="Z539" s="340">
        <v>15655</v>
      </c>
      <c r="AA539" s="340"/>
      <c r="AB539" s="340" t="s">
        <v>571</v>
      </c>
      <c r="AC539" s="340" t="s">
        <v>570</v>
      </c>
      <c r="AD539" s="341" t="s">
        <v>569</v>
      </c>
      <c r="AE539" s="340"/>
      <c r="AF539" s="341" t="s">
        <v>568</v>
      </c>
      <c r="AG539" s="340">
        <v>0</v>
      </c>
      <c r="AH539" s="340">
        <v>0</v>
      </c>
      <c r="AI539" s="377"/>
      <c r="AK539" s="493">
        <f t="shared" si="89"/>
        <v>9</v>
      </c>
      <c r="AL539" s="493">
        <f t="shared" si="90"/>
        <v>2015</v>
      </c>
      <c r="AM539" s="493">
        <f t="shared" si="91"/>
        <v>2018</v>
      </c>
      <c r="AN539" s="494">
        <f t="shared" si="92"/>
        <v>2018.75</v>
      </c>
      <c r="AO539" s="505">
        <f t="shared" si="93"/>
        <v>210.54972222222224</v>
      </c>
      <c r="AP539" s="505">
        <f t="shared" si="94"/>
        <v>2526.5966666666668</v>
      </c>
      <c r="AQ539" s="505">
        <f t="shared" si="95"/>
        <v>0</v>
      </c>
      <c r="AR539" s="505">
        <f t="shared" si="96"/>
        <v>7579.79</v>
      </c>
      <c r="AS539" s="505">
        <f t="shared" si="97"/>
        <v>7579.79</v>
      </c>
      <c r="AT539" s="506">
        <f t="shared" si="98"/>
        <v>0</v>
      </c>
    </row>
    <row r="540" spans="1:46">
      <c r="A540" s="341">
        <v>2112</v>
      </c>
      <c r="B540" s="345">
        <v>124523</v>
      </c>
      <c r="C540" s="341" t="s">
        <v>574</v>
      </c>
      <c r="D540" s="340" t="s">
        <v>939</v>
      </c>
      <c r="E540" s="341">
        <v>20</v>
      </c>
      <c r="F540" s="340"/>
      <c r="G540" s="340"/>
      <c r="H540" s="340">
        <v>0</v>
      </c>
      <c r="I540" s="340" t="s">
        <v>707</v>
      </c>
      <c r="J540" s="340"/>
      <c r="K540" s="340" t="s">
        <v>671</v>
      </c>
      <c r="L540" s="344">
        <v>42216</v>
      </c>
      <c r="M540" s="344">
        <v>42216</v>
      </c>
      <c r="N540" s="340" t="s">
        <v>934</v>
      </c>
      <c r="O540" s="341">
        <v>1200</v>
      </c>
      <c r="P540" s="341">
        <v>14050</v>
      </c>
      <c r="Q540" s="342">
        <v>10639.46</v>
      </c>
      <c r="R540" s="341">
        <v>14056</v>
      </c>
      <c r="S540" s="342">
        <v>7092.97</v>
      </c>
      <c r="T540" s="342">
        <f t="shared" si="99"/>
        <v>3546.4899999999989</v>
      </c>
      <c r="U540" s="343">
        <v>517.20000000000005</v>
      </c>
      <c r="V540" s="341">
        <v>54260</v>
      </c>
      <c r="W540" s="342">
        <v>73.89</v>
      </c>
      <c r="X540" s="340" t="s">
        <v>574</v>
      </c>
      <c r="Y540" s="340"/>
      <c r="Z540" s="340">
        <v>1111112</v>
      </c>
      <c r="AA540" s="340"/>
      <c r="AB540" s="340" t="s">
        <v>571</v>
      </c>
      <c r="AC540" s="340" t="s">
        <v>570</v>
      </c>
      <c r="AD540" s="341" t="s">
        <v>569</v>
      </c>
      <c r="AE540" s="340"/>
      <c r="AF540" s="341" t="s">
        <v>568</v>
      </c>
      <c r="AG540" s="340">
        <v>0</v>
      </c>
      <c r="AH540" s="340">
        <v>0</v>
      </c>
      <c r="AI540" s="377"/>
      <c r="AK540" s="493">
        <f t="shared" si="89"/>
        <v>7</v>
      </c>
      <c r="AL540" s="493">
        <f t="shared" si="90"/>
        <v>2015</v>
      </c>
      <c r="AM540" s="493">
        <f t="shared" si="91"/>
        <v>2027</v>
      </c>
      <c r="AN540" s="494">
        <f t="shared" si="92"/>
        <v>2027.5833333333333</v>
      </c>
      <c r="AO540" s="505">
        <f t="shared" si="93"/>
        <v>73.885138888888875</v>
      </c>
      <c r="AP540" s="505">
        <f t="shared" si="94"/>
        <v>886.62166666666644</v>
      </c>
      <c r="AQ540" s="505">
        <f t="shared" si="95"/>
        <v>886.62166666666644</v>
      </c>
      <c r="AR540" s="505">
        <f t="shared" si="96"/>
        <v>6280.2368055556899</v>
      </c>
      <c r="AS540" s="505">
        <f t="shared" si="97"/>
        <v>7166.8584722223568</v>
      </c>
      <c r="AT540" s="506">
        <f t="shared" si="98"/>
        <v>3472.6015277776423</v>
      </c>
    </row>
    <row r="541" spans="1:46">
      <c r="A541" s="341">
        <v>2112</v>
      </c>
      <c r="B541" s="345">
        <v>124522</v>
      </c>
      <c r="C541" s="341" t="s">
        <v>574</v>
      </c>
      <c r="D541" s="340" t="s">
        <v>938</v>
      </c>
      <c r="E541" s="341">
        <v>10</v>
      </c>
      <c r="F541" s="340"/>
      <c r="G541" s="340"/>
      <c r="H541" s="340">
        <v>0</v>
      </c>
      <c r="I541" s="340" t="s">
        <v>707</v>
      </c>
      <c r="J541" s="340"/>
      <c r="K541" s="340" t="s">
        <v>578</v>
      </c>
      <c r="L541" s="344">
        <v>42216</v>
      </c>
      <c r="M541" s="344">
        <v>42216</v>
      </c>
      <c r="N541" s="340" t="s">
        <v>934</v>
      </c>
      <c r="O541" s="341">
        <v>1200</v>
      </c>
      <c r="P541" s="341">
        <v>14050</v>
      </c>
      <c r="Q541" s="342">
        <v>4401.04</v>
      </c>
      <c r="R541" s="341">
        <v>14056</v>
      </c>
      <c r="S541" s="342">
        <v>2934</v>
      </c>
      <c r="T541" s="342">
        <f t="shared" si="99"/>
        <v>1467.04</v>
      </c>
      <c r="U541" s="343">
        <v>213.94</v>
      </c>
      <c r="V541" s="341">
        <v>54260</v>
      </c>
      <c r="W541" s="342">
        <v>30.56</v>
      </c>
      <c r="X541" s="340" t="s">
        <v>574</v>
      </c>
      <c r="Y541" s="340"/>
      <c r="Z541" s="340">
        <v>111113</v>
      </c>
      <c r="AA541" s="340"/>
      <c r="AB541" s="340" t="s">
        <v>571</v>
      </c>
      <c r="AC541" s="340" t="s">
        <v>570</v>
      </c>
      <c r="AD541" s="341" t="s">
        <v>569</v>
      </c>
      <c r="AE541" s="340"/>
      <c r="AF541" s="341" t="s">
        <v>568</v>
      </c>
      <c r="AG541" s="340">
        <v>0</v>
      </c>
      <c r="AH541" s="340">
        <v>0</v>
      </c>
      <c r="AI541" s="377"/>
      <c r="AK541" s="493">
        <f t="shared" si="89"/>
        <v>7</v>
      </c>
      <c r="AL541" s="493">
        <f t="shared" si="90"/>
        <v>2015</v>
      </c>
      <c r="AM541" s="493">
        <f t="shared" si="91"/>
        <v>2027</v>
      </c>
      <c r="AN541" s="494">
        <f t="shared" si="92"/>
        <v>2027.5833333333333</v>
      </c>
      <c r="AO541" s="505">
        <f t="shared" si="93"/>
        <v>30.562777777777779</v>
      </c>
      <c r="AP541" s="505">
        <f t="shared" si="94"/>
        <v>366.75333333333333</v>
      </c>
      <c r="AQ541" s="505">
        <f t="shared" si="95"/>
        <v>366.75333333333333</v>
      </c>
      <c r="AR541" s="505">
        <f t="shared" si="96"/>
        <v>2597.8361111111667</v>
      </c>
      <c r="AS541" s="505">
        <f t="shared" si="97"/>
        <v>2964.5894444445003</v>
      </c>
      <c r="AT541" s="506">
        <f t="shared" si="98"/>
        <v>1436.4505555554997</v>
      </c>
    </row>
    <row r="542" spans="1:46">
      <c r="A542" s="341">
        <v>2112</v>
      </c>
      <c r="B542" s="345">
        <v>124065</v>
      </c>
      <c r="C542" s="341" t="s">
        <v>574</v>
      </c>
      <c r="D542" s="340" t="s">
        <v>937</v>
      </c>
      <c r="E542" s="341">
        <v>3</v>
      </c>
      <c r="F542" s="340"/>
      <c r="G542" s="340"/>
      <c r="H542" s="340">
        <v>0</v>
      </c>
      <c r="I542" s="340" t="s">
        <v>707</v>
      </c>
      <c r="J542" s="340"/>
      <c r="K542" s="340" t="s">
        <v>575</v>
      </c>
      <c r="L542" s="344">
        <v>42212</v>
      </c>
      <c r="M542" s="344">
        <v>42212</v>
      </c>
      <c r="N542" s="340" t="s">
        <v>936</v>
      </c>
      <c r="O542" s="341">
        <v>1200</v>
      </c>
      <c r="P542" s="341">
        <v>14050</v>
      </c>
      <c r="Q542" s="342">
        <v>16310</v>
      </c>
      <c r="R542" s="341">
        <v>14056</v>
      </c>
      <c r="S542" s="342">
        <v>10873.36</v>
      </c>
      <c r="T542" s="342">
        <f t="shared" si="99"/>
        <v>5436.6399999999994</v>
      </c>
      <c r="U542" s="343">
        <v>792.85</v>
      </c>
      <c r="V542" s="341">
        <v>54260</v>
      </c>
      <c r="W542" s="342">
        <v>113.26</v>
      </c>
      <c r="X542" s="340" t="s">
        <v>574</v>
      </c>
      <c r="Y542" s="340"/>
      <c r="Z542" s="340">
        <v>110938</v>
      </c>
      <c r="AA542" s="340"/>
      <c r="AB542" s="340" t="s">
        <v>571</v>
      </c>
      <c r="AC542" s="340" t="s">
        <v>570</v>
      </c>
      <c r="AD542" s="341" t="s">
        <v>569</v>
      </c>
      <c r="AE542" s="340"/>
      <c r="AF542" s="341" t="s">
        <v>568</v>
      </c>
      <c r="AG542" s="340">
        <v>0</v>
      </c>
      <c r="AH542" s="340">
        <v>0</v>
      </c>
      <c r="AI542" s="377"/>
      <c r="AK542" s="493">
        <f t="shared" si="89"/>
        <v>7</v>
      </c>
      <c r="AL542" s="493">
        <f t="shared" si="90"/>
        <v>2015</v>
      </c>
      <c r="AM542" s="493">
        <f t="shared" si="91"/>
        <v>2027</v>
      </c>
      <c r="AN542" s="494">
        <f t="shared" si="92"/>
        <v>2027.5833333333333</v>
      </c>
      <c r="AO542" s="505">
        <f t="shared" si="93"/>
        <v>113.2638888888889</v>
      </c>
      <c r="AP542" s="505">
        <f t="shared" si="94"/>
        <v>1359.1666666666667</v>
      </c>
      <c r="AQ542" s="505">
        <f t="shared" si="95"/>
        <v>1359.1666666666667</v>
      </c>
      <c r="AR542" s="505">
        <f t="shared" si="96"/>
        <v>9627.4305555557621</v>
      </c>
      <c r="AS542" s="505">
        <f t="shared" si="97"/>
        <v>10986.597222222428</v>
      </c>
      <c r="AT542" s="506">
        <f t="shared" si="98"/>
        <v>5323.4027777775718</v>
      </c>
    </row>
    <row r="543" spans="1:46">
      <c r="A543" s="341">
        <v>2112</v>
      </c>
      <c r="B543" s="345">
        <v>123923</v>
      </c>
      <c r="C543" s="341" t="s">
        <v>574</v>
      </c>
      <c r="D543" s="340" t="s">
        <v>935</v>
      </c>
      <c r="E543" s="341">
        <v>10</v>
      </c>
      <c r="F543" s="340"/>
      <c r="G543" s="340"/>
      <c r="H543" s="340">
        <v>0</v>
      </c>
      <c r="I543" s="340" t="s">
        <v>614</v>
      </c>
      <c r="J543" s="340"/>
      <c r="K543" s="340" t="s">
        <v>782</v>
      </c>
      <c r="L543" s="344">
        <v>42214</v>
      </c>
      <c r="M543" s="344">
        <v>42214</v>
      </c>
      <c r="N543" s="340" t="s">
        <v>934</v>
      </c>
      <c r="O543" s="341">
        <v>1200</v>
      </c>
      <c r="P543" s="341">
        <v>14050</v>
      </c>
      <c r="Q543" s="342">
        <v>6829.2</v>
      </c>
      <c r="R543" s="341">
        <v>14056</v>
      </c>
      <c r="S543" s="342">
        <v>4552.74</v>
      </c>
      <c r="T543" s="342">
        <f t="shared" si="99"/>
        <v>2276.46</v>
      </c>
      <c r="U543" s="343">
        <v>331.98</v>
      </c>
      <c r="V543" s="341">
        <v>54260</v>
      </c>
      <c r="W543" s="342">
        <v>47.43</v>
      </c>
      <c r="X543" s="340" t="s">
        <v>574</v>
      </c>
      <c r="Y543" s="340"/>
      <c r="Z543" s="340">
        <v>110077</v>
      </c>
      <c r="AA543" s="340"/>
      <c r="AB543" s="340" t="s">
        <v>571</v>
      </c>
      <c r="AC543" s="340" t="s">
        <v>570</v>
      </c>
      <c r="AD543" s="341" t="s">
        <v>569</v>
      </c>
      <c r="AE543" s="340"/>
      <c r="AF543" s="341" t="s">
        <v>568</v>
      </c>
      <c r="AG543" s="340">
        <v>0</v>
      </c>
      <c r="AH543" s="340">
        <v>0</v>
      </c>
      <c r="AI543" s="377"/>
      <c r="AK543" s="493">
        <f t="shared" si="89"/>
        <v>7</v>
      </c>
      <c r="AL543" s="493">
        <f t="shared" si="90"/>
        <v>2015</v>
      </c>
      <c r="AM543" s="493">
        <f t="shared" si="91"/>
        <v>2027</v>
      </c>
      <c r="AN543" s="494">
        <f t="shared" si="92"/>
        <v>2027.5833333333333</v>
      </c>
      <c r="AO543" s="505">
        <f t="shared" si="93"/>
        <v>47.425000000000004</v>
      </c>
      <c r="AP543" s="505">
        <f t="shared" si="94"/>
        <v>569.1</v>
      </c>
      <c r="AQ543" s="505">
        <f t="shared" si="95"/>
        <v>569.1</v>
      </c>
      <c r="AR543" s="505">
        <f t="shared" si="96"/>
        <v>4031.1250000000859</v>
      </c>
      <c r="AS543" s="505">
        <f t="shared" si="97"/>
        <v>4600.2250000000859</v>
      </c>
      <c r="AT543" s="506">
        <f t="shared" si="98"/>
        <v>2228.974999999914</v>
      </c>
    </row>
    <row r="544" spans="1:46">
      <c r="A544" s="341">
        <v>2112</v>
      </c>
      <c r="B544" s="345">
        <v>123532</v>
      </c>
      <c r="C544" s="341" t="s">
        <v>574</v>
      </c>
      <c r="D544" s="340" t="s">
        <v>310</v>
      </c>
      <c r="E544" s="341"/>
      <c r="F544" s="340"/>
      <c r="G544" s="340"/>
      <c r="H544" s="340">
        <v>0</v>
      </c>
      <c r="I544" s="340" t="s">
        <v>831</v>
      </c>
      <c r="J544" s="340"/>
      <c r="K544" s="340"/>
      <c r="L544" s="344">
        <v>42170</v>
      </c>
      <c r="M544" s="344">
        <v>42170</v>
      </c>
      <c r="N544" s="340" t="s">
        <v>933</v>
      </c>
      <c r="O544" s="341">
        <v>300</v>
      </c>
      <c r="P544" s="341">
        <v>14110</v>
      </c>
      <c r="Q544" s="342">
        <v>1032.77</v>
      </c>
      <c r="R544" s="341">
        <v>14116</v>
      </c>
      <c r="S544" s="342">
        <v>1032.77</v>
      </c>
      <c r="T544" s="342">
        <f t="shared" si="99"/>
        <v>0</v>
      </c>
      <c r="U544" s="343">
        <v>0</v>
      </c>
      <c r="V544" s="341">
        <v>70260</v>
      </c>
      <c r="W544" s="342">
        <v>0</v>
      </c>
      <c r="X544" s="340" t="s">
        <v>574</v>
      </c>
      <c r="Y544" s="340"/>
      <c r="Z544" s="340" t="s">
        <v>932</v>
      </c>
      <c r="AA544" s="340"/>
      <c r="AB544" s="340" t="s">
        <v>571</v>
      </c>
      <c r="AC544" s="340" t="s">
        <v>570</v>
      </c>
      <c r="AD544" s="341" t="s">
        <v>569</v>
      </c>
      <c r="AE544" s="340"/>
      <c r="AF544" s="341" t="s">
        <v>568</v>
      </c>
      <c r="AG544" s="340">
        <v>0</v>
      </c>
      <c r="AH544" s="340">
        <v>0</v>
      </c>
      <c r="AI544" s="377"/>
      <c r="AK544" s="493">
        <f t="shared" si="89"/>
        <v>6</v>
      </c>
      <c r="AL544" s="493">
        <f t="shared" si="90"/>
        <v>2015</v>
      </c>
      <c r="AM544" s="493">
        <f t="shared" si="91"/>
        <v>2018</v>
      </c>
      <c r="AN544" s="494">
        <f t="shared" si="92"/>
        <v>2018.5</v>
      </c>
      <c r="AO544" s="505">
        <f t="shared" si="93"/>
        <v>28.688055555555554</v>
      </c>
      <c r="AP544" s="505">
        <f t="shared" si="94"/>
        <v>344.25666666666666</v>
      </c>
      <c r="AQ544" s="505">
        <f t="shared" si="95"/>
        <v>0</v>
      </c>
      <c r="AR544" s="505">
        <f t="shared" si="96"/>
        <v>1032.77</v>
      </c>
      <c r="AS544" s="505">
        <f t="shared" si="97"/>
        <v>1032.77</v>
      </c>
      <c r="AT544" s="506">
        <f t="shared" si="98"/>
        <v>0</v>
      </c>
    </row>
    <row r="545" spans="1:46">
      <c r="A545" s="341">
        <v>2112</v>
      </c>
      <c r="B545" s="345">
        <v>123448</v>
      </c>
      <c r="C545" s="341" t="s">
        <v>574</v>
      </c>
      <c r="D545" s="340" t="s">
        <v>931</v>
      </c>
      <c r="E545" s="341">
        <v>595</v>
      </c>
      <c r="F545" s="340"/>
      <c r="G545" s="340"/>
      <c r="H545" s="340">
        <v>0</v>
      </c>
      <c r="I545" s="340" t="s">
        <v>930</v>
      </c>
      <c r="J545" s="340"/>
      <c r="K545" s="340"/>
      <c r="L545" s="344">
        <v>42170</v>
      </c>
      <c r="M545" s="344">
        <v>42170</v>
      </c>
      <c r="N545" s="340" t="s">
        <v>929</v>
      </c>
      <c r="O545" s="341">
        <v>700</v>
      </c>
      <c r="P545" s="341">
        <v>14050</v>
      </c>
      <c r="Q545" s="342">
        <v>31731.39</v>
      </c>
      <c r="R545" s="341">
        <v>14056</v>
      </c>
      <c r="S545" s="342">
        <v>31731.39</v>
      </c>
      <c r="T545" s="342">
        <f t="shared" si="99"/>
        <v>0</v>
      </c>
      <c r="U545" s="343">
        <v>0</v>
      </c>
      <c r="V545" s="341">
        <v>54260</v>
      </c>
      <c r="W545" s="342">
        <v>0</v>
      </c>
      <c r="X545" s="340" t="s">
        <v>574</v>
      </c>
      <c r="Y545" s="340"/>
      <c r="Z545" s="340">
        <v>65372154</v>
      </c>
      <c r="AA545" s="340"/>
      <c r="AB545" s="340" t="s">
        <v>571</v>
      </c>
      <c r="AC545" s="340" t="s">
        <v>570</v>
      </c>
      <c r="AD545" s="341" t="s">
        <v>569</v>
      </c>
      <c r="AE545" s="340"/>
      <c r="AF545" s="341" t="s">
        <v>568</v>
      </c>
      <c r="AG545" s="340">
        <v>0</v>
      </c>
      <c r="AH545" s="340">
        <v>0</v>
      </c>
      <c r="AI545" s="377"/>
      <c r="AK545" s="493">
        <f t="shared" si="89"/>
        <v>6</v>
      </c>
      <c r="AL545" s="493">
        <f t="shared" si="90"/>
        <v>2015</v>
      </c>
      <c r="AM545" s="493">
        <f t="shared" si="91"/>
        <v>2022</v>
      </c>
      <c r="AN545" s="494">
        <f t="shared" si="92"/>
        <v>2022.5</v>
      </c>
      <c r="AO545" s="505">
        <f t="shared" si="93"/>
        <v>377.75464285714287</v>
      </c>
      <c r="AP545" s="505">
        <f t="shared" si="94"/>
        <v>4533.0557142857142</v>
      </c>
      <c r="AQ545" s="505">
        <f t="shared" si="95"/>
        <v>0</v>
      </c>
      <c r="AR545" s="505">
        <f t="shared" si="96"/>
        <v>31731.39</v>
      </c>
      <c r="AS545" s="505">
        <f t="shared" si="97"/>
        <v>31731.39</v>
      </c>
      <c r="AT545" s="506">
        <f t="shared" si="98"/>
        <v>0</v>
      </c>
    </row>
    <row r="546" spans="1:46">
      <c r="A546" s="341">
        <v>2112</v>
      </c>
      <c r="B546" s="345">
        <v>123237</v>
      </c>
      <c r="C546" s="341" t="s">
        <v>574</v>
      </c>
      <c r="D546" s="340" t="s">
        <v>928</v>
      </c>
      <c r="E546" s="341">
        <v>720</v>
      </c>
      <c r="F546" s="340"/>
      <c r="G546" s="340"/>
      <c r="H546" s="340">
        <v>0</v>
      </c>
      <c r="I546" s="340" t="s">
        <v>927</v>
      </c>
      <c r="J546" s="340"/>
      <c r="K546" s="340"/>
      <c r="L546" s="344">
        <v>42170</v>
      </c>
      <c r="M546" s="344">
        <v>42170</v>
      </c>
      <c r="N546" s="340" t="s">
        <v>926</v>
      </c>
      <c r="O546" s="341">
        <v>700</v>
      </c>
      <c r="P546" s="341">
        <v>14050</v>
      </c>
      <c r="Q546" s="342">
        <v>31880.44</v>
      </c>
      <c r="R546" s="341">
        <v>14056</v>
      </c>
      <c r="S546" s="342">
        <v>31880.44</v>
      </c>
      <c r="T546" s="342">
        <f t="shared" si="99"/>
        <v>0</v>
      </c>
      <c r="U546" s="343">
        <v>0</v>
      </c>
      <c r="V546" s="341">
        <v>54260</v>
      </c>
      <c r="W546" s="342">
        <v>0</v>
      </c>
      <c r="X546" s="340" t="s">
        <v>574</v>
      </c>
      <c r="Y546" s="340"/>
      <c r="Z546" s="340" t="s">
        <v>925</v>
      </c>
      <c r="AA546" s="340"/>
      <c r="AB546" s="340" t="s">
        <v>571</v>
      </c>
      <c r="AC546" s="340" t="s">
        <v>570</v>
      </c>
      <c r="AD546" s="341" t="s">
        <v>569</v>
      </c>
      <c r="AE546" s="340"/>
      <c r="AF546" s="341" t="s">
        <v>568</v>
      </c>
      <c r="AG546" s="340">
        <v>0</v>
      </c>
      <c r="AH546" s="340">
        <v>0</v>
      </c>
      <c r="AI546" s="377"/>
      <c r="AK546" s="493">
        <f t="shared" si="89"/>
        <v>6</v>
      </c>
      <c r="AL546" s="493">
        <f t="shared" si="90"/>
        <v>2015</v>
      </c>
      <c r="AM546" s="493">
        <f t="shared" si="91"/>
        <v>2022</v>
      </c>
      <c r="AN546" s="494">
        <f t="shared" si="92"/>
        <v>2022.5</v>
      </c>
      <c r="AO546" s="505">
        <f t="shared" si="93"/>
        <v>379.52904761904762</v>
      </c>
      <c r="AP546" s="505">
        <f t="shared" si="94"/>
        <v>4554.3485714285716</v>
      </c>
      <c r="AQ546" s="505">
        <f t="shared" si="95"/>
        <v>0</v>
      </c>
      <c r="AR546" s="505">
        <f t="shared" si="96"/>
        <v>31880.44</v>
      </c>
      <c r="AS546" s="505">
        <f t="shared" si="97"/>
        <v>31880.44</v>
      </c>
      <c r="AT546" s="506">
        <f t="shared" si="98"/>
        <v>0</v>
      </c>
    </row>
    <row r="547" spans="1:46">
      <c r="A547" s="341">
        <v>2112</v>
      </c>
      <c r="B547" s="345">
        <v>122560</v>
      </c>
      <c r="C547" s="341" t="s">
        <v>574</v>
      </c>
      <c r="D547" s="340" t="s">
        <v>924</v>
      </c>
      <c r="E547" s="341"/>
      <c r="F547" s="340"/>
      <c r="G547" s="340"/>
      <c r="H547" s="340">
        <v>0</v>
      </c>
      <c r="I547" s="340"/>
      <c r="J547" s="340"/>
      <c r="K547" s="340"/>
      <c r="L547" s="344">
        <v>42124</v>
      </c>
      <c r="M547" s="344">
        <v>42124</v>
      </c>
      <c r="N547" s="340" t="s">
        <v>923</v>
      </c>
      <c r="O547" s="341">
        <v>500</v>
      </c>
      <c r="P547" s="341">
        <v>14100</v>
      </c>
      <c r="Q547" s="342">
        <v>13450.42</v>
      </c>
      <c r="R547" s="341">
        <v>14106</v>
      </c>
      <c r="S547" s="342">
        <v>13450.42</v>
      </c>
      <c r="T547" s="342">
        <f t="shared" si="99"/>
        <v>0</v>
      </c>
      <c r="U547" s="343">
        <v>0</v>
      </c>
      <c r="V547" s="341">
        <v>70260</v>
      </c>
      <c r="W547" s="342">
        <v>0</v>
      </c>
      <c r="X547" s="340" t="s">
        <v>574</v>
      </c>
      <c r="Y547" s="340"/>
      <c r="Z547" s="340">
        <v>28164</v>
      </c>
      <c r="AA547" s="340"/>
      <c r="AB547" s="340" t="s">
        <v>571</v>
      </c>
      <c r="AC547" s="340" t="s">
        <v>570</v>
      </c>
      <c r="AD547" s="341" t="s">
        <v>569</v>
      </c>
      <c r="AE547" s="340"/>
      <c r="AF547" s="341" t="s">
        <v>568</v>
      </c>
      <c r="AG547" s="340">
        <v>0</v>
      </c>
      <c r="AH547" s="340">
        <v>0</v>
      </c>
      <c r="AI547" s="377"/>
      <c r="AK547" s="493">
        <f t="shared" si="89"/>
        <v>4</v>
      </c>
      <c r="AL547" s="493">
        <f t="shared" si="90"/>
        <v>2015</v>
      </c>
      <c r="AM547" s="493">
        <f t="shared" si="91"/>
        <v>2020</v>
      </c>
      <c r="AN547" s="494">
        <f t="shared" si="92"/>
        <v>2020.3333333333333</v>
      </c>
      <c r="AO547" s="505">
        <f t="shared" si="93"/>
        <v>224.17366666666666</v>
      </c>
      <c r="AP547" s="505">
        <f t="shared" si="94"/>
        <v>2690.0839999999998</v>
      </c>
      <c r="AQ547" s="505">
        <f t="shared" si="95"/>
        <v>0</v>
      </c>
      <c r="AR547" s="505">
        <f t="shared" si="96"/>
        <v>13450.42</v>
      </c>
      <c r="AS547" s="505">
        <f t="shared" si="97"/>
        <v>13450.42</v>
      </c>
      <c r="AT547" s="506">
        <f t="shared" si="98"/>
        <v>0</v>
      </c>
    </row>
    <row r="548" spans="1:46">
      <c r="A548" s="341">
        <v>2112</v>
      </c>
      <c r="B548" s="345">
        <v>122103</v>
      </c>
      <c r="C548" s="341" t="s">
        <v>574</v>
      </c>
      <c r="D548" s="340" t="s">
        <v>922</v>
      </c>
      <c r="E548" s="341"/>
      <c r="F548" s="340"/>
      <c r="G548" s="340"/>
      <c r="H548" s="340">
        <v>0</v>
      </c>
      <c r="I548" s="340" t="s">
        <v>831</v>
      </c>
      <c r="J548" s="340"/>
      <c r="K548" s="340"/>
      <c r="L548" s="344">
        <v>42124</v>
      </c>
      <c r="M548" s="344">
        <v>42124</v>
      </c>
      <c r="N548" s="340" t="s">
        <v>921</v>
      </c>
      <c r="O548" s="341">
        <v>300</v>
      </c>
      <c r="P548" s="341">
        <v>14110</v>
      </c>
      <c r="Q548" s="342">
        <v>2289.54</v>
      </c>
      <c r="R548" s="341">
        <v>14116</v>
      </c>
      <c r="S548" s="342">
        <v>2289.54</v>
      </c>
      <c r="T548" s="342">
        <f t="shared" si="99"/>
        <v>0</v>
      </c>
      <c r="U548" s="343">
        <v>0</v>
      </c>
      <c r="V548" s="341">
        <v>70260</v>
      </c>
      <c r="W548" s="342">
        <v>0</v>
      </c>
      <c r="X548" s="340" t="s">
        <v>574</v>
      </c>
      <c r="Y548" s="340"/>
      <c r="Z548" s="340" t="s">
        <v>920</v>
      </c>
      <c r="AA548" s="340"/>
      <c r="AB548" s="340" t="s">
        <v>571</v>
      </c>
      <c r="AC548" s="340" t="s">
        <v>570</v>
      </c>
      <c r="AD548" s="341" t="s">
        <v>569</v>
      </c>
      <c r="AE548" s="340"/>
      <c r="AF548" s="341" t="s">
        <v>568</v>
      </c>
      <c r="AG548" s="340">
        <v>0</v>
      </c>
      <c r="AH548" s="340">
        <v>0</v>
      </c>
      <c r="AI548" s="377"/>
      <c r="AK548" s="493">
        <f t="shared" si="89"/>
        <v>4</v>
      </c>
      <c r="AL548" s="493">
        <f t="shared" si="90"/>
        <v>2015</v>
      </c>
      <c r="AM548" s="493">
        <f t="shared" si="91"/>
        <v>2018</v>
      </c>
      <c r="AN548" s="494">
        <f t="shared" si="92"/>
        <v>2018.3333333333333</v>
      </c>
      <c r="AO548" s="505">
        <f t="shared" si="93"/>
        <v>63.598333333333329</v>
      </c>
      <c r="AP548" s="505">
        <f t="shared" si="94"/>
        <v>763.18</v>
      </c>
      <c r="AQ548" s="505">
        <f t="shared" si="95"/>
        <v>0</v>
      </c>
      <c r="AR548" s="505">
        <f t="shared" si="96"/>
        <v>2289.54</v>
      </c>
      <c r="AS548" s="505">
        <f t="shared" si="97"/>
        <v>2289.54</v>
      </c>
      <c r="AT548" s="506">
        <f t="shared" si="98"/>
        <v>0</v>
      </c>
    </row>
    <row r="549" spans="1:46">
      <c r="A549" s="341">
        <v>2112</v>
      </c>
      <c r="B549" s="345">
        <v>120257</v>
      </c>
      <c r="C549" s="341" t="s">
        <v>574</v>
      </c>
      <c r="D549" s="340" t="s">
        <v>918</v>
      </c>
      <c r="E549" s="341">
        <v>720</v>
      </c>
      <c r="F549" s="340"/>
      <c r="G549" s="340"/>
      <c r="H549" s="340">
        <v>0</v>
      </c>
      <c r="I549" s="340" t="s">
        <v>886</v>
      </c>
      <c r="J549" s="340"/>
      <c r="K549" s="340"/>
      <c r="L549" s="344">
        <v>42035</v>
      </c>
      <c r="M549" s="344">
        <v>42035</v>
      </c>
      <c r="N549" s="340" t="s">
        <v>917</v>
      </c>
      <c r="O549" s="341">
        <v>500</v>
      </c>
      <c r="P549" s="341">
        <v>14050</v>
      </c>
      <c r="Q549" s="342">
        <v>6126.77</v>
      </c>
      <c r="R549" s="341">
        <v>14056</v>
      </c>
      <c r="S549" s="342">
        <v>6126.77</v>
      </c>
      <c r="T549" s="342">
        <f t="shared" si="99"/>
        <v>0</v>
      </c>
      <c r="U549" s="343">
        <v>0</v>
      </c>
      <c r="V549" s="341">
        <v>54260</v>
      </c>
      <c r="W549" s="342">
        <v>0</v>
      </c>
      <c r="X549" s="340" t="s">
        <v>574</v>
      </c>
      <c r="Y549" s="340"/>
      <c r="Z549" s="340">
        <v>24123</v>
      </c>
      <c r="AA549" s="340"/>
      <c r="AB549" s="340" t="s">
        <v>571</v>
      </c>
      <c r="AC549" s="340" t="s">
        <v>570</v>
      </c>
      <c r="AD549" s="341" t="s">
        <v>569</v>
      </c>
      <c r="AE549" s="340"/>
      <c r="AF549" s="341" t="s">
        <v>568</v>
      </c>
      <c r="AG549" s="340">
        <v>0</v>
      </c>
      <c r="AH549" s="340">
        <v>0</v>
      </c>
      <c r="AI549" s="377"/>
      <c r="AK549" s="493">
        <f t="shared" si="89"/>
        <v>1</v>
      </c>
      <c r="AL549" s="493">
        <f t="shared" si="90"/>
        <v>2015</v>
      </c>
      <c r="AM549" s="493">
        <f t="shared" si="91"/>
        <v>2020</v>
      </c>
      <c r="AN549" s="494">
        <f t="shared" si="92"/>
        <v>2020.0833333333333</v>
      </c>
      <c r="AO549" s="505">
        <f t="shared" si="93"/>
        <v>102.11283333333334</v>
      </c>
      <c r="AP549" s="505">
        <f t="shared" si="94"/>
        <v>1225.354</v>
      </c>
      <c r="AQ549" s="505">
        <f t="shared" si="95"/>
        <v>0</v>
      </c>
      <c r="AR549" s="505">
        <f t="shared" si="96"/>
        <v>6126.77</v>
      </c>
      <c r="AS549" s="505">
        <f t="shared" si="97"/>
        <v>6126.77</v>
      </c>
      <c r="AT549" s="506">
        <f t="shared" si="98"/>
        <v>0</v>
      </c>
    </row>
    <row r="550" spans="1:46">
      <c r="A550" s="341">
        <v>2112</v>
      </c>
      <c r="B550" s="345">
        <v>118536</v>
      </c>
      <c r="C550" s="341" t="s">
        <v>574</v>
      </c>
      <c r="D550" s="340" t="s">
        <v>307</v>
      </c>
      <c r="E550" s="341"/>
      <c r="F550" s="340"/>
      <c r="G550" s="340"/>
      <c r="H550" s="340">
        <v>0</v>
      </c>
      <c r="I550" s="340" t="s">
        <v>916</v>
      </c>
      <c r="J550" s="340"/>
      <c r="K550" s="340"/>
      <c r="L550" s="344">
        <v>41831</v>
      </c>
      <c r="M550" s="344">
        <v>41831</v>
      </c>
      <c r="N550" s="340" t="s">
        <v>915</v>
      </c>
      <c r="O550" s="341">
        <v>500</v>
      </c>
      <c r="P550" s="341">
        <v>14070</v>
      </c>
      <c r="Q550" s="342">
        <v>825</v>
      </c>
      <c r="R550" s="341">
        <v>14076</v>
      </c>
      <c r="S550" s="342">
        <v>825</v>
      </c>
      <c r="T550" s="342">
        <f t="shared" si="99"/>
        <v>0</v>
      </c>
      <c r="U550" s="343">
        <v>0</v>
      </c>
      <c r="V550" s="341">
        <v>51260</v>
      </c>
      <c r="W550" s="342">
        <v>0</v>
      </c>
      <c r="X550" s="340" t="s">
        <v>574</v>
      </c>
      <c r="Y550" s="340"/>
      <c r="Z550" s="340" t="s">
        <v>914</v>
      </c>
      <c r="AA550" s="340"/>
      <c r="AB550" s="340" t="s">
        <v>571</v>
      </c>
      <c r="AC550" s="340" t="s">
        <v>570</v>
      </c>
      <c r="AD550" s="341" t="s">
        <v>569</v>
      </c>
      <c r="AE550" s="346">
        <v>42004</v>
      </c>
      <c r="AF550" s="341" t="s">
        <v>568</v>
      </c>
      <c r="AG550" s="340">
        <v>0</v>
      </c>
      <c r="AH550" s="340">
        <v>137.5</v>
      </c>
      <c r="AI550" s="377"/>
      <c r="AK550" s="493">
        <f t="shared" si="89"/>
        <v>7</v>
      </c>
      <c r="AL550" s="493">
        <f t="shared" si="90"/>
        <v>2014</v>
      </c>
      <c r="AM550" s="493">
        <f t="shared" si="91"/>
        <v>2019</v>
      </c>
      <c r="AN550" s="494">
        <f t="shared" si="92"/>
        <v>2019.5833333333333</v>
      </c>
      <c r="AO550" s="505">
        <f t="shared" si="93"/>
        <v>13.75</v>
      </c>
      <c r="AP550" s="505">
        <f t="shared" si="94"/>
        <v>165</v>
      </c>
      <c r="AQ550" s="505">
        <f t="shared" si="95"/>
        <v>0</v>
      </c>
      <c r="AR550" s="505">
        <f t="shared" si="96"/>
        <v>825</v>
      </c>
      <c r="AS550" s="505">
        <f t="shared" si="97"/>
        <v>825</v>
      </c>
      <c r="AT550" s="506">
        <f t="shared" si="98"/>
        <v>0</v>
      </c>
    </row>
    <row r="551" spans="1:46">
      <c r="A551" s="341">
        <v>2112</v>
      </c>
      <c r="B551" s="345">
        <v>118074</v>
      </c>
      <c r="C551" s="341">
        <v>42965</v>
      </c>
      <c r="D551" s="340" t="s">
        <v>913</v>
      </c>
      <c r="E551" s="341"/>
      <c r="F551" s="340"/>
      <c r="G551" s="340"/>
      <c r="H551" s="340">
        <v>0</v>
      </c>
      <c r="I551" s="340"/>
      <c r="J551" s="340"/>
      <c r="K551" s="340" t="s">
        <v>572</v>
      </c>
      <c r="L551" s="344">
        <v>42004</v>
      </c>
      <c r="M551" s="344">
        <v>42004</v>
      </c>
      <c r="N551" s="340" t="s">
        <v>912</v>
      </c>
      <c r="O551" s="341">
        <v>300</v>
      </c>
      <c r="P551" s="341">
        <v>14040</v>
      </c>
      <c r="Q551" s="342">
        <v>6532.56</v>
      </c>
      <c r="R551" s="341">
        <v>14046</v>
      </c>
      <c r="S551" s="342">
        <v>6532.56</v>
      </c>
      <c r="T551" s="342">
        <f t="shared" si="99"/>
        <v>0</v>
      </c>
      <c r="U551" s="343">
        <v>0</v>
      </c>
      <c r="V551" s="341">
        <v>51260</v>
      </c>
      <c r="W551" s="342">
        <v>0</v>
      </c>
      <c r="X551" s="340" t="s">
        <v>574</v>
      </c>
      <c r="Y551" s="340"/>
      <c r="Z551" s="340"/>
      <c r="AA551" s="340"/>
      <c r="AB551" s="340" t="s">
        <v>571</v>
      </c>
      <c r="AC551" s="340" t="s">
        <v>570</v>
      </c>
      <c r="AD551" s="341" t="s">
        <v>569</v>
      </c>
      <c r="AE551" s="340"/>
      <c r="AF551" s="341" t="s">
        <v>568</v>
      </c>
      <c r="AG551" s="340">
        <v>0</v>
      </c>
      <c r="AH551" s="340">
        <v>0</v>
      </c>
      <c r="AI551" s="377"/>
      <c r="AK551" s="493">
        <f t="shared" si="89"/>
        <v>12</v>
      </c>
      <c r="AL551" s="493">
        <f t="shared" si="90"/>
        <v>2014</v>
      </c>
      <c r="AM551" s="493">
        <f t="shared" si="91"/>
        <v>2017</v>
      </c>
      <c r="AN551" s="494">
        <f t="shared" si="92"/>
        <v>2018</v>
      </c>
      <c r="AO551" s="505">
        <f t="shared" si="93"/>
        <v>181.46</v>
      </c>
      <c r="AP551" s="505">
        <f t="shared" si="94"/>
        <v>2177.52</v>
      </c>
      <c r="AQ551" s="505">
        <f t="shared" si="95"/>
        <v>0</v>
      </c>
      <c r="AR551" s="505">
        <f t="shared" si="96"/>
        <v>6532.56</v>
      </c>
      <c r="AS551" s="505">
        <f t="shared" si="97"/>
        <v>6532.56</v>
      </c>
      <c r="AT551" s="506">
        <f t="shared" si="98"/>
        <v>0</v>
      </c>
    </row>
    <row r="552" spans="1:46">
      <c r="A552" s="341">
        <v>2112</v>
      </c>
      <c r="B552" s="345">
        <v>117317</v>
      </c>
      <c r="C552" s="341" t="s">
        <v>574</v>
      </c>
      <c r="D552" s="340" t="s">
        <v>911</v>
      </c>
      <c r="E552" s="341">
        <v>0</v>
      </c>
      <c r="F552" s="340" t="s">
        <v>910</v>
      </c>
      <c r="G552" s="340" t="s">
        <v>909</v>
      </c>
      <c r="H552" s="340">
        <v>2015</v>
      </c>
      <c r="I552" s="340" t="s">
        <v>908</v>
      </c>
      <c r="J552" s="340" t="s">
        <v>907</v>
      </c>
      <c r="K552" s="340" t="s">
        <v>906</v>
      </c>
      <c r="L552" s="344">
        <v>41958</v>
      </c>
      <c r="M552" s="344">
        <v>41958</v>
      </c>
      <c r="N552" s="340" t="s">
        <v>905</v>
      </c>
      <c r="O552" s="341">
        <v>1000</v>
      </c>
      <c r="P552" s="341">
        <v>14040</v>
      </c>
      <c r="Q552" s="342">
        <v>228768.45</v>
      </c>
      <c r="R552" s="341">
        <v>14046</v>
      </c>
      <c r="S552" s="342">
        <v>200172.44</v>
      </c>
      <c r="T552" s="342">
        <f t="shared" si="99"/>
        <v>28596.010000000009</v>
      </c>
      <c r="U552" s="343">
        <v>13344.83</v>
      </c>
      <c r="V552" s="341">
        <v>51260</v>
      </c>
      <c r="W552" s="342">
        <v>1906.4</v>
      </c>
      <c r="X552" s="340" t="s">
        <v>574</v>
      </c>
      <c r="Y552" s="340"/>
      <c r="Z552" s="340"/>
      <c r="AA552" s="340">
        <v>665</v>
      </c>
      <c r="AB552" s="340" t="s">
        <v>571</v>
      </c>
      <c r="AC552" s="340" t="s">
        <v>570</v>
      </c>
      <c r="AD552" s="341" t="s">
        <v>569</v>
      </c>
      <c r="AE552" s="340"/>
      <c r="AF552" s="341" t="s">
        <v>568</v>
      </c>
      <c r="AG552" s="340">
        <v>0</v>
      </c>
      <c r="AH552" s="340">
        <v>0</v>
      </c>
      <c r="AI552" s="377"/>
      <c r="AK552" s="493">
        <f t="shared" si="89"/>
        <v>11</v>
      </c>
      <c r="AL552" s="493">
        <f t="shared" si="90"/>
        <v>2014</v>
      </c>
      <c r="AM552" s="493">
        <f t="shared" si="91"/>
        <v>2024</v>
      </c>
      <c r="AN552" s="494">
        <f t="shared" si="92"/>
        <v>2024.9166666666667</v>
      </c>
      <c r="AO552" s="505">
        <f t="shared" si="93"/>
        <v>1906.4037500000002</v>
      </c>
      <c r="AP552" s="505">
        <f t="shared" si="94"/>
        <v>22876.845000000001</v>
      </c>
      <c r="AQ552" s="505">
        <f t="shared" si="95"/>
        <v>22876.845000000001</v>
      </c>
      <c r="AR552" s="505">
        <f t="shared" si="96"/>
        <v>177295.54875000002</v>
      </c>
      <c r="AS552" s="505">
        <f t="shared" si="97"/>
        <v>200172.39375000002</v>
      </c>
      <c r="AT552" s="506">
        <f t="shared" si="98"/>
        <v>28596.056249999994</v>
      </c>
    </row>
    <row r="553" spans="1:46">
      <c r="A553" s="341">
        <v>2112</v>
      </c>
      <c r="B553" s="345">
        <v>116677</v>
      </c>
      <c r="C553" s="341" t="s">
        <v>574</v>
      </c>
      <c r="D553" s="340" t="s">
        <v>904</v>
      </c>
      <c r="E553" s="341">
        <v>243</v>
      </c>
      <c r="F553" s="340"/>
      <c r="G553" s="340"/>
      <c r="H553" s="340">
        <v>0</v>
      </c>
      <c r="I553" s="340" t="s">
        <v>730</v>
      </c>
      <c r="J553" s="340"/>
      <c r="K553" s="340"/>
      <c r="L553" s="344">
        <v>41913</v>
      </c>
      <c r="M553" s="344">
        <v>41913</v>
      </c>
      <c r="N553" s="340" t="s">
        <v>903</v>
      </c>
      <c r="O553" s="341">
        <v>700</v>
      </c>
      <c r="P553" s="341">
        <v>14050</v>
      </c>
      <c r="Q553" s="342">
        <v>10433.780000000001</v>
      </c>
      <c r="R553" s="341">
        <v>14056</v>
      </c>
      <c r="S553" s="342">
        <v>10433.780000000001</v>
      </c>
      <c r="T553" s="342">
        <f t="shared" si="99"/>
        <v>0</v>
      </c>
      <c r="U553" s="343">
        <v>0</v>
      </c>
      <c r="V553" s="341">
        <v>54260</v>
      </c>
      <c r="W553" s="342">
        <v>0</v>
      </c>
      <c r="X553" s="340" t="s">
        <v>574</v>
      </c>
      <c r="Y553" s="340"/>
      <c r="Z553" s="340" t="s">
        <v>902</v>
      </c>
      <c r="AA553" s="340"/>
      <c r="AB553" s="340" t="s">
        <v>571</v>
      </c>
      <c r="AC553" s="340" t="s">
        <v>570</v>
      </c>
      <c r="AD553" s="341" t="s">
        <v>569</v>
      </c>
      <c r="AE553" s="340"/>
      <c r="AF553" s="341" t="s">
        <v>568</v>
      </c>
      <c r="AG553" s="340">
        <v>0</v>
      </c>
      <c r="AH553" s="340">
        <v>0</v>
      </c>
      <c r="AI553" s="377"/>
      <c r="AK553" s="493">
        <f t="shared" si="89"/>
        <v>10</v>
      </c>
      <c r="AL553" s="493">
        <f t="shared" si="90"/>
        <v>2014</v>
      </c>
      <c r="AM553" s="493">
        <f t="shared" si="91"/>
        <v>2021</v>
      </c>
      <c r="AN553" s="494">
        <f t="shared" si="92"/>
        <v>2021.8333333333333</v>
      </c>
      <c r="AO553" s="505">
        <f t="shared" si="93"/>
        <v>124.21166666666669</v>
      </c>
      <c r="AP553" s="505">
        <f t="shared" si="94"/>
        <v>1490.5400000000002</v>
      </c>
      <c r="AQ553" s="505">
        <f t="shared" si="95"/>
        <v>0</v>
      </c>
      <c r="AR553" s="505">
        <f t="shared" si="96"/>
        <v>10433.780000000001</v>
      </c>
      <c r="AS553" s="505">
        <f t="shared" si="97"/>
        <v>10433.780000000001</v>
      </c>
      <c r="AT553" s="506">
        <f t="shared" si="98"/>
        <v>0</v>
      </c>
    </row>
    <row r="554" spans="1:46">
      <c r="A554" s="341">
        <v>2112</v>
      </c>
      <c r="B554" s="345">
        <v>116107</v>
      </c>
      <c r="C554" s="341">
        <v>115374</v>
      </c>
      <c r="D554" s="340" t="s">
        <v>901</v>
      </c>
      <c r="E554" s="341"/>
      <c r="F554" s="340"/>
      <c r="G554" s="340"/>
      <c r="H554" s="340">
        <v>0</v>
      </c>
      <c r="I554" s="340" t="s">
        <v>831</v>
      </c>
      <c r="J554" s="340"/>
      <c r="K554" s="340"/>
      <c r="L554" s="344">
        <v>41865</v>
      </c>
      <c r="M554" s="344">
        <v>41865</v>
      </c>
      <c r="N554" s="340" t="s">
        <v>898</v>
      </c>
      <c r="O554" s="341">
        <v>300</v>
      </c>
      <c r="P554" s="341">
        <v>14110</v>
      </c>
      <c r="Q554" s="342">
        <v>103.54</v>
      </c>
      <c r="R554" s="341">
        <v>14116</v>
      </c>
      <c r="S554" s="342">
        <v>103.54</v>
      </c>
      <c r="T554" s="342">
        <f t="shared" si="99"/>
        <v>0</v>
      </c>
      <c r="U554" s="343">
        <v>0</v>
      </c>
      <c r="V554" s="341">
        <v>70260</v>
      </c>
      <c r="W554" s="342">
        <v>0</v>
      </c>
      <c r="X554" s="340" t="s">
        <v>574</v>
      </c>
      <c r="Y554" s="340"/>
      <c r="Z554" s="340" t="s">
        <v>900</v>
      </c>
      <c r="AA554" s="340"/>
      <c r="AB554" s="340" t="s">
        <v>571</v>
      </c>
      <c r="AC554" s="340" t="s">
        <v>570</v>
      </c>
      <c r="AD554" s="341" t="s">
        <v>569</v>
      </c>
      <c r="AE554" s="340"/>
      <c r="AF554" s="341" t="s">
        <v>568</v>
      </c>
      <c r="AG554" s="340">
        <v>0</v>
      </c>
      <c r="AH554" s="340">
        <v>0</v>
      </c>
      <c r="AI554" s="377"/>
      <c r="AK554" s="493">
        <f t="shared" si="89"/>
        <v>8</v>
      </c>
      <c r="AL554" s="493">
        <f t="shared" si="90"/>
        <v>2014</v>
      </c>
      <c r="AM554" s="493">
        <f t="shared" si="91"/>
        <v>2017</v>
      </c>
      <c r="AN554" s="494">
        <f t="shared" si="92"/>
        <v>2017.6666666666667</v>
      </c>
      <c r="AO554" s="505">
        <f t="shared" si="93"/>
        <v>2.8761111111111113</v>
      </c>
      <c r="AP554" s="505">
        <f t="shared" si="94"/>
        <v>34.513333333333335</v>
      </c>
      <c r="AQ554" s="505">
        <f t="shared" si="95"/>
        <v>0</v>
      </c>
      <c r="AR554" s="505">
        <f t="shared" si="96"/>
        <v>103.54</v>
      </c>
      <c r="AS554" s="505">
        <f t="shared" si="97"/>
        <v>103.54</v>
      </c>
      <c r="AT554" s="506">
        <f t="shared" si="98"/>
        <v>0</v>
      </c>
    </row>
    <row r="555" spans="1:46">
      <c r="A555" s="341">
        <v>2112</v>
      </c>
      <c r="B555" s="345">
        <v>115374</v>
      </c>
      <c r="C555" s="341" t="s">
        <v>574</v>
      </c>
      <c r="D555" s="340" t="s">
        <v>899</v>
      </c>
      <c r="E555" s="341"/>
      <c r="F555" s="340"/>
      <c r="G555" s="340"/>
      <c r="H555" s="340">
        <v>0</v>
      </c>
      <c r="I555" s="340" t="s">
        <v>831</v>
      </c>
      <c r="J555" s="340"/>
      <c r="K555" s="340"/>
      <c r="L555" s="344">
        <v>41865</v>
      </c>
      <c r="M555" s="344">
        <v>41865</v>
      </c>
      <c r="N555" s="340" t="s">
        <v>898</v>
      </c>
      <c r="O555" s="341">
        <v>300</v>
      </c>
      <c r="P555" s="341">
        <v>14110</v>
      </c>
      <c r="Q555" s="342">
        <v>750.03</v>
      </c>
      <c r="R555" s="341">
        <v>14116</v>
      </c>
      <c r="S555" s="342">
        <v>750.03</v>
      </c>
      <c r="T555" s="342">
        <f t="shared" si="99"/>
        <v>0</v>
      </c>
      <c r="U555" s="343">
        <v>0</v>
      </c>
      <c r="V555" s="341">
        <v>70260</v>
      </c>
      <c r="W555" s="342">
        <v>0</v>
      </c>
      <c r="X555" s="340" t="s">
        <v>574</v>
      </c>
      <c r="Y555" s="340"/>
      <c r="Z555" s="340" t="s">
        <v>897</v>
      </c>
      <c r="AA555" s="340"/>
      <c r="AB555" s="340" t="s">
        <v>571</v>
      </c>
      <c r="AC555" s="340" t="s">
        <v>570</v>
      </c>
      <c r="AD555" s="341" t="s">
        <v>569</v>
      </c>
      <c r="AE555" s="340"/>
      <c r="AF555" s="341" t="s">
        <v>568</v>
      </c>
      <c r="AG555" s="340">
        <v>0</v>
      </c>
      <c r="AH555" s="340">
        <v>0</v>
      </c>
      <c r="AI555" s="377"/>
      <c r="AK555" s="493">
        <f t="shared" si="89"/>
        <v>8</v>
      </c>
      <c r="AL555" s="493">
        <f t="shared" si="90"/>
        <v>2014</v>
      </c>
      <c r="AM555" s="493">
        <f t="shared" si="91"/>
        <v>2017</v>
      </c>
      <c r="AN555" s="494">
        <f t="shared" si="92"/>
        <v>2017.6666666666667</v>
      </c>
      <c r="AO555" s="505">
        <f t="shared" si="93"/>
        <v>20.834166666666665</v>
      </c>
      <c r="AP555" s="505">
        <f t="shared" si="94"/>
        <v>250.01</v>
      </c>
      <c r="AQ555" s="505">
        <f t="shared" si="95"/>
        <v>0</v>
      </c>
      <c r="AR555" s="505">
        <f t="shared" si="96"/>
        <v>750.03</v>
      </c>
      <c r="AS555" s="505">
        <f t="shared" si="97"/>
        <v>750.03</v>
      </c>
      <c r="AT555" s="506">
        <f t="shared" si="98"/>
        <v>0</v>
      </c>
    </row>
    <row r="556" spans="1:46">
      <c r="A556" s="341">
        <v>2112</v>
      </c>
      <c r="B556" s="345">
        <v>114877</v>
      </c>
      <c r="C556" s="341" t="s">
        <v>574</v>
      </c>
      <c r="D556" s="340" t="s">
        <v>896</v>
      </c>
      <c r="E556" s="341">
        <v>0</v>
      </c>
      <c r="F556" s="340" t="s">
        <v>895</v>
      </c>
      <c r="G556" s="340" t="s">
        <v>894</v>
      </c>
      <c r="H556" s="340">
        <v>2002</v>
      </c>
      <c r="I556" s="340" t="s">
        <v>893</v>
      </c>
      <c r="J556" s="340" t="s">
        <v>801</v>
      </c>
      <c r="K556" s="340" t="s">
        <v>800</v>
      </c>
      <c r="L556" s="344">
        <v>38243</v>
      </c>
      <c r="M556" s="344">
        <v>38243</v>
      </c>
      <c r="N556" s="340">
        <v>42160003</v>
      </c>
      <c r="O556" s="341">
        <v>300</v>
      </c>
      <c r="P556" s="341">
        <v>14040</v>
      </c>
      <c r="Q556" s="342">
        <v>19000</v>
      </c>
      <c r="R556" s="341">
        <v>14046</v>
      </c>
      <c r="S556" s="342">
        <v>19000</v>
      </c>
      <c r="T556" s="342">
        <f t="shared" si="99"/>
        <v>0</v>
      </c>
      <c r="U556" s="343">
        <v>0</v>
      </c>
      <c r="V556" s="341">
        <v>51260</v>
      </c>
      <c r="W556" s="342">
        <v>0</v>
      </c>
      <c r="X556" s="340" t="s">
        <v>574</v>
      </c>
      <c r="Y556" s="340">
        <v>0</v>
      </c>
      <c r="Z556" s="346">
        <v>38243</v>
      </c>
      <c r="AA556" s="340">
        <v>8</v>
      </c>
      <c r="AB556" s="340" t="s">
        <v>571</v>
      </c>
      <c r="AC556" s="340" t="s">
        <v>570</v>
      </c>
      <c r="AD556" s="341" t="s">
        <v>569</v>
      </c>
      <c r="AE556" s="346">
        <v>41851</v>
      </c>
      <c r="AF556" s="341" t="s">
        <v>568</v>
      </c>
      <c r="AG556" s="340">
        <v>0</v>
      </c>
      <c r="AH556" s="340">
        <v>19000</v>
      </c>
      <c r="AI556" s="377"/>
      <c r="AK556" s="493">
        <f t="shared" si="89"/>
        <v>9</v>
      </c>
      <c r="AL556" s="493">
        <f t="shared" si="90"/>
        <v>2004</v>
      </c>
      <c r="AM556" s="493">
        <f t="shared" si="91"/>
        <v>2007</v>
      </c>
      <c r="AN556" s="494">
        <f t="shared" si="92"/>
        <v>2007.75</v>
      </c>
      <c r="AO556" s="505">
        <f t="shared" si="93"/>
        <v>527.77777777777771</v>
      </c>
      <c r="AP556" s="505">
        <f t="shared" si="94"/>
        <v>6333.3333333333321</v>
      </c>
      <c r="AQ556" s="505">
        <f t="shared" si="95"/>
        <v>0</v>
      </c>
      <c r="AR556" s="505">
        <f t="shared" si="96"/>
        <v>19000</v>
      </c>
      <c r="AS556" s="505">
        <f t="shared" si="97"/>
        <v>19000</v>
      </c>
      <c r="AT556" s="506">
        <f t="shared" si="98"/>
        <v>0</v>
      </c>
    </row>
    <row r="557" spans="1:46">
      <c r="A557" s="341">
        <v>2112</v>
      </c>
      <c r="B557" s="345">
        <v>113266</v>
      </c>
      <c r="C557" s="341" t="s">
        <v>574</v>
      </c>
      <c r="D557" s="340" t="s">
        <v>281</v>
      </c>
      <c r="E557" s="341">
        <v>1</v>
      </c>
      <c r="F557" s="340"/>
      <c r="G557" s="340"/>
      <c r="H557" s="340">
        <v>0</v>
      </c>
      <c r="I557" s="340" t="s">
        <v>831</v>
      </c>
      <c r="J557" s="340"/>
      <c r="K557" s="340"/>
      <c r="L557" s="344">
        <v>41749</v>
      </c>
      <c r="M557" s="344">
        <v>41749</v>
      </c>
      <c r="N557" s="340" t="s">
        <v>892</v>
      </c>
      <c r="O557" s="341">
        <v>300</v>
      </c>
      <c r="P557" s="341">
        <v>14110</v>
      </c>
      <c r="Q557" s="342">
        <v>332.17</v>
      </c>
      <c r="R557" s="341">
        <v>14116</v>
      </c>
      <c r="S557" s="342">
        <v>332.17</v>
      </c>
      <c r="T557" s="342">
        <f t="shared" si="99"/>
        <v>0</v>
      </c>
      <c r="U557" s="343">
        <v>0</v>
      </c>
      <c r="V557" s="341">
        <v>70260</v>
      </c>
      <c r="W557" s="342">
        <v>0</v>
      </c>
      <c r="X557" s="340" t="s">
        <v>574</v>
      </c>
      <c r="Y557" s="340"/>
      <c r="Z557" s="340" t="s">
        <v>891</v>
      </c>
      <c r="AA557" s="340"/>
      <c r="AB557" s="340" t="s">
        <v>571</v>
      </c>
      <c r="AC557" s="340" t="s">
        <v>570</v>
      </c>
      <c r="AD557" s="341" t="s">
        <v>569</v>
      </c>
      <c r="AE557" s="340"/>
      <c r="AF557" s="341" t="s">
        <v>568</v>
      </c>
      <c r="AG557" s="340">
        <v>0</v>
      </c>
      <c r="AH557" s="340">
        <v>0</v>
      </c>
      <c r="AI557" s="377"/>
      <c r="AK557" s="493">
        <f t="shared" si="89"/>
        <v>4</v>
      </c>
      <c r="AL557" s="493">
        <f t="shared" si="90"/>
        <v>2014</v>
      </c>
      <c r="AM557" s="493">
        <f t="shared" si="91"/>
        <v>2017</v>
      </c>
      <c r="AN557" s="494">
        <f t="shared" si="92"/>
        <v>2017.3333333333333</v>
      </c>
      <c r="AO557" s="505">
        <f t="shared" si="93"/>
        <v>9.2269444444444453</v>
      </c>
      <c r="AP557" s="505">
        <f t="shared" si="94"/>
        <v>110.72333333333334</v>
      </c>
      <c r="AQ557" s="505">
        <f t="shared" si="95"/>
        <v>0</v>
      </c>
      <c r="AR557" s="505">
        <f t="shared" si="96"/>
        <v>332.17</v>
      </c>
      <c r="AS557" s="505">
        <f t="shared" si="97"/>
        <v>332.17</v>
      </c>
      <c r="AT557" s="506">
        <f t="shared" si="98"/>
        <v>0</v>
      </c>
    </row>
    <row r="558" spans="1:46">
      <c r="A558" s="341">
        <v>2112</v>
      </c>
      <c r="B558" s="345">
        <v>109828</v>
      </c>
      <c r="C558" s="341" t="s">
        <v>574</v>
      </c>
      <c r="D558" s="340" t="s">
        <v>890</v>
      </c>
      <c r="E558" s="341">
        <v>22</v>
      </c>
      <c r="F558" s="340"/>
      <c r="G558" s="340"/>
      <c r="H558" s="340">
        <v>0</v>
      </c>
      <c r="I558" s="340" t="s">
        <v>889</v>
      </c>
      <c r="J558" s="340"/>
      <c r="K558" s="340"/>
      <c r="L558" s="344">
        <v>41639</v>
      </c>
      <c r="M558" s="344">
        <v>41639</v>
      </c>
      <c r="N558" s="340" t="s">
        <v>888</v>
      </c>
      <c r="O558" s="341">
        <v>500</v>
      </c>
      <c r="P558" s="341">
        <v>14110</v>
      </c>
      <c r="Q558" s="342">
        <v>30894.12</v>
      </c>
      <c r="R558" s="341">
        <v>14116</v>
      </c>
      <c r="S558" s="342">
        <v>30894.12</v>
      </c>
      <c r="T558" s="342">
        <f t="shared" si="99"/>
        <v>0</v>
      </c>
      <c r="U558" s="343">
        <v>0</v>
      </c>
      <c r="V558" s="341">
        <v>70260</v>
      </c>
      <c r="W558" s="342">
        <v>0</v>
      </c>
      <c r="X558" s="340" t="s">
        <v>574</v>
      </c>
      <c r="Y558" s="340"/>
      <c r="Z558" s="340">
        <v>556913</v>
      </c>
      <c r="AA558" s="340"/>
      <c r="AB558" s="340" t="s">
        <v>571</v>
      </c>
      <c r="AC558" s="340" t="s">
        <v>570</v>
      </c>
      <c r="AD558" s="341" t="s">
        <v>569</v>
      </c>
      <c r="AE558" s="340"/>
      <c r="AF558" s="341" t="s">
        <v>568</v>
      </c>
      <c r="AG558" s="340">
        <v>0</v>
      </c>
      <c r="AH558" s="340">
        <v>0</v>
      </c>
      <c r="AI558" s="377"/>
      <c r="AK558" s="493">
        <f t="shared" si="89"/>
        <v>12</v>
      </c>
      <c r="AL558" s="493">
        <f t="shared" si="90"/>
        <v>2013</v>
      </c>
      <c r="AM558" s="493">
        <f t="shared" si="91"/>
        <v>2018</v>
      </c>
      <c r="AN558" s="494">
        <f t="shared" si="92"/>
        <v>2019</v>
      </c>
      <c r="AO558" s="505">
        <f t="shared" si="93"/>
        <v>514.90199999999993</v>
      </c>
      <c r="AP558" s="505">
        <f t="shared" si="94"/>
        <v>6178.8239999999987</v>
      </c>
      <c r="AQ558" s="505">
        <f t="shared" si="95"/>
        <v>0</v>
      </c>
      <c r="AR558" s="505">
        <f t="shared" si="96"/>
        <v>30894.12</v>
      </c>
      <c r="AS558" s="505">
        <f t="shared" si="97"/>
        <v>30894.12</v>
      </c>
      <c r="AT558" s="506">
        <f t="shared" si="98"/>
        <v>0</v>
      </c>
    </row>
    <row r="559" spans="1:46">
      <c r="A559" s="341">
        <v>2112</v>
      </c>
      <c r="B559" s="345">
        <v>109185</v>
      </c>
      <c r="C559" s="341" t="s">
        <v>574</v>
      </c>
      <c r="D559" s="340" t="s">
        <v>887</v>
      </c>
      <c r="E559" s="341">
        <v>720</v>
      </c>
      <c r="F559" s="340"/>
      <c r="G559" s="340"/>
      <c r="H559" s="340">
        <v>0</v>
      </c>
      <c r="I559" s="340" t="s">
        <v>886</v>
      </c>
      <c r="J559" s="340"/>
      <c r="K559" s="340"/>
      <c r="L559" s="344">
        <v>41610</v>
      </c>
      <c r="M559" s="344">
        <v>41610</v>
      </c>
      <c r="N559" s="340" t="s">
        <v>885</v>
      </c>
      <c r="O559" s="341">
        <v>500</v>
      </c>
      <c r="P559" s="341">
        <v>14050</v>
      </c>
      <c r="Q559" s="342">
        <v>5853.6</v>
      </c>
      <c r="R559" s="341">
        <v>14056</v>
      </c>
      <c r="S559" s="342">
        <v>5853.6</v>
      </c>
      <c r="T559" s="342">
        <f t="shared" si="99"/>
        <v>0</v>
      </c>
      <c r="U559" s="343">
        <v>0</v>
      </c>
      <c r="V559" s="341">
        <v>54260</v>
      </c>
      <c r="W559" s="342">
        <v>0</v>
      </c>
      <c r="X559" s="340" t="s">
        <v>574</v>
      </c>
      <c r="Y559" s="340"/>
      <c r="Z559" s="340">
        <v>22776</v>
      </c>
      <c r="AA559" s="340"/>
      <c r="AB559" s="340" t="s">
        <v>571</v>
      </c>
      <c r="AC559" s="340" t="s">
        <v>570</v>
      </c>
      <c r="AD559" s="341" t="s">
        <v>569</v>
      </c>
      <c r="AE559" s="340"/>
      <c r="AF559" s="341" t="s">
        <v>568</v>
      </c>
      <c r="AG559" s="340">
        <v>0</v>
      </c>
      <c r="AH559" s="340">
        <v>0</v>
      </c>
      <c r="AI559" s="377"/>
      <c r="AK559" s="493">
        <f t="shared" si="89"/>
        <v>12</v>
      </c>
      <c r="AL559" s="493">
        <f t="shared" si="90"/>
        <v>2013</v>
      </c>
      <c r="AM559" s="493">
        <f t="shared" si="91"/>
        <v>2018</v>
      </c>
      <c r="AN559" s="494">
        <f t="shared" si="92"/>
        <v>2019</v>
      </c>
      <c r="AO559" s="505">
        <f t="shared" si="93"/>
        <v>97.56</v>
      </c>
      <c r="AP559" s="505">
        <f t="shared" si="94"/>
        <v>1170.72</v>
      </c>
      <c r="AQ559" s="505">
        <f t="shared" si="95"/>
        <v>0</v>
      </c>
      <c r="AR559" s="505">
        <f t="shared" si="96"/>
        <v>5853.6</v>
      </c>
      <c r="AS559" s="505">
        <f t="shared" si="97"/>
        <v>5853.6</v>
      </c>
      <c r="AT559" s="506">
        <f t="shared" si="98"/>
        <v>0</v>
      </c>
    </row>
    <row r="560" spans="1:46">
      <c r="A560" s="341">
        <v>2112</v>
      </c>
      <c r="B560" s="345">
        <v>107394</v>
      </c>
      <c r="C560" s="341" t="s">
        <v>574</v>
      </c>
      <c r="D560" s="340" t="s">
        <v>853</v>
      </c>
      <c r="E560" s="341">
        <v>243</v>
      </c>
      <c r="F560" s="340"/>
      <c r="G560" s="340"/>
      <c r="H560" s="340">
        <v>0</v>
      </c>
      <c r="I560" s="340" t="s">
        <v>730</v>
      </c>
      <c r="J560" s="340"/>
      <c r="K560" s="340"/>
      <c r="L560" s="344">
        <v>41530</v>
      </c>
      <c r="M560" s="344">
        <v>41530</v>
      </c>
      <c r="N560" s="340" t="s">
        <v>884</v>
      </c>
      <c r="O560" s="341">
        <v>700</v>
      </c>
      <c r="P560" s="341">
        <v>14050</v>
      </c>
      <c r="Q560" s="342">
        <v>11695.39</v>
      </c>
      <c r="R560" s="341">
        <v>14056</v>
      </c>
      <c r="S560" s="342">
        <v>11695.39</v>
      </c>
      <c r="T560" s="342">
        <f t="shared" si="99"/>
        <v>0</v>
      </c>
      <c r="U560" s="343">
        <v>0</v>
      </c>
      <c r="V560" s="341">
        <v>54260</v>
      </c>
      <c r="W560" s="342">
        <v>0</v>
      </c>
      <c r="X560" s="340" t="s">
        <v>574</v>
      </c>
      <c r="Y560" s="340"/>
      <c r="Z560" s="340" t="s">
        <v>883</v>
      </c>
      <c r="AA560" s="340"/>
      <c r="AB560" s="340" t="s">
        <v>571</v>
      </c>
      <c r="AC560" s="340" t="s">
        <v>570</v>
      </c>
      <c r="AD560" s="341" t="s">
        <v>569</v>
      </c>
      <c r="AE560" s="340"/>
      <c r="AF560" s="341" t="s">
        <v>568</v>
      </c>
      <c r="AG560" s="340">
        <v>0</v>
      </c>
      <c r="AH560" s="340">
        <v>0</v>
      </c>
      <c r="AI560" s="377"/>
      <c r="AK560" s="493">
        <f t="shared" si="89"/>
        <v>9</v>
      </c>
      <c r="AL560" s="493">
        <f t="shared" si="90"/>
        <v>2013</v>
      </c>
      <c r="AM560" s="493">
        <f t="shared" si="91"/>
        <v>2020</v>
      </c>
      <c r="AN560" s="494">
        <f t="shared" si="92"/>
        <v>2020.75</v>
      </c>
      <c r="AO560" s="505">
        <f t="shared" si="93"/>
        <v>139.23083333333332</v>
      </c>
      <c r="AP560" s="505">
        <f t="shared" si="94"/>
        <v>1670.77</v>
      </c>
      <c r="AQ560" s="505">
        <f t="shared" si="95"/>
        <v>0</v>
      </c>
      <c r="AR560" s="505">
        <f t="shared" si="96"/>
        <v>11695.39</v>
      </c>
      <c r="AS560" s="505">
        <f t="shared" si="97"/>
        <v>11695.39</v>
      </c>
      <c r="AT560" s="506">
        <f t="shared" si="98"/>
        <v>0</v>
      </c>
    </row>
    <row r="561" spans="1:46">
      <c r="A561" s="341">
        <v>2112</v>
      </c>
      <c r="B561" s="345">
        <v>107241</v>
      </c>
      <c r="C561" s="341" t="s">
        <v>574</v>
      </c>
      <c r="D561" s="340" t="s">
        <v>882</v>
      </c>
      <c r="E561" s="341">
        <v>3</v>
      </c>
      <c r="F561" s="340"/>
      <c r="G561" s="340"/>
      <c r="H561" s="340">
        <v>0</v>
      </c>
      <c r="I561" s="340" t="s">
        <v>714</v>
      </c>
      <c r="J561" s="340"/>
      <c r="K561" s="340" t="s">
        <v>722</v>
      </c>
      <c r="L561" s="344">
        <v>41517</v>
      </c>
      <c r="M561" s="344">
        <v>41517</v>
      </c>
      <c r="N561" s="340" t="s">
        <v>881</v>
      </c>
      <c r="O561" s="341">
        <v>1200</v>
      </c>
      <c r="P561" s="341">
        <v>14050</v>
      </c>
      <c r="Q561" s="342">
        <v>18364.04</v>
      </c>
      <c r="R561" s="341">
        <v>14056</v>
      </c>
      <c r="S561" s="342">
        <v>15175.87</v>
      </c>
      <c r="T561" s="342">
        <f t="shared" si="99"/>
        <v>3188.17</v>
      </c>
      <c r="U561" s="343">
        <v>892.7</v>
      </c>
      <c r="V561" s="341">
        <v>54260</v>
      </c>
      <c r="W561" s="342">
        <v>127.53</v>
      </c>
      <c r="X561" s="340" t="s">
        <v>574</v>
      </c>
      <c r="Y561" s="340"/>
      <c r="Z561" s="340">
        <v>5968</v>
      </c>
      <c r="AA561" s="340"/>
      <c r="AB561" s="340" t="s">
        <v>571</v>
      </c>
      <c r="AC561" s="340" t="s">
        <v>570</v>
      </c>
      <c r="AD561" s="341" t="s">
        <v>569</v>
      </c>
      <c r="AE561" s="340"/>
      <c r="AF561" s="341" t="s">
        <v>568</v>
      </c>
      <c r="AG561" s="340">
        <v>0</v>
      </c>
      <c r="AH561" s="340">
        <v>0</v>
      </c>
      <c r="AI561" s="377"/>
      <c r="AK561" s="493">
        <f t="shared" si="89"/>
        <v>8</v>
      </c>
      <c r="AL561" s="493">
        <f t="shared" si="90"/>
        <v>2013</v>
      </c>
      <c r="AM561" s="493">
        <f t="shared" si="91"/>
        <v>2025</v>
      </c>
      <c r="AN561" s="494">
        <f t="shared" si="92"/>
        <v>2025.6666666666667</v>
      </c>
      <c r="AO561" s="505">
        <f t="shared" si="93"/>
        <v>127.52805555555557</v>
      </c>
      <c r="AP561" s="505">
        <f t="shared" si="94"/>
        <v>1530.3366666666668</v>
      </c>
      <c r="AQ561" s="505">
        <f t="shared" si="95"/>
        <v>1530.3366666666668</v>
      </c>
      <c r="AR561" s="505">
        <f t="shared" si="96"/>
        <v>13773.03</v>
      </c>
      <c r="AS561" s="505">
        <f t="shared" si="97"/>
        <v>15303.366666666667</v>
      </c>
      <c r="AT561" s="506">
        <f t="shared" si="98"/>
        <v>3060.6733333333341</v>
      </c>
    </row>
    <row r="562" spans="1:46">
      <c r="A562" s="341">
        <v>2112</v>
      </c>
      <c r="B562" s="345">
        <v>105711</v>
      </c>
      <c r="C562" s="341" t="s">
        <v>574</v>
      </c>
      <c r="D562" s="340" t="s">
        <v>880</v>
      </c>
      <c r="E562" s="341">
        <v>0</v>
      </c>
      <c r="F562" s="340" t="s">
        <v>879</v>
      </c>
      <c r="G562" s="340" t="s">
        <v>878</v>
      </c>
      <c r="H562" s="340">
        <v>2007</v>
      </c>
      <c r="I562" s="340" t="s">
        <v>877</v>
      </c>
      <c r="J562" s="340" t="s">
        <v>876</v>
      </c>
      <c r="K562" s="340" t="s">
        <v>875</v>
      </c>
      <c r="L562" s="344">
        <v>41486</v>
      </c>
      <c r="M562" s="344">
        <v>41486</v>
      </c>
      <c r="N562" s="340" t="s">
        <v>874</v>
      </c>
      <c r="O562" s="341">
        <v>300</v>
      </c>
      <c r="P562" s="341">
        <v>14040</v>
      </c>
      <c r="Q562" s="526">
        <v>68587.899999999994</v>
      </c>
      <c r="R562" s="341">
        <v>14046</v>
      </c>
      <c r="S562" s="526">
        <v>68587.899999999994</v>
      </c>
      <c r="T562" s="526">
        <f t="shared" si="99"/>
        <v>0</v>
      </c>
      <c r="U562" s="527">
        <v>0</v>
      </c>
      <c r="V562" s="341">
        <v>51260</v>
      </c>
      <c r="W562" s="526">
        <v>0</v>
      </c>
      <c r="X562" s="340" t="s">
        <v>574</v>
      </c>
      <c r="Y562" s="340"/>
      <c r="Z562" s="340"/>
      <c r="AA562" s="340">
        <v>229</v>
      </c>
      <c r="AB562" s="340" t="s">
        <v>571</v>
      </c>
      <c r="AC562" s="340" t="s">
        <v>570</v>
      </c>
      <c r="AD562" s="341" t="s">
        <v>569</v>
      </c>
      <c r="AE562" s="340"/>
      <c r="AF562" s="341" t="s">
        <v>568</v>
      </c>
      <c r="AG562" s="340">
        <v>0</v>
      </c>
      <c r="AH562" s="340">
        <v>0</v>
      </c>
      <c r="AI562" s="377"/>
      <c r="AK562" s="493">
        <f t="shared" si="89"/>
        <v>7</v>
      </c>
      <c r="AL562" s="493">
        <f t="shared" si="90"/>
        <v>2013</v>
      </c>
      <c r="AM562" s="493">
        <f t="shared" si="91"/>
        <v>2016</v>
      </c>
      <c r="AN562" s="494">
        <f t="shared" si="92"/>
        <v>2016.5833333333333</v>
      </c>
      <c r="AO562" s="505">
        <f t="shared" si="93"/>
        <v>1905.2194444444442</v>
      </c>
      <c r="AP562" s="505">
        <f t="shared" si="94"/>
        <v>22862.633333333331</v>
      </c>
      <c r="AQ562" s="505">
        <f t="shared" si="95"/>
        <v>0</v>
      </c>
      <c r="AR562" s="505">
        <f t="shared" si="96"/>
        <v>68587.899999999994</v>
      </c>
      <c r="AS562" s="505">
        <f t="shared" si="97"/>
        <v>68587.899999999994</v>
      </c>
      <c r="AT562" s="506">
        <f t="shared" si="98"/>
        <v>0</v>
      </c>
    </row>
    <row r="563" spans="1:46">
      <c r="A563" s="341">
        <v>2112</v>
      </c>
      <c r="B563" s="345">
        <v>105399</v>
      </c>
      <c r="C563" s="341" t="s">
        <v>574</v>
      </c>
      <c r="D563" s="340" t="s">
        <v>873</v>
      </c>
      <c r="E563" s="341">
        <v>0</v>
      </c>
      <c r="F563" s="340"/>
      <c r="G563" s="340"/>
      <c r="H563" s="340">
        <v>0</v>
      </c>
      <c r="I563" s="340" t="s">
        <v>871</v>
      </c>
      <c r="J563" s="340"/>
      <c r="K563" s="340"/>
      <c r="L563" s="344">
        <v>41425</v>
      </c>
      <c r="M563" s="344">
        <v>41425</v>
      </c>
      <c r="N563" s="340" t="s">
        <v>870</v>
      </c>
      <c r="O563" s="341">
        <v>500</v>
      </c>
      <c r="P563" s="341">
        <v>14070</v>
      </c>
      <c r="Q563" s="342">
        <v>11009.58</v>
      </c>
      <c r="R563" s="341">
        <v>14076</v>
      </c>
      <c r="S563" s="342">
        <v>11009.58</v>
      </c>
      <c r="T563" s="342">
        <f t="shared" si="99"/>
        <v>0</v>
      </c>
      <c r="U563" s="343">
        <v>0</v>
      </c>
      <c r="V563" s="341">
        <v>51260</v>
      </c>
      <c r="W563" s="342">
        <v>0</v>
      </c>
      <c r="X563" s="340" t="s">
        <v>574</v>
      </c>
      <c r="Y563" s="340"/>
      <c r="Z563" s="340">
        <v>10564722</v>
      </c>
      <c r="AA563" s="340"/>
      <c r="AB563" s="340" t="s">
        <v>571</v>
      </c>
      <c r="AC563" s="340" t="s">
        <v>570</v>
      </c>
      <c r="AD563" s="341" t="s">
        <v>569</v>
      </c>
      <c r="AE563" s="340"/>
      <c r="AF563" s="341" t="s">
        <v>568</v>
      </c>
      <c r="AG563" s="340">
        <v>0</v>
      </c>
      <c r="AH563" s="340">
        <v>0</v>
      </c>
      <c r="AI563" s="377"/>
      <c r="AK563" s="493">
        <f t="shared" si="89"/>
        <v>5</v>
      </c>
      <c r="AL563" s="493">
        <f t="shared" si="90"/>
        <v>2013</v>
      </c>
      <c r="AM563" s="493">
        <f t="shared" si="91"/>
        <v>2018</v>
      </c>
      <c r="AN563" s="494">
        <f t="shared" si="92"/>
        <v>2018.4166666666667</v>
      </c>
      <c r="AO563" s="505">
        <f t="shared" si="93"/>
        <v>183.49300000000002</v>
      </c>
      <c r="AP563" s="505">
        <f t="shared" si="94"/>
        <v>2201.9160000000002</v>
      </c>
      <c r="AQ563" s="505">
        <f t="shared" si="95"/>
        <v>0</v>
      </c>
      <c r="AR563" s="505">
        <f t="shared" si="96"/>
        <v>11009.58</v>
      </c>
      <c r="AS563" s="505">
        <f t="shared" si="97"/>
        <v>11009.58</v>
      </c>
      <c r="AT563" s="506">
        <f t="shared" si="98"/>
        <v>0</v>
      </c>
    </row>
    <row r="564" spans="1:46">
      <c r="A564" s="341">
        <v>2112</v>
      </c>
      <c r="B564" s="345">
        <v>105398</v>
      </c>
      <c r="C564" s="341" t="s">
        <v>574</v>
      </c>
      <c r="D564" s="340" t="s">
        <v>872</v>
      </c>
      <c r="E564" s="341">
        <v>0</v>
      </c>
      <c r="F564" s="340"/>
      <c r="G564" s="340"/>
      <c r="H564" s="340">
        <v>0</v>
      </c>
      <c r="I564" s="340" t="s">
        <v>871</v>
      </c>
      <c r="J564" s="340"/>
      <c r="K564" s="340"/>
      <c r="L564" s="344">
        <v>41425</v>
      </c>
      <c r="M564" s="344">
        <v>41425</v>
      </c>
      <c r="N564" s="340" t="s">
        <v>870</v>
      </c>
      <c r="O564" s="341">
        <v>500</v>
      </c>
      <c r="P564" s="341">
        <v>14070</v>
      </c>
      <c r="Q564" s="342">
        <v>12485.07</v>
      </c>
      <c r="R564" s="341">
        <v>14076</v>
      </c>
      <c r="S564" s="342">
        <v>12485.07</v>
      </c>
      <c r="T564" s="342">
        <f t="shared" si="99"/>
        <v>0</v>
      </c>
      <c r="U564" s="343">
        <v>0</v>
      </c>
      <c r="V564" s="341">
        <v>51260</v>
      </c>
      <c r="W564" s="342">
        <v>0</v>
      </c>
      <c r="X564" s="340" t="s">
        <v>574</v>
      </c>
      <c r="Y564" s="340"/>
      <c r="Z564" s="340">
        <v>105583841</v>
      </c>
      <c r="AA564" s="340"/>
      <c r="AB564" s="340" t="s">
        <v>571</v>
      </c>
      <c r="AC564" s="340" t="s">
        <v>570</v>
      </c>
      <c r="AD564" s="341" t="s">
        <v>569</v>
      </c>
      <c r="AE564" s="340"/>
      <c r="AF564" s="341" t="s">
        <v>568</v>
      </c>
      <c r="AG564" s="340">
        <v>0</v>
      </c>
      <c r="AH564" s="340">
        <v>0</v>
      </c>
      <c r="AI564" s="377"/>
      <c r="AK564" s="493">
        <f t="shared" si="89"/>
        <v>5</v>
      </c>
      <c r="AL564" s="493">
        <f t="shared" si="90"/>
        <v>2013</v>
      </c>
      <c r="AM564" s="493">
        <f t="shared" si="91"/>
        <v>2018</v>
      </c>
      <c r="AN564" s="494">
        <f t="shared" si="92"/>
        <v>2018.4166666666667</v>
      </c>
      <c r="AO564" s="505">
        <f t="shared" si="93"/>
        <v>208.08450000000002</v>
      </c>
      <c r="AP564" s="505">
        <f t="shared" si="94"/>
        <v>2497.0140000000001</v>
      </c>
      <c r="AQ564" s="505">
        <f t="shared" si="95"/>
        <v>0</v>
      </c>
      <c r="AR564" s="505">
        <f t="shared" si="96"/>
        <v>12485.07</v>
      </c>
      <c r="AS564" s="505">
        <f t="shared" si="97"/>
        <v>12485.07</v>
      </c>
      <c r="AT564" s="506">
        <f t="shared" si="98"/>
        <v>0</v>
      </c>
    </row>
    <row r="565" spans="1:46">
      <c r="A565" s="341">
        <v>2112</v>
      </c>
      <c r="B565" s="345">
        <v>104373</v>
      </c>
      <c r="C565" s="341" t="s">
        <v>574</v>
      </c>
      <c r="D565" s="340" t="s">
        <v>869</v>
      </c>
      <c r="E565" s="341">
        <v>270</v>
      </c>
      <c r="F565" s="340"/>
      <c r="G565" s="340"/>
      <c r="H565" s="340">
        <v>0</v>
      </c>
      <c r="I565" s="340" t="s">
        <v>730</v>
      </c>
      <c r="J565" s="340"/>
      <c r="K565" s="340"/>
      <c r="L565" s="344">
        <v>41387</v>
      </c>
      <c r="M565" s="344">
        <v>41387</v>
      </c>
      <c r="N565" s="340" t="s">
        <v>868</v>
      </c>
      <c r="O565" s="341">
        <v>700</v>
      </c>
      <c r="P565" s="341">
        <v>14050</v>
      </c>
      <c r="Q565" s="342">
        <v>9804.99</v>
      </c>
      <c r="R565" s="341">
        <v>14056</v>
      </c>
      <c r="S565" s="342">
        <v>9804.99</v>
      </c>
      <c r="T565" s="342">
        <f t="shared" si="99"/>
        <v>0</v>
      </c>
      <c r="U565" s="343">
        <v>0</v>
      </c>
      <c r="V565" s="341">
        <v>54260</v>
      </c>
      <c r="W565" s="342">
        <v>0</v>
      </c>
      <c r="X565" s="340" t="s">
        <v>574</v>
      </c>
      <c r="Y565" s="340"/>
      <c r="Z565" s="340" t="s">
        <v>867</v>
      </c>
      <c r="AA565" s="340"/>
      <c r="AB565" s="340" t="s">
        <v>571</v>
      </c>
      <c r="AC565" s="340" t="s">
        <v>570</v>
      </c>
      <c r="AD565" s="341" t="s">
        <v>569</v>
      </c>
      <c r="AE565" s="340"/>
      <c r="AF565" s="341" t="s">
        <v>568</v>
      </c>
      <c r="AG565" s="340">
        <v>0</v>
      </c>
      <c r="AH565" s="340">
        <v>0</v>
      </c>
      <c r="AI565" s="377"/>
      <c r="AK565" s="493">
        <f t="shared" si="89"/>
        <v>4</v>
      </c>
      <c r="AL565" s="493">
        <f t="shared" si="90"/>
        <v>2013</v>
      </c>
      <c r="AM565" s="493">
        <f t="shared" si="91"/>
        <v>2020</v>
      </c>
      <c r="AN565" s="494">
        <f t="shared" si="92"/>
        <v>2020.3333333333333</v>
      </c>
      <c r="AO565" s="505">
        <f t="shared" si="93"/>
        <v>116.72607142857142</v>
      </c>
      <c r="AP565" s="505">
        <f t="shared" si="94"/>
        <v>1400.712857142857</v>
      </c>
      <c r="AQ565" s="505">
        <f t="shared" si="95"/>
        <v>0</v>
      </c>
      <c r="AR565" s="505">
        <f t="shared" si="96"/>
        <v>9804.99</v>
      </c>
      <c r="AS565" s="505">
        <f t="shared" si="97"/>
        <v>9804.99</v>
      </c>
      <c r="AT565" s="506">
        <f t="shared" si="98"/>
        <v>0</v>
      </c>
    </row>
    <row r="566" spans="1:46">
      <c r="A566" s="341">
        <v>2112</v>
      </c>
      <c r="B566" s="345">
        <v>104367</v>
      </c>
      <c r="C566" s="341" t="s">
        <v>574</v>
      </c>
      <c r="D566" s="340" t="s">
        <v>866</v>
      </c>
      <c r="E566" s="341">
        <v>5</v>
      </c>
      <c r="F566" s="340"/>
      <c r="G566" s="340"/>
      <c r="H566" s="340">
        <v>0</v>
      </c>
      <c r="I566" s="340" t="s">
        <v>714</v>
      </c>
      <c r="J566" s="340"/>
      <c r="K566" s="340" t="s">
        <v>782</v>
      </c>
      <c r="L566" s="344">
        <v>41424</v>
      </c>
      <c r="M566" s="344">
        <v>41424</v>
      </c>
      <c r="N566" s="340" t="s">
        <v>865</v>
      </c>
      <c r="O566" s="341">
        <v>1200</v>
      </c>
      <c r="P566" s="341">
        <v>14050</v>
      </c>
      <c r="Q566" s="342">
        <v>2976.66</v>
      </c>
      <c r="R566" s="341">
        <v>14056</v>
      </c>
      <c r="S566" s="342">
        <v>2521.94</v>
      </c>
      <c r="T566" s="342">
        <f t="shared" si="99"/>
        <v>454.7199999999998</v>
      </c>
      <c r="U566" s="343">
        <v>144.69999999999999</v>
      </c>
      <c r="V566" s="341">
        <v>54260</v>
      </c>
      <c r="W566" s="342">
        <v>20.67</v>
      </c>
      <c r="X566" s="340" t="s">
        <v>574</v>
      </c>
      <c r="Y566" s="340"/>
      <c r="Z566" s="340">
        <v>5848</v>
      </c>
      <c r="AA566" s="340"/>
      <c r="AB566" s="340" t="s">
        <v>571</v>
      </c>
      <c r="AC566" s="340" t="s">
        <v>570</v>
      </c>
      <c r="AD566" s="341" t="s">
        <v>569</v>
      </c>
      <c r="AE566" s="340"/>
      <c r="AF566" s="341" t="s">
        <v>568</v>
      </c>
      <c r="AG566" s="340">
        <v>0</v>
      </c>
      <c r="AH566" s="340">
        <v>0</v>
      </c>
      <c r="AI566" s="377"/>
      <c r="AK566" s="493">
        <f t="shared" si="89"/>
        <v>5</v>
      </c>
      <c r="AL566" s="493">
        <f t="shared" si="90"/>
        <v>2013</v>
      </c>
      <c r="AM566" s="493">
        <f t="shared" si="91"/>
        <v>2025</v>
      </c>
      <c r="AN566" s="494">
        <f t="shared" si="92"/>
        <v>2025.4166666666667</v>
      </c>
      <c r="AO566" s="505">
        <f t="shared" si="93"/>
        <v>20.671249999999997</v>
      </c>
      <c r="AP566" s="505">
        <f t="shared" si="94"/>
        <v>248.05499999999995</v>
      </c>
      <c r="AQ566" s="505">
        <f t="shared" si="95"/>
        <v>248.05499999999995</v>
      </c>
      <c r="AR566" s="505">
        <f t="shared" si="96"/>
        <v>2294.50875</v>
      </c>
      <c r="AS566" s="505">
        <f t="shared" si="97"/>
        <v>2542.5637499999998</v>
      </c>
      <c r="AT566" s="506">
        <f t="shared" si="98"/>
        <v>434.09625000000005</v>
      </c>
    </row>
    <row r="567" spans="1:46">
      <c r="A567" s="341">
        <v>2112</v>
      </c>
      <c r="B567" s="345">
        <v>104366</v>
      </c>
      <c r="C567" s="341" t="s">
        <v>574</v>
      </c>
      <c r="D567" s="340" t="s">
        <v>864</v>
      </c>
      <c r="E567" s="341">
        <v>10</v>
      </c>
      <c r="F567" s="340"/>
      <c r="G567" s="340"/>
      <c r="H567" s="340">
        <v>0</v>
      </c>
      <c r="I567" s="340" t="s">
        <v>714</v>
      </c>
      <c r="J567" s="340"/>
      <c r="K567" s="340" t="s">
        <v>636</v>
      </c>
      <c r="L567" s="344">
        <v>41425</v>
      </c>
      <c r="M567" s="344">
        <v>41425</v>
      </c>
      <c r="N567" s="340" t="s">
        <v>863</v>
      </c>
      <c r="O567" s="341">
        <v>1200</v>
      </c>
      <c r="P567" s="341">
        <v>14050</v>
      </c>
      <c r="Q567" s="342">
        <v>6005.36</v>
      </c>
      <c r="R567" s="341">
        <v>14056</v>
      </c>
      <c r="S567" s="342">
        <v>5087.91</v>
      </c>
      <c r="T567" s="342">
        <f t="shared" si="99"/>
        <v>917.44999999999982</v>
      </c>
      <c r="U567" s="343">
        <v>291.93</v>
      </c>
      <c r="V567" s="341">
        <v>54260</v>
      </c>
      <c r="W567" s="342">
        <v>41.7</v>
      </c>
      <c r="X567" s="340" t="s">
        <v>574</v>
      </c>
      <c r="Y567" s="340"/>
      <c r="Z567" s="340">
        <v>5847</v>
      </c>
      <c r="AA567" s="340"/>
      <c r="AB567" s="340" t="s">
        <v>571</v>
      </c>
      <c r="AC567" s="340" t="s">
        <v>570</v>
      </c>
      <c r="AD567" s="341" t="s">
        <v>569</v>
      </c>
      <c r="AE567" s="340"/>
      <c r="AF567" s="341" t="s">
        <v>568</v>
      </c>
      <c r="AG567" s="340">
        <v>0</v>
      </c>
      <c r="AH567" s="340">
        <v>0</v>
      </c>
      <c r="AI567" s="377"/>
      <c r="AK567" s="493">
        <f t="shared" si="89"/>
        <v>5</v>
      </c>
      <c r="AL567" s="493">
        <f t="shared" si="90"/>
        <v>2013</v>
      </c>
      <c r="AM567" s="493">
        <f t="shared" si="91"/>
        <v>2025</v>
      </c>
      <c r="AN567" s="494">
        <f t="shared" si="92"/>
        <v>2025.4166666666667</v>
      </c>
      <c r="AO567" s="505">
        <f t="shared" si="93"/>
        <v>41.703888888888891</v>
      </c>
      <c r="AP567" s="505">
        <f t="shared" si="94"/>
        <v>500.44666666666672</v>
      </c>
      <c r="AQ567" s="505">
        <f t="shared" si="95"/>
        <v>500.44666666666672</v>
      </c>
      <c r="AR567" s="505">
        <f t="shared" si="96"/>
        <v>4629.1316666666662</v>
      </c>
      <c r="AS567" s="505">
        <f t="shared" si="97"/>
        <v>5129.5783333333329</v>
      </c>
      <c r="AT567" s="506">
        <f t="shared" si="98"/>
        <v>875.78166666666675</v>
      </c>
    </row>
    <row r="568" spans="1:46">
      <c r="A568" s="341">
        <v>2112</v>
      </c>
      <c r="B568" s="345">
        <v>102299</v>
      </c>
      <c r="C568" s="341" t="s">
        <v>574</v>
      </c>
      <c r="D568" s="340" t="s">
        <v>862</v>
      </c>
      <c r="E568" s="341">
        <v>0</v>
      </c>
      <c r="F568" s="340"/>
      <c r="G568" s="340"/>
      <c r="H568" s="340">
        <v>0</v>
      </c>
      <c r="I568" s="340" t="s">
        <v>861</v>
      </c>
      <c r="J568" s="340"/>
      <c r="K568" s="340"/>
      <c r="L568" s="344">
        <v>41275</v>
      </c>
      <c r="M568" s="344">
        <v>41275</v>
      </c>
      <c r="N568" s="340" t="s">
        <v>860</v>
      </c>
      <c r="O568" s="341">
        <v>806</v>
      </c>
      <c r="P568" s="341">
        <v>14090</v>
      </c>
      <c r="Q568" s="342">
        <v>7461.17</v>
      </c>
      <c r="R568" s="341">
        <v>14096</v>
      </c>
      <c r="S568" s="342">
        <v>7461.17</v>
      </c>
      <c r="T568" s="342">
        <f t="shared" si="99"/>
        <v>0</v>
      </c>
      <c r="U568" s="343">
        <v>0</v>
      </c>
      <c r="V568" s="341">
        <v>57260</v>
      </c>
      <c r="W568" s="342">
        <v>0</v>
      </c>
      <c r="X568" s="340" t="s">
        <v>574</v>
      </c>
      <c r="Y568" s="340"/>
      <c r="Z568" s="340" t="s">
        <v>859</v>
      </c>
      <c r="AA568" s="340"/>
      <c r="AB568" s="340" t="s">
        <v>571</v>
      </c>
      <c r="AC568" s="340" t="s">
        <v>570</v>
      </c>
      <c r="AD568" s="341" t="s">
        <v>569</v>
      </c>
      <c r="AE568" s="340"/>
      <c r="AF568" s="341" t="s">
        <v>568</v>
      </c>
      <c r="AG568" s="340">
        <v>0</v>
      </c>
      <c r="AH568" s="340">
        <v>0</v>
      </c>
      <c r="AI568" s="377"/>
      <c r="AK568" s="493">
        <f t="shared" si="89"/>
        <v>1</v>
      </c>
      <c r="AL568" s="493">
        <f t="shared" si="90"/>
        <v>2013</v>
      </c>
      <c r="AM568" s="493">
        <f t="shared" si="91"/>
        <v>2021.06</v>
      </c>
      <c r="AN568" s="494">
        <f t="shared" si="92"/>
        <v>2021.1433333333332</v>
      </c>
      <c r="AO568" s="505">
        <f t="shared" si="93"/>
        <v>77.141956162117452</v>
      </c>
      <c r="AP568" s="505">
        <f t="shared" si="94"/>
        <v>925.70347394540943</v>
      </c>
      <c r="AQ568" s="505">
        <f t="shared" si="95"/>
        <v>0</v>
      </c>
      <c r="AR568" s="505">
        <f t="shared" si="96"/>
        <v>7461.17</v>
      </c>
      <c r="AS568" s="505">
        <f t="shared" si="97"/>
        <v>7461.17</v>
      </c>
      <c r="AT568" s="506">
        <f t="shared" si="98"/>
        <v>0</v>
      </c>
    </row>
    <row r="569" spans="1:46">
      <c r="A569" s="341">
        <v>2112</v>
      </c>
      <c r="B569" s="345">
        <v>99658</v>
      </c>
      <c r="C569" s="341" t="s">
        <v>574</v>
      </c>
      <c r="D569" s="340" t="s">
        <v>858</v>
      </c>
      <c r="E569" s="341">
        <v>0</v>
      </c>
      <c r="F569" s="340" t="s">
        <v>857</v>
      </c>
      <c r="G569" s="340" t="s">
        <v>856</v>
      </c>
      <c r="H569" s="340">
        <v>2013</v>
      </c>
      <c r="I569" s="340" t="s">
        <v>759</v>
      </c>
      <c r="J569" s="340" t="s">
        <v>855</v>
      </c>
      <c r="K569" s="340" t="s">
        <v>767</v>
      </c>
      <c r="L569" s="344">
        <v>41274</v>
      </c>
      <c r="M569" s="344">
        <v>41274</v>
      </c>
      <c r="N569" s="340" t="s">
        <v>854</v>
      </c>
      <c r="O569" s="341">
        <v>1000</v>
      </c>
      <c r="P569" s="341">
        <v>14040</v>
      </c>
      <c r="Q569" s="342">
        <v>334614.64</v>
      </c>
      <c r="R569" s="341">
        <v>14046</v>
      </c>
      <c r="S569" s="342">
        <v>334614.64</v>
      </c>
      <c r="T569" s="342">
        <f t="shared" si="99"/>
        <v>0</v>
      </c>
      <c r="U569" s="343">
        <v>0</v>
      </c>
      <c r="V569" s="341">
        <v>51260</v>
      </c>
      <c r="W569" s="342">
        <v>0</v>
      </c>
      <c r="X569" s="340" t="s">
        <v>574</v>
      </c>
      <c r="Y569" s="340"/>
      <c r="Z569" s="340">
        <v>4102011</v>
      </c>
      <c r="AA569" s="340">
        <v>884</v>
      </c>
      <c r="AB569" s="340" t="s">
        <v>571</v>
      </c>
      <c r="AC569" s="340" t="s">
        <v>570</v>
      </c>
      <c r="AD569" s="341" t="s">
        <v>569</v>
      </c>
      <c r="AE569" s="340"/>
      <c r="AF569" s="341" t="s">
        <v>568</v>
      </c>
      <c r="AG569" s="340">
        <v>0</v>
      </c>
      <c r="AH569" s="340">
        <v>0</v>
      </c>
      <c r="AI569" s="377"/>
      <c r="AK569" s="493">
        <f t="shared" si="89"/>
        <v>12</v>
      </c>
      <c r="AL569" s="493">
        <f t="shared" si="90"/>
        <v>2012</v>
      </c>
      <c r="AM569" s="493">
        <f t="shared" si="91"/>
        <v>2022</v>
      </c>
      <c r="AN569" s="494">
        <f t="shared" si="92"/>
        <v>2023</v>
      </c>
      <c r="AO569" s="505">
        <f t="shared" si="93"/>
        <v>2788.4553333333333</v>
      </c>
      <c r="AP569" s="505">
        <f t="shared" si="94"/>
        <v>33461.464</v>
      </c>
      <c r="AQ569" s="505">
        <f t="shared" si="95"/>
        <v>0</v>
      </c>
      <c r="AR569" s="505">
        <f t="shared" si="96"/>
        <v>323460.81866666919</v>
      </c>
      <c r="AS569" s="505">
        <f t="shared" si="97"/>
        <v>334614.64</v>
      </c>
      <c r="AT569" s="506">
        <f t="shared" si="98"/>
        <v>0</v>
      </c>
    </row>
    <row r="570" spans="1:46">
      <c r="A570" s="341">
        <v>2112</v>
      </c>
      <c r="B570" s="345">
        <v>98261</v>
      </c>
      <c r="C570" s="341" t="s">
        <v>574</v>
      </c>
      <c r="D570" s="340" t="s">
        <v>853</v>
      </c>
      <c r="E570" s="341">
        <v>324</v>
      </c>
      <c r="F570" s="340" t="s">
        <v>852</v>
      </c>
      <c r="G570" s="340"/>
      <c r="H570" s="340">
        <v>0</v>
      </c>
      <c r="I570" s="340" t="s">
        <v>730</v>
      </c>
      <c r="J570" s="340"/>
      <c r="K570" s="340"/>
      <c r="L570" s="344">
        <v>41214</v>
      </c>
      <c r="M570" s="344">
        <v>41214</v>
      </c>
      <c r="N570" s="340" t="s">
        <v>851</v>
      </c>
      <c r="O570" s="341">
        <v>700</v>
      </c>
      <c r="P570" s="341">
        <v>14050</v>
      </c>
      <c r="Q570" s="342">
        <v>14635.18</v>
      </c>
      <c r="R570" s="341">
        <v>14056</v>
      </c>
      <c r="S570" s="342">
        <v>14635.18</v>
      </c>
      <c r="T570" s="342">
        <f t="shared" si="99"/>
        <v>0</v>
      </c>
      <c r="U570" s="343">
        <v>0</v>
      </c>
      <c r="V570" s="341">
        <v>54260</v>
      </c>
      <c r="W570" s="342">
        <v>0</v>
      </c>
      <c r="X570" s="340" t="s">
        <v>574</v>
      </c>
      <c r="Y570" s="340"/>
      <c r="Z570" s="340" t="s">
        <v>850</v>
      </c>
      <c r="AA570" s="340"/>
      <c r="AB570" s="340" t="s">
        <v>571</v>
      </c>
      <c r="AC570" s="340" t="s">
        <v>570</v>
      </c>
      <c r="AD570" s="341" t="s">
        <v>569</v>
      </c>
      <c r="AE570" s="340"/>
      <c r="AF570" s="341" t="s">
        <v>568</v>
      </c>
      <c r="AG570" s="340">
        <v>0</v>
      </c>
      <c r="AH570" s="340">
        <v>0</v>
      </c>
      <c r="AI570" s="377"/>
      <c r="AK570" s="493">
        <f t="shared" si="89"/>
        <v>11</v>
      </c>
      <c r="AL570" s="493">
        <f t="shared" si="90"/>
        <v>2012</v>
      </c>
      <c r="AM570" s="493">
        <f t="shared" si="91"/>
        <v>2019</v>
      </c>
      <c r="AN570" s="494">
        <f t="shared" si="92"/>
        <v>2019.9166666666667</v>
      </c>
      <c r="AO570" s="505">
        <f t="shared" si="93"/>
        <v>174.22833333333335</v>
      </c>
      <c r="AP570" s="505">
        <f t="shared" si="94"/>
        <v>2090.7400000000002</v>
      </c>
      <c r="AQ570" s="505">
        <f t="shared" si="95"/>
        <v>0</v>
      </c>
      <c r="AR570" s="505">
        <f t="shared" si="96"/>
        <v>14635.18</v>
      </c>
      <c r="AS570" s="505">
        <f t="shared" si="97"/>
        <v>14635.18</v>
      </c>
      <c r="AT570" s="506">
        <f t="shared" si="98"/>
        <v>0</v>
      </c>
    </row>
    <row r="571" spans="1:46">
      <c r="A571" s="341">
        <v>2112</v>
      </c>
      <c r="B571" s="345">
        <v>97726</v>
      </c>
      <c r="C571" s="341" t="s">
        <v>574</v>
      </c>
      <c r="D571" s="340" t="s">
        <v>544</v>
      </c>
      <c r="E571" s="341">
        <v>8</v>
      </c>
      <c r="F571" s="340"/>
      <c r="G571" s="340"/>
      <c r="H571" s="340">
        <v>0</v>
      </c>
      <c r="I571" s="340" t="s">
        <v>849</v>
      </c>
      <c r="J571" s="340"/>
      <c r="K571" s="340" t="s">
        <v>782</v>
      </c>
      <c r="L571" s="344">
        <v>41105</v>
      </c>
      <c r="M571" s="344">
        <v>41105</v>
      </c>
      <c r="N571" s="340" t="s">
        <v>848</v>
      </c>
      <c r="O571" s="341">
        <v>1200</v>
      </c>
      <c r="P571" s="341">
        <v>14050</v>
      </c>
      <c r="Q571" s="342">
        <v>5475</v>
      </c>
      <c r="R571" s="341">
        <v>14056</v>
      </c>
      <c r="S571" s="342">
        <v>5056.58</v>
      </c>
      <c r="T571" s="342">
        <f t="shared" si="99"/>
        <v>418.42000000000007</v>
      </c>
      <c r="U571" s="343">
        <v>266.14</v>
      </c>
      <c r="V571" s="341">
        <v>54260</v>
      </c>
      <c r="W571" s="342">
        <v>38.020000000000003</v>
      </c>
      <c r="X571" s="340" t="s">
        <v>574</v>
      </c>
      <c r="Y571" s="340"/>
      <c r="Z571" s="340">
        <v>72635</v>
      </c>
      <c r="AA571" s="340"/>
      <c r="AB571" s="340" t="s">
        <v>571</v>
      </c>
      <c r="AC571" s="340" t="s">
        <v>570</v>
      </c>
      <c r="AD571" s="341" t="s">
        <v>569</v>
      </c>
      <c r="AE571" s="340"/>
      <c r="AF571" s="341" t="s">
        <v>568</v>
      </c>
      <c r="AG571" s="340">
        <v>0</v>
      </c>
      <c r="AH571" s="340">
        <v>0</v>
      </c>
      <c r="AI571" s="377"/>
      <c r="AK571" s="493">
        <f t="shared" si="89"/>
        <v>7</v>
      </c>
      <c r="AL571" s="493">
        <f t="shared" si="90"/>
        <v>2012</v>
      </c>
      <c r="AM571" s="493">
        <f t="shared" si="91"/>
        <v>2024</v>
      </c>
      <c r="AN571" s="494">
        <f t="shared" si="92"/>
        <v>2024.5833333333333</v>
      </c>
      <c r="AO571" s="505">
        <f t="shared" si="93"/>
        <v>38.020833333333336</v>
      </c>
      <c r="AP571" s="505">
        <f t="shared" si="94"/>
        <v>456.25</v>
      </c>
      <c r="AQ571" s="505">
        <f t="shared" si="95"/>
        <v>456.25</v>
      </c>
      <c r="AR571" s="505">
        <f t="shared" si="96"/>
        <v>4600.5208333334022</v>
      </c>
      <c r="AS571" s="505">
        <f t="shared" si="97"/>
        <v>5056.7708333334022</v>
      </c>
      <c r="AT571" s="506">
        <f t="shared" si="98"/>
        <v>418.22916666659785</v>
      </c>
    </row>
    <row r="572" spans="1:46">
      <c r="A572" s="341">
        <v>2112</v>
      </c>
      <c r="B572" s="345">
        <v>97222</v>
      </c>
      <c r="C572" s="341" t="s">
        <v>574</v>
      </c>
      <c r="D572" s="340" t="s">
        <v>847</v>
      </c>
      <c r="E572" s="341">
        <v>0</v>
      </c>
      <c r="F572" s="340"/>
      <c r="G572" s="340"/>
      <c r="H572" s="340">
        <v>0</v>
      </c>
      <c r="I572" s="340"/>
      <c r="J572" s="340"/>
      <c r="K572" s="340"/>
      <c r="L572" s="344">
        <v>41213</v>
      </c>
      <c r="M572" s="344">
        <v>41213</v>
      </c>
      <c r="N572" s="340" t="s">
        <v>846</v>
      </c>
      <c r="O572" s="341">
        <v>502</v>
      </c>
      <c r="P572" s="341">
        <v>14090</v>
      </c>
      <c r="Q572" s="342">
        <v>40799.589999999997</v>
      </c>
      <c r="R572" s="341">
        <v>14096</v>
      </c>
      <c r="S572" s="342">
        <v>40799.589999999997</v>
      </c>
      <c r="T572" s="342">
        <f t="shared" si="99"/>
        <v>0</v>
      </c>
      <c r="U572" s="343">
        <v>0</v>
      </c>
      <c r="V572" s="341">
        <v>57260</v>
      </c>
      <c r="W572" s="342">
        <v>0</v>
      </c>
      <c r="X572" s="340" t="s">
        <v>574</v>
      </c>
      <c r="Y572" s="340"/>
      <c r="Z572" s="340">
        <v>9282012</v>
      </c>
      <c r="AA572" s="340"/>
      <c r="AB572" s="340" t="s">
        <v>571</v>
      </c>
      <c r="AC572" s="340" t="s">
        <v>570</v>
      </c>
      <c r="AD572" s="341" t="s">
        <v>569</v>
      </c>
      <c r="AE572" s="340"/>
      <c r="AF572" s="341" t="s">
        <v>568</v>
      </c>
      <c r="AG572" s="340">
        <v>0</v>
      </c>
      <c r="AH572" s="340">
        <v>0</v>
      </c>
      <c r="AI572" s="377"/>
      <c r="AK572" s="493">
        <f t="shared" si="89"/>
        <v>10</v>
      </c>
      <c r="AL572" s="493">
        <f t="shared" si="90"/>
        <v>2012</v>
      </c>
      <c r="AM572" s="493">
        <f t="shared" si="91"/>
        <v>2017.02</v>
      </c>
      <c r="AN572" s="494">
        <f t="shared" si="92"/>
        <v>2017.8533333333332</v>
      </c>
      <c r="AO572" s="505">
        <f t="shared" si="93"/>
        <v>677.2840305444887</v>
      </c>
      <c r="AP572" s="505">
        <f t="shared" si="94"/>
        <v>8127.408366533864</v>
      </c>
      <c r="AQ572" s="505">
        <f t="shared" si="95"/>
        <v>0</v>
      </c>
      <c r="AR572" s="505">
        <f t="shared" si="96"/>
        <v>40799.589999999997</v>
      </c>
      <c r="AS572" s="505">
        <f t="shared" si="97"/>
        <v>40799.589999999997</v>
      </c>
      <c r="AT572" s="506">
        <f t="shared" si="98"/>
        <v>0</v>
      </c>
    </row>
    <row r="573" spans="1:46">
      <c r="A573" s="341">
        <v>2112</v>
      </c>
      <c r="B573" s="345">
        <v>95712</v>
      </c>
      <c r="C573" s="341" t="s">
        <v>574</v>
      </c>
      <c r="D573" s="340" t="s">
        <v>845</v>
      </c>
      <c r="E573" s="341">
        <v>4</v>
      </c>
      <c r="F573" s="340"/>
      <c r="G573" s="340"/>
      <c r="H573" s="340">
        <v>0</v>
      </c>
      <c r="I573" s="340" t="s">
        <v>844</v>
      </c>
      <c r="J573" s="340"/>
      <c r="K573" s="340" t="s">
        <v>722</v>
      </c>
      <c r="L573" s="344">
        <v>41091</v>
      </c>
      <c r="M573" s="344">
        <v>41091</v>
      </c>
      <c r="N573" s="340" t="s">
        <v>843</v>
      </c>
      <c r="O573" s="341">
        <v>1200</v>
      </c>
      <c r="P573" s="341">
        <v>14060</v>
      </c>
      <c r="Q573" s="342">
        <v>41142.14</v>
      </c>
      <c r="R573" s="341">
        <v>14066</v>
      </c>
      <c r="S573" s="342">
        <v>37999.32</v>
      </c>
      <c r="T573" s="342">
        <f t="shared" si="99"/>
        <v>3142.8199999999997</v>
      </c>
      <c r="U573" s="343">
        <v>1999.96</v>
      </c>
      <c r="V573" s="341">
        <v>54260</v>
      </c>
      <c r="W573" s="342">
        <v>285.7</v>
      </c>
      <c r="X573" s="340" t="s">
        <v>574</v>
      </c>
      <c r="Y573" s="340"/>
      <c r="Z573" s="340" t="s">
        <v>842</v>
      </c>
      <c r="AA573" s="340"/>
      <c r="AB573" s="340" t="s">
        <v>571</v>
      </c>
      <c r="AC573" s="340" t="s">
        <v>570</v>
      </c>
      <c r="AD573" s="341" t="s">
        <v>569</v>
      </c>
      <c r="AE573" s="340"/>
      <c r="AF573" s="341" t="s">
        <v>568</v>
      </c>
      <c r="AG573" s="340">
        <v>0</v>
      </c>
      <c r="AH573" s="340">
        <v>0</v>
      </c>
      <c r="AI573" s="377"/>
      <c r="AK573" s="493">
        <f t="shared" si="89"/>
        <v>7</v>
      </c>
      <c r="AL573" s="493">
        <f t="shared" si="90"/>
        <v>2012</v>
      </c>
      <c r="AM573" s="493">
        <f t="shared" si="91"/>
        <v>2024</v>
      </c>
      <c r="AN573" s="494">
        <f t="shared" si="92"/>
        <v>2024.5833333333333</v>
      </c>
      <c r="AO573" s="505">
        <f t="shared" si="93"/>
        <v>285.70930555555555</v>
      </c>
      <c r="AP573" s="505">
        <f t="shared" si="94"/>
        <v>3428.5116666666663</v>
      </c>
      <c r="AQ573" s="505">
        <f t="shared" si="95"/>
        <v>3428.5116666666663</v>
      </c>
      <c r="AR573" s="505">
        <f t="shared" si="96"/>
        <v>34570.825972222738</v>
      </c>
      <c r="AS573" s="505">
        <f t="shared" si="97"/>
        <v>37999.337638889403</v>
      </c>
      <c r="AT573" s="506">
        <f t="shared" si="98"/>
        <v>3142.8023611105964</v>
      </c>
    </row>
    <row r="574" spans="1:46">
      <c r="A574" s="341">
        <v>2112</v>
      </c>
      <c r="B574" s="345">
        <v>95044</v>
      </c>
      <c r="C574" s="341" t="s">
        <v>574</v>
      </c>
      <c r="D574" s="340" t="s">
        <v>253</v>
      </c>
      <c r="E574" s="341">
        <v>0</v>
      </c>
      <c r="F574" s="340"/>
      <c r="G574" s="340"/>
      <c r="H574" s="340">
        <v>0</v>
      </c>
      <c r="I574" s="340" t="s">
        <v>831</v>
      </c>
      <c r="J574" s="340"/>
      <c r="K574" s="340"/>
      <c r="L574" s="344">
        <v>41029</v>
      </c>
      <c r="M574" s="344">
        <v>41029</v>
      </c>
      <c r="N574" s="340" t="s">
        <v>841</v>
      </c>
      <c r="O574" s="341">
        <v>300</v>
      </c>
      <c r="P574" s="341">
        <v>14110</v>
      </c>
      <c r="Q574" s="342">
        <v>466.06</v>
      </c>
      <c r="R574" s="341">
        <v>14116</v>
      </c>
      <c r="S574" s="342">
        <v>466.06</v>
      </c>
      <c r="T574" s="342">
        <f t="shared" si="99"/>
        <v>0</v>
      </c>
      <c r="U574" s="343">
        <v>0</v>
      </c>
      <c r="V574" s="341">
        <v>70260</v>
      </c>
      <c r="W574" s="342">
        <v>0</v>
      </c>
      <c r="X574" s="340" t="s">
        <v>574</v>
      </c>
      <c r="Y574" s="340"/>
      <c r="Z574" s="340" t="s">
        <v>840</v>
      </c>
      <c r="AA574" s="340"/>
      <c r="AB574" s="340" t="s">
        <v>571</v>
      </c>
      <c r="AC574" s="340" t="s">
        <v>570</v>
      </c>
      <c r="AD574" s="341" t="s">
        <v>569</v>
      </c>
      <c r="AE574" s="346">
        <v>41090</v>
      </c>
      <c r="AF574" s="341" t="s">
        <v>568</v>
      </c>
      <c r="AG574" s="340">
        <v>0</v>
      </c>
      <c r="AH574" s="340">
        <v>25.89</v>
      </c>
      <c r="AI574" s="377"/>
      <c r="AK574" s="493">
        <f t="shared" si="89"/>
        <v>4</v>
      </c>
      <c r="AL574" s="493">
        <f t="shared" si="90"/>
        <v>2012</v>
      </c>
      <c r="AM574" s="493">
        <f t="shared" si="91"/>
        <v>2015</v>
      </c>
      <c r="AN574" s="494">
        <f t="shared" si="92"/>
        <v>2015.3333333333333</v>
      </c>
      <c r="AO574" s="505">
        <f t="shared" si="93"/>
        <v>12.94611111111111</v>
      </c>
      <c r="AP574" s="505">
        <f t="shared" si="94"/>
        <v>155.35333333333332</v>
      </c>
      <c r="AQ574" s="505">
        <f t="shared" si="95"/>
        <v>0</v>
      </c>
      <c r="AR574" s="505">
        <f t="shared" si="96"/>
        <v>466.06</v>
      </c>
      <c r="AS574" s="505">
        <f t="shared" si="97"/>
        <v>466.06</v>
      </c>
      <c r="AT574" s="506">
        <f t="shared" si="98"/>
        <v>0</v>
      </c>
    </row>
    <row r="575" spans="1:46">
      <c r="A575" s="341">
        <v>2112</v>
      </c>
      <c r="B575" s="345">
        <v>94096</v>
      </c>
      <c r="C575" s="341" t="s">
        <v>574</v>
      </c>
      <c r="D575" s="340" t="s">
        <v>542</v>
      </c>
      <c r="E575" s="341">
        <v>20</v>
      </c>
      <c r="F575" s="340"/>
      <c r="G575" s="340"/>
      <c r="H575" s="340">
        <v>0</v>
      </c>
      <c r="I575" s="340" t="s">
        <v>707</v>
      </c>
      <c r="J575" s="340"/>
      <c r="K575" s="340" t="s">
        <v>671</v>
      </c>
      <c r="L575" s="344">
        <v>41030</v>
      </c>
      <c r="M575" s="344">
        <v>41030</v>
      </c>
      <c r="N575" s="340" t="s">
        <v>839</v>
      </c>
      <c r="O575" s="341">
        <v>1200</v>
      </c>
      <c r="P575" s="341">
        <v>14050</v>
      </c>
      <c r="Q575" s="342">
        <v>11013.44</v>
      </c>
      <c r="R575" s="341">
        <v>14056</v>
      </c>
      <c r="S575" s="342">
        <v>10325.14</v>
      </c>
      <c r="T575" s="342">
        <f t="shared" si="99"/>
        <v>688.30000000000109</v>
      </c>
      <c r="U575" s="343">
        <v>535.38</v>
      </c>
      <c r="V575" s="341">
        <v>54260</v>
      </c>
      <c r="W575" s="342">
        <v>76.48</v>
      </c>
      <c r="X575" s="340" t="s">
        <v>574</v>
      </c>
      <c r="Y575" s="340"/>
      <c r="Z575" s="340">
        <v>68996</v>
      </c>
      <c r="AA575" s="340"/>
      <c r="AB575" s="340" t="s">
        <v>571</v>
      </c>
      <c r="AC575" s="340" t="s">
        <v>570</v>
      </c>
      <c r="AD575" s="341" t="s">
        <v>569</v>
      </c>
      <c r="AE575" s="340"/>
      <c r="AF575" s="341" t="s">
        <v>568</v>
      </c>
      <c r="AG575" s="340">
        <v>0</v>
      </c>
      <c r="AH575" s="340">
        <v>0</v>
      </c>
      <c r="AI575" s="377"/>
      <c r="AK575" s="493">
        <f t="shared" si="89"/>
        <v>5</v>
      </c>
      <c r="AL575" s="493">
        <f t="shared" si="90"/>
        <v>2012</v>
      </c>
      <c r="AM575" s="493">
        <f t="shared" si="91"/>
        <v>2024</v>
      </c>
      <c r="AN575" s="494">
        <f t="shared" si="92"/>
        <v>2024.4166666666667</v>
      </c>
      <c r="AO575" s="505">
        <f t="shared" si="93"/>
        <v>76.482222222222234</v>
      </c>
      <c r="AP575" s="505">
        <f t="shared" si="94"/>
        <v>917.78666666666686</v>
      </c>
      <c r="AQ575" s="505">
        <f t="shared" si="95"/>
        <v>917.78666666666686</v>
      </c>
      <c r="AR575" s="505">
        <f t="shared" si="96"/>
        <v>9407.3133333333335</v>
      </c>
      <c r="AS575" s="505">
        <f t="shared" si="97"/>
        <v>10325.1</v>
      </c>
      <c r="AT575" s="506">
        <f t="shared" si="98"/>
        <v>688.34000000000015</v>
      </c>
    </row>
    <row r="576" spans="1:46">
      <c r="A576" s="341">
        <v>2112</v>
      </c>
      <c r="B576" s="345">
        <v>93240</v>
      </c>
      <c r="C576" s="341" t="s">
        <v>574</v>
      </c>
      <c r="D576" s="340" t="s">
        <v>838</v>
      </c>
      <c r="E576" s="341">
        <v>540</v>
      </c>
      <c r="F576" s="340"/>
      <c r="G576" s="340"/>
      <c r="H576" s="340">
        <v>0</v>
      </c>
      <c r="I576" s="340" t="s">
        <v>730</v>
      </c>
      <c r="J576" s="340"/>
      <c r="K576" s="340"/>
      <c r="L576" s="344">
        <v>41002</v>
      </c>
      <c r="M576" s="344">
        <v>41002</v>
      </c>
      <c r="N576" s="340" t="s">
        <v>837</v>
      </c>
      <c r="O576" s="341">
        <v>700</v>
      </c>
      <c r="P576" s="341">
        <v>14050</v>
      </c>
      <c r="Q576" s="342">
        <v>18713.95</v>
      </c>
      <c r="R576" s="341">
        <v>14056</v>
      </c>
      <c r="S576" s="342">
        <v>18713.95</v>
      </c>
      <c r="T576" s="342">
        <f t="shared" si="99"/>
        <v>0</v>
      </c>
      <c r="U576" s="343">
        <v>0</v>
      </c>
      <c r="V576" s="341">
        <v>54260</v>
      </c>
      <c r="W576" s="342">
        <v>0</v>
      </c>
      <c r="X576" s="340" t="s">
        <v>574</v>
      </c>
      <c r="Y576" s="340"/>
      <c r="Z576" s="340" t="s">
        <v>836</v>
      </c>
      <c r="AA576" s="340"/>
      <c r="AB576" s="340" t="s">
        <v>571</v>
      </c>
      <c r="AC576" s="340" t="s">
        <v>570</v>
      </c>
      <c r="AD576" s="341" t="s">
        <v>569</v>
      </c>
      <c r="AE576" s="340"/>
      <c r="AF576" s="341" t="s">
        <v>568</v>
      </c>
      <c r="AG576" s="340">
        <v>0</v>
      </c>
      <c r="AH576" s="340">
        <v>0</v>
      </c>
      <c r="AI576" s="377"/>
      <c r="AK576" s="493">
        <f t="shared" si="89"/>
        <v>4</v>
      </c>
      <c r="AL576" s="493">
        <f t="shared" si="90"/>
        <v>2012</v>
      </c>
      <c r="AM576" s="493">
        <f t="shared" si="91"/>
        <v>2019</v>
      </c>
      <c r="AN576" s="494">
        <f t="shared" si="92"/>
        <v>2019.3333333333333</v>
      </c>
      <c r="AO576" s="505">
        <f t="shared" si="93"/>
        <v>222.78511904761908</v>
      </c>
      <c r="AP576" s="505">
        <f t="shared" si="94"/>
        <v>2673.4214285714288</v>
      </c>
      <c r="AQ576" s="505">
        <f t="shared" si="95"/>
        <v>0</v>
      </c>
      <c r="AR576" s="505">
        <f t="shared" si="96"/>
        <v>18713.95</v>
      </c>
      <c r="AS576" s="505">
        <f t="shared" si="97"/>
        <v>18713.95</v>
      </c>
      <c r="AT576" s="506">
        <f t="shared" si="98"/>
        <v>0</v>
      </c>
    </row>
    <row r="577" spans="1:46">
      <c r="A577" s="341">
        <v>2112</v>
      </c>
      <c r="B577" s="345">
        <v>93204</v>
      </c>
      <c r="C577" s="341" t="s">
        <v>574</v>
      </c>
      <c r="D577" s="340" t="s">
        <v>835</v>
      </c>
      <c r="E577" s="341">
        <v>324</v>
      </c>
      <c r="F577" s="340"/>
      <c r="G577" s="340"/>
      <c r="H577" s="340">
        <v>0</v>
      </c>
      <c r="I577" s="340" t="s">
        <v>730</v>
      </c>
      <c r="J577" s="340"/>
      <c r="K577" s="340"/>
      <c r="L577" s="344">
        <v>41000</v>
      </c>
      <c r="M577" s="344">
        <v>41000</v>
      </c>
      <c r="N577" s="340" t="s">
        <v>834</v>
      </c>
      <c r="O577" s="341">
        <v>700</v>
      </c>
      <c r="P577" s="341">
        <v>14050</v>
      </c>
      <c r="Q577" s="342">
        <v>14312.06</v>
      </c>
      <c r="R577" s="341">
        <v>14056</v>
      </c>
      <c r="S577" s="342">
        <v>14312.06</v>
      </c>
      <c r="T577" s="342">
        <f t="shared" si="99"/>
        <v>0</v>
      </c>
      <c r="U577" s="343">
        <v>0</v>
      </c>
      <c r="V577" s="341">
        <v>54260</v>
      </c>
      <c r="W577" s="342">
        <v>0</v>
      </c>
      <c r="X577" s="340" t="s">
        <v>574</v>
      </c>
      <c r="Y577" s="340"/>
      <c r="Z577" s="340" t="s">
        <v>833</v>
      </c>
      <c r="AA577" s="340"/>
      <c r="AB577" s="340" t="s">
        <v>571</v>
      </c>
      <c r="AC577" s="340" t="s">
        <v>570</v>
      </c>
      <c r="AD577" s="341" t="s">
        <v>569</v>
      </c>
      <c r="AE577" s="340"/>
      <c r="AF577" s="341" t="s">
        <v>568</v>
      </c>
      <c r="AG577" s="340">
        <v>0</v>
      </c>
      <c r="AH577" s="340">
        <v>0</v>
      </c>
      <c r="AI577" s="377"/>
      <c r="AK577" s="493">
        <f t="shared" si="89"/>
        <v>4</v>
      </c>
      <c r="AL577" s="493">
        <f t="shared" si="90"/>
        <v>2012</v>
      </c>
      <c r="AM577" s="493">
        <f t="shared" si="91"/>
        <v>2019</v>
      </c>
      <c r="AN577" s="494">
        <f t="shared" si="92"/>
        <v>2019.3333333333333</v>
      </c>
      <c r="AO577" s="505">
        <f t="shared" si="93"/>
        <v>170.38166666666666</v>
      </c>
      <c r="AP577" s="505">
        <f t="shared" si="94"/>
        <v>2044.58</v>
      </c>
      <c r="AQ577" s="505">
        <f t="shared" si="95"/>
        <v>0</v>
      </c>
      <c r="AR577" s="505">
        <f t="shared" si="96"/>
        <v>14312.06</v>
      </c>
      <c r="AS577" s="505">
        <f t="shared" si="97"/>
        <v>14312.06</v>
      </c>
      <c r="AT577" s="506">
        <f t="shared" si="98"/>
        <v>0</v>
      </c>
    </row>
    <row r="578" spans="1:46">
      <c r="A578" s="341">
        <v>2112</v>
      </c>
      <c r="B578" s="345">
        <v>93107</v>
      </c>
      <c r="C578" s="341" t="s">
        <v>574</v>
      </c>
      <c r="D578" s="340" t="s">
        <v>1901</v>
      </c>
      <c r="E578" s="341">
        <v>0</v>
      </c>
      <c r="F578" s="340" t="s">
        <v>1902</v>
      </c>
      <c r="G578" s="340" t="s">
        <v>1903</v>
      </c>
      <c r="H578" s="340">
        <v>2007</v>
      </c>
      <c r="I578" s="340" t="s">
        <v>1904</v>
      </c>
      <c r="J578" s="340"/>
      <c r="K578" s="340" t="s">
        <v>800</v>
      </c>
      <c r="L578" s="344">
        <v>40909</v>
      </c>
      <c r="M578" s="344">
        <v>40909</v>
      </c>
      <c r="N578" s="340"/>
      <c r="O578" s="341">
        <v>100</v>
      </c>
      <c r="P578" s="341">
        <v>14040</v>
      </c>
      <c r="Q578" s="342">
        <v>0</v>
      </c>
      <c r="R578" s="341">
        <v>14046</v>
      </c>
      <c r="S578" s="342">
        <v>0</v>
      </c>
      <c r="T578" s="342">
        <f t="shared" si="99"/>
        <v>0</v>
      </c>
      <c r="U578" s="343">
        <v>0</v>
      </c>
      <c r="V578" s="341">
        <v>51260</v>
      </c>
      <c r="W578" s="342">
        <v>0</v>
      </c>
      <c r="X578" s="340" t="s">
        <v>574</v>
      </c>
      <c r="Y578" s="340"/>
      <c r="Z578" s="340"/>
      <c r="AA578" s="340" t="s">
        <v>1905</v>
      </c>
      <c r="AB578" s="340" t="s">
        <v>571</v>
      </c>
      <c r="AC578" s="340" t="s">
        <v>570</v>
      </c>
      <c r="AD578" s="341" t="s">
        <v>596</v>
      </c>
      <c r="AE578" s="340"/>
      <c r="AF578" s="341" t="s">
        <v>568</v>
      </c>
      <c r="AG578" s="340">
        <v>0</v>
      </c>
      <c r="AH578" s="340">
        <v>0</v>
      </c>
      <c r="AI578" s="377"/>
      <c r="AK578" s="493">
        <f t="shared" si="89"/>
        <v>1</v>
      </c>
      <c r="AL578" s="493">
        <f t="shared" si="90"/>
        <v>2012</v>
      </c>
      <c r="AM578" s="493">
        <f t="shared" si="91"/>
        <v>2013</v>
      </c>
      <c r="AN578" s="494">
        <f t="shared" si="92"/>
        <v>2013.0833333333333</v>
      </c>
      <c r="AO578" s="505">
        <f t="shared" si="93"/>
        <v>0</v>
      </c>
      <c r="AP578" s="505">
        <f t="shared" si="94"/>
        <v>0</v>
      </c>
      <c r="AQ578" s="505">
        <f t="shared" si="95"/>
        <v>0</v>
      </c>
      <c r="AR578" s="505">
        <f t="shared" si="96"/>
        <v>0</v>
      </c>
      <c r="AS578" s="505">
        <f t="shared" si="97"/>
        <v>0</v>
      </c>
      <c r="AT578" s="506">
        <f t="shared" si="98"/>
        <v>0</v>
      </c>
    </row>
    <row r="579" spans="1:46">
      <c r="A579" s="341">
        <v>2112</v>
      </c>
      <c r="B579" s="345">
        <v>89093</v>
      </c>
      <c r="C579" s="341" t="s">
        <v>574</v>
      </c>
      <c r="D579" s="340" t="s">
        <v>832</v>
      </c>
      <c r="E579" s="341">
        <v>0</v>
      </c>
      <c r="F579" s="340"/>
      <c r="G579" s="340"/>
      <c r="H579" s="340">
        <v>0</v>
      </c>
      <c r="I579" s="340" t="s">
        <v>831</v>
      </c>
      <c r="J579" s="340"/>
      <c r="K579" s="340"/>
      <c r="L579" s="344">
        <v>40908</v>
      </c>
      <c r="M579" s="344">
        <v>40908</v>
      </c>
      <c r="N579" s="340" t="s">
        <v>830</v>
      </c>
      <c r="O579" s="341">
        <v>500</v>
      </c>
      <c r="P579" s="341">
        <v>14110</v>
      </c>
      <c r="Q579" s="342">
        <v>850.89</v>
      </c>
      <c r="R579" s="341">
        <v>14116</v>
      </c>
      <c r="S579" s="342">
        <v>850.89</v>
      </c>
      <c r="T579" s="342">
        <f t="shared" si="99"/>
        <v>0</v>
      </c>
      <c r="U579" s="343">
        <v>0</v>
      </c>
      <c r="V579" s="341">
        <v>70260</v>
      </c>
      <c r="W579" s="342">
        <v>0</v>
      </c>
      <c r="X579" s="340" t="s">
        <v>574</v>
      </c>
      <c r="Y579" s="340"/>
      <c r="Z579" s="340" t="s">
        <v>829</v>
      </c>
      <c r="AA579" s="340"/>
      <c r="AB579" s="340" t="s">
        <v>571</v>
      </c>
      <c r="AC579" s="340" t="s">
        <v>570</v>
      </c>
      <c r="AD579" s="341" t="s">
        <v>569</v>
      </c>
      <c r="AE579" s="340"/>
      <c r="AF579" s="341" t="s">
        <v>568</v>
      </c>
      <c r="AG579" s="340">
        <v>0</v>
      </c>
      <c r="AH579" s="340">
        <v>0</v>
      </c>
      <c r="AI579" s="377"/>
      <c r="AK579" s="493">
        <f t="shared" si="89"/>
        <v>12</v>
      </c>
      <c r="AL579" s="493">
        <f t="shared" si="90"/>
        <v>2011</v>
      </c>
      <c r="AM579" s="493">
        <f t="shared" si="91"/>
        <v>2016</v>
      </c>
      <c r="AN579" s="494">
        <f t="shared" si="92"/>
        <v>2017</v>
      </c>
      <c r="AO579" s="505">
        <f t="shared" si="93"/>
        <v>14.1815</v>
      </c>
      <c r="AP579" s="505">
        <f t="shared" si="94"/>
        <v>170.178</v>
      </c>
      <c r="AQ579" s="505">
        <f t="shared" si="95"/>
        <v>0</v>
      </c>
      <c r="AR579" s="505">
        <f t="shared" si="96"/>
        <v>850.89</v>
      </c>
      <c r="AS579" s="505">
        <f t="shared" si="97"/>
        <v>850.89</v>
      </c>
      <c r="AT579" s="506">
        <f t="shared" si="98"/>
        <v>0</v>
      </c>
    </row>
    <row r="580" spans="1:46">
      <c r="A580" s="341">
        <v>2112</v>
      </c>
      <c r="B580" s="345">
        <v>88970</v>
      </c>
      <c r="C580" s="341" t="s">
        <v>574</v>
      </c>
      <c r="D580" s="340" t="s">
        <v>828</v>
      </c>
      <c r="E580" s="341">
        <v>0</v>
      </c>
      <c r="F580" s="340"/>
      <c r="G580" s="340"/>
      <c r="H580" s="340">
        <v>0</v>
      </c>
      <c r="I580" s="340" t="s">
        <v>827</v>
      </c>
      <c r="J580" s="340"/>
      <c r="K580" s="340"/>
      <c r="L580" s="344">
        <v>40907</v>
      </c>
      <c r="M580" s="344">
        <v>40907</v>
      </c>
      <c r="N580" s="340" t="s">
        <v>826</v>
      </c>
      <c r="O580" s="341">
        <v>500</v>
      </c>
      <c r="P580" s="341">
        <v>14070</v>
      </c>
      <c r="Q580" s="342">
        <v>10539.66</v>
      </c>
      <c r="R580" s="341">
        <v>14076</v>
      </c>
      <c r="S580" s="342">
        <v>10539.66</v>
      </c>
      <c r="T580" s="342">
        <f t="shared" si="99"/>
        <v>0</v>
      </c>
      <c r="U580" s="343">
        <v>0</v>
      </c>
      <c r="V580" s="341">
        <v>51260</v>
      </c>
      <c r="W580" s="342">
        <v>0</v>
      </c>
      <c r="X580" s="340" t="s">
        <v>574</v>
      </c>
      <c r="Y580" s="340"/>
      <c r="Z580" s="340" t="s">
        <v>825</v>
      </c>
      <c r="AA580" s="340"/>
      <c r="AB580" s="340" t="s">
        <v>571</v>
      </c>
      <c r="AC580" s="340" t="s">
        <v>570</v>
      </c>
      <c r="AD580" s="341" t="s">
        <v>569</v>
      </c>
      <c r="AE580" s="340"/>
      <c r="AF580" s="341" t="s">
        <v>568</v>
      </c>
      <c r="AG580" s="340">
        <v>0</v>
      </c>
      <c r="AH580" s="340">
        <v>0</v>
      </c>
      <c r="AI580" s="377"/>
      <c r="AK580" s="493">
        <f t="shared" si="89"/>
        <v>12</v>
      </c>
      <c r="AL580" s="493">
        <f t="shared" si="90"/>
        <v>2011</v>
      </c>
      <c r="AM580" s="493">
        <f t="shared" si="91"/>
        <v>2016</v>
      </c>
      <c r="AN580" s="494">
        <f t="shared" si="92"/>
        <v>2017</v>
      </c>
      <c r="AO580" s="505">
        <f t="shared" si="93"/>
        <v>175.66099999999997</v>
      </c>
      <c r="AP580" s="505">
        <f t="shared" si="94"/>
        <v>2107.9319999999998</v>
      </c>
      <c r="AQ580" s="505">
        <f t="shared" si="95"/>
        <v>0</v>
      </c>
      <c r="AR580" s="505">
        <f t="shared" si="96"/>
        <v>10539.66</v>
      </c>
      <c r="AS580" s="505">
        <f t="shared" si="97"/>
        <v>10539.66</v>
      </c>
      <c r="AT580" s="506">
        <f t="shared" si="98"/>
        <v>0</v>
      </c>
    </row>
    <row r="581" spans="1:46">
      <c r="A581" s="341">
        <v>2112</v>
      </c>
      <c r="B581" s="345">
        <v>88761</v>
      </c>
      <c r="C581" s="341">
        <v>84694</v>
      </c>
      <c r="D581" s="340" t="s">
        <v>824</v>
      </c>
      <c r="E581" s="341">
        <v>0</v>
      </c>
      <c r="F581" s="340" t="s">
        <v>822</v>
      </c>
      <c r="G581" s="340"/>
      <c r="H581" s="340">
        <v>2011</v>
      </c>
      <c r="I581" s="340" t="s">
        <v>821</v>
      </c>
      <c r="J581" s="340" t="s">
        <v>820</v>
      </c>
      <c r="K581" s="340" t="s">
        <v>572</v>
      </c>
      <c r="L581" s="344">
        <v>40893</v>
      </c>
      <c r="M581" s="344">
        <v>40893</v>
      </c>
      <c r="N581" s="340" t="s">
        <v>819</v>
      </c>
      <c r="O581" s="341">
        <v>300</v>
      </c>
      <c r="P581" s="341">
        <v>14040</v>
      </c>
      <c r="Q581" s="342">
        <v>6023.6</v>
      </c>
      <c r="R581" s="341">
        <v>14046</v>
      </c>
      <c r="S581" s="342">
        <v>6023.6</v>
      </c>
      <c r="T581" s="342">
        <f t="shared" si="99"/>
        <v>0</v>
      </c>
      <c r="U581" s="343">
        <v>0</v>
      </c>
      <c r="V581" s="341">
        <v>51260</v>
      </c>
      <c r="W581" s="342">
        <v>0</v>
      </c>
      <c r="X581" s="340" t="s">
        <v>574</v>
      </c>
      <c r="Y581" s="340"/>
      <c r="Z581" s="340" t="s">
        <v>818</v>
      </c>
      <c r="AA581" s="340"/>
      <c r="AB581" s="340" t="s">
        <v>571</v>
      </c>
      <c r="AC581" s="340" t="s">
        <v>570</v>
      </c>
      <c r="AD581" s="341" t="s">
        <v>569</v>
      </c>
      <c r="AE581" s="340"/>
      <c r="AF581" s="341" t="s">
        <v>568</v>
      </c>
      <c r="AG581" s="340">
        <v>0</v>
      </c>
      <c r="AH581" s="340">
        <v>0</v>
      </c>
      <c r="AI581" s="377"/>
      <c r="AK581" s="493">
        <f t="shared" si="89"/>
        <v>12</v>
      </c>
      <c r="AL581" s="493">
        <f t="shared" si="90"/>
        <v>2011</v>
      </c>
      <c r="AM581" s="493">
        <f t="shared" si="91"/>
        <v>2014</v>
      </c>
      <c r="AN581" s="494">
        <f t="shared" si="92"/>
        <v>2015</v>
      </c>
      <c r="AO581" s="505">
        <f t="shared" si="93"/>
        <v>167.32222222222222</v>
      </c>
      <c r="AP581" s="505">
        <f t="shared" si="94"/>
        <v>2007.8666666666668</v>
      </c>
      <c r="AQ581" s="505">
        <f t="shared" si="95"/>
        <v>0</v>
      </c>
      <c r="AR581" s="505">
        <f t="shared" si="96"/>
        <v>6023.6</v>
      </c>
      <c r="AS581" s="505">
        <f t="shared" si="97"/>
        <v>6023.6</v>
      </c>
      <c r="AT581" s="506">
        <f t="shared" si="98"/>
        <v>0</v>
      </c>
    </row>
    <row r="582" spans="1:46">
      <c r="A582" s="341">
        <v>2112</v>
      </c>
      <c r="B582" s="345">
        <v>88760</v>
      </c>
      <c r="C582" s="341">
        <v>84694</v>
      </c>
      <c r="D582" s="340" t="s">
        <v>823</v>
      </c>
      <c r="E582" s="341">
        <v>0</v>
      </c>
      <c r="F582" s="340" t="s">
        <v>822</v>
      </c>
      <c r="G582" s="340"/>
      <c r="H582" s="340">
        <v>2011</v>
      </c>
      <c r="I582" s="340" t="s">
        <v>821</v>
      </c>
      <c r="J582" s="340" t="s">
        <v>820</v>
      </c>
      <c r="K582" s="340" t="s">
        <v>572</v>
      </c>
      <c r="L582" s="344">
        <v>40893</v>
      </c>
      <c r="M582" s="344">
        <v>40893</v>
      </c>
      <c r="N582" s="340" t="s">
        <v>819</v>
      </c>
      <c r="O582" s="341">
        <v>300</v>
      </c>
      <c r="P582" s="341">
        <v>14040</v>
      </c>
      <c r="Q582" s="342">
        <v>5933.4</v>
      </c>
      <c r="R582" s="341">
        <v>14046</v>
      </c>
      <c r="S582" s="342">
        <v>5933.4</v>
      </c>
      <c r="T582" s="342">
        <f t="shared" si="99"/>
        <v>0</v>
      </c>
      <c r="U582" s="343">
        <v>0</v>
      </c>
      <c r="V582" s="341">
        <v>51260</v>
      </c>
      <c r="W582" s="342">
        <v>0</v>
      </c>
      <c r="X582" s="340" t="s">
        <v>574</v>
      </c>
      <c r="Y582" s="340"/>
      <c r="Z582" s="340" t="s">
        <v>818</v>
      </c>
      <c r="AA582" s="340"/>
      <c r="AB582" s="340" t="s">
        <v>571</v>
      </c>
      <c r="AC582" s="340" t="s">
        <v>570</v>
      </c>
      <c r="AD582" s="341" t="s">
        <v>569</v>
      </c>
      <c r="AE582" s="340"/>
      <c r="AF582" s="341" t="s">
        <v>568</v>
      </c>
      <c r="AG582" s="340">
        <v>0</v>
      </c>
      <c r="AH582" s="340">
        <v>0</v>
      </c>
      <c r="AI582" s="377"/>
      <c r="AK582" s="493">
        <f t="shared" si="89"/>
        <v>12</v>
      </c>
      <c r="AL582" s="493">
        <f t="shared" si="90"/>
        <v>2011</v>
      </c>
      <c r="AM582" s="493">
        <f t="shared" si="91"/>
        <v>2014</v>
      </c>
      <c r="AN582" s="494">
        <f t="shared" si="92"/>
        <v>2015</v>
      </c>
      <c r="AO582" s="505">
        <f t="shared" si="93"/>
        <v>164.81666666666666</v>
      </c>
      <c r="AP582" s="505">
        <f t="shared" si="94"/>
        <v>1977.8</v>
      </c>
      <c r="AQ582" s="505">
        <f t="shared" si="95"/>
        <v>0</v>
      </c>
      <c r="AR582" s="505">
        <f t="shared" si="96"/>
        <v>5933.4</v>
      </c>
      <c r="AS582" s="505">
        <f t="shared" si="97"/>
        <v>5933.4</v>
      </c>
      <c r="AT582" s="506">
        <f t="shared" si="98"/>
        <v>0</v>
      </c>
    </row>
    <row r="583" spans="1:46">
      <c r="A583" s="341">
        <v>2112</v>
      </c>
      <c r="B583" s="345">
        <v>87711</v>
      </c>
      <c r="C583" s="341" t="s">
        <v>574</v>
      </c>
      <c r="D583" s="340" t="s">
        <v>817</v>
      </c>
      <c r="E583" s="341">
        <v>0</v>
      </c>
      <c r="F583" s="340" t="s">
        <v>816</v>
      </c>
      <c r="G583" s="340" t="s">
        <v>815</v>
      </c>
      <c r="H583" s="340">
        <v>2011</v>
      </c>
      <c r="I583" s="340" t="s">
        <v>802</v>
      </c>
      <c r="J583" s="340" t="s">
        <v>801</v>
      </c>
      <c r="K583" s="340" t="s">
        <v>800</v>
      </c>
      <c r="L583" s="344">
        <v>40848</v>
      </c>
      <c r="M583" s="344">
        <v>40848</v>
      </c>
      <c r="N583" s="340" t="s">
        <v>814</v>
      </c>
      <c r="O583" s="341">
        <v>400</v>
      </c>
      <c r="P583" s="341">
        <v>14040</v>
      </c>
      <c r="Q583" s="342">
        <v>37526.769999999997</v>
      </c>
      <c r="R583" s="341">
        <v>14046</v>
      </c>
      <c r="S583" s="342">
        <v>37526.769999999997</v>
      </c>
      <c r="T583" s="342">
        <f t="shared" si="99"/>
        <v>0</v>
      </c>
      <c r="U583" s="343">
        <v>0</v>
      </c>
      <c r="V583" s="341">
        <v>51260</v>
      </c>
      <c r="W583" s="342">
        <v>0</v>
      </c>
      <c r="X583" s="340" t="s">
        <v>574</v>
      </c>
      <c r="Y583" s="340"/>
      <c r="Z583" s="340" t="s">
        <v>813</v>
      </c>
      <c r="AA583" s="340">
        <v>737</v>
      </c>
      <c r="AB583" s="340" t="s">
        <v>571</v>
      </c>
      <c r="AC583" s="340" t="s">
        <v>570</v>
      </c>
      <c r="AD583" s="341" t="s">
        <v>569</v>
      </c>
      <c r="AE583" s="340"/>
      <c r="AF583" s="341" t="s">
        <v>568</v>
      </c>
      <c r="AG583" s="340">
        <v>0</v>
      </c>
      <c r="AH583" s="340">
        <v>0</v>
      </c>
      <c r="AI583" s="377"/>
      <c r="AK583" s="493">
        <f t="shared" si="89"/>
        <v>11</v>
      </c>
      <c r="AL583" s="493">
        <f t="shared" si="90"/>
        <v>2011</v>
      </c>
      <c r="AM583" s="493">
        <f t="shared" si="91"/>
        <v>2015</v>
      </c>
      <c r="AN583" s="494">
        <f t="shared" si="92"/>
        <v>2015.9166666666667</v>
      </c>
      <c r="AO583" s="505">
        <f t="shared" si="93"/>
        <v>781.80770833333327</v>
      </c>
      <c r="AP583" s="505">
        <f t="shared" si="94"/>
        <v>9381.6924999999992</v>
      </c>
      <c r="AQ583" s="505">
        <f t="shared" si="95"/>
        <v>0</v>
      </c>
      <c r="AR583" s="505">
        <f t="shared" si="96"/>
        <v>37526.769999999997</v>
      </c>
      <c r="AS583" s="505">
        <f t="shared" si="97"/>
        <v>37526.769999999997</v>
      </c>
      <c r="AT583" s="506">
        <f t="shared" si="98"/>
        <v>0</v>
      </c>
    </row>
    <row r="584" spans="1:46">
      <c r="A584" s="341">
        <v>2112</v>
      </c>
      <c r="B584" s="345">
        <v>86799</v>
      </c>
      <c r="C584" s="341" t="s">
        <v>574</v>
      </c>
      <c r="D584" s="340" t="s">
        <v>540</v>
      </c>
      <c r="E584" s="341">
        <v>22</v>
      </c>
      <c r="F584" s="340"/>
      <c r="G584" s="340"/>
      <c r="H584" s="340">
        <v>0</v>
      </c>
      <c r="I584" s="340" t="s">
        <v>714</v>
      </c>
      <c r="J584" s="340"/>
      <c r="K584" s="340" t="s">
        <v>578</v>
      </c>
      <c r="L584" s="344">
        <v>40751</v>
      </c>
      <c r="M584" s="344">
        <v>40751</v>
      </c>
      <c r="N584" s="340" t="s">
        <v>812</v>
      </c>
      <c r="O584" s="341">
        <v>1200</v>
      </c>
      <c r="P584" s="341">
        <v>14050</v>
      </c>
      <c r="Q584" s="342">
        <v>11585.79</v>
      </c>
      <c r="R584" s="341">
        <v>14056</v>
      </c>
      <c r="S584" s="342">
        <v>11585.79</v>
      </c>
      <c r="T584" s="342">
        <f t="shared" si="99"/>
        <v>0</v>
      </c>
      <c r="U584" s="343">
        <v>563.22</v>
      </c>
      <c r="V584" s="341">
        <v>54260</v>
      </c>
      <c r="W584" s="342">
        <v>80.47</v>
      </c>
      <c r="X584" s="340" t="s">
        <v>574</v>
      </c>
      <c r="Y584" s="340"/>
      <c r="Z584" s="340">
        <v>5016</v>
      </c>
      <c r="AA584" s="340"/>
      <c r="AB584" s="340" t="s">
        <v>571</v>
      </c>
      <c r="AC584" s="340" t="s">
        <v>570</v>
      </c>
      <c r="AD584" s="341" t="s">
        <v>569</v>
      </c>
      <c r="AE584" s="340"/>
      <c r="AF584" s="341" t="s">
        <v>568</v>
      </c>
      <c r="AG584" s="340">
        <v>0</v>
      </c>
      <c r="AH584" s="340">
        <v>0</v>
      </c>
      <c r="AI584" s="377"/>
      <c r="AK584" s="493">
        <f t="shared" si="89"/>
        <v>7</v>
      </c>
      <c r="AL584" s="493">
        <f t="shared" si="90"/>
        <v>2011</v>
      </c>
      <c r="AM584" s="493">
        <f t="shared" si="91"/>
        <v>2023</v>
      </c>
      <c r="AN584" s="494">
        <f t="shared" si="92"/>
        <v>2023.5833333333333</v>
      </c>
      <c r="AO584" s="505">
        <f t="shared" si="93"/>
        <v>80.456875000000011</v>
      </c>
      <c r="AP584" s="505">
        <f t="shared" si="94"/>
        <v>965.48250000000007</v>
      </c>
      <c r="AQ584" s="505">
        <f t="shared" si="95"/>
        <v>0</v>
      </c>
      <c r="AR584" s="505">
        <f t="shared" si="96"/>
        <v>10700.764375000148</v>
      </c>
      <c r="AS584" s="505">
        <f t="shared" si="97"/>
        <v>10700.764375000148</v>
      </c>
      <c r="AT584" s="506">
        <f t="shared" si="98"/>
        <v>885.02562499985288</v>
      </c>
    </row>
    <row r="585" spans="1:46">
      <c r="A585" s="341">
        <v>2112</v>
      </c>
      <c r="B585" s="345">
        <v>85800</v>
      </c>
      <c r="C585" s="341" t="s">
        <v>574</v>
      </c>
      <c r="D585" s="340" t="s">
        <v>541</v>
      </c>
      <c r="E585" s="341">
        <v>14</v>
      </c>
      <c r="F585" s="340"/>
      <c r="G585" s="340"/>
      <c r="H585" s="340">
        <v>0</v>
      </c>
      <c r="I585" s="340" t="s">
        <v>714</v>
      </c>
      <c r="J585" s="340"/>
      <c r="K585" s="340" t="s">
        <v>706</v>
      </c>
      <c r="L585" s="344">
        <v>40760</v>
      </c>
      <c r="M585" s="344">
        <v>40760</v>
      </c>
      <c r="N585" s="340" t="s">
        <v>811</v>
      </c>
      <c r="O585" s="341">
        <v>1200</v>
      </c>
      <c r="P585" s="341">
        <v>14050</v>
      </c>
      <c r="Q585" s="342">
        <v>7585.83</v>
      </c>
      <c r="R585" s="341">
        <v>14056</v>
      </c>
      <c r="S585" s="342">
        <v>7585.83</v>
      </c>
      <c r="T585" s="342">
        <f t="shared" si="99"/>
        <v>0</v>
      </c>
      <c r="U585" s="343">
        <v>368.78</v>
      </c>
      <c r="V585" s="341">
        <v>54260</v>
      </c>
      <c r="W585" s="342">
        <v>52.68</v>
      </c>
      <c r="X585" s="340" t="s">
        <v>574</v>
      </c>
      <c r="Y585" s="340"/>
      <c r="Z585" s="340">
        <v>5015</v>
      </c>
      <c r="AA585" s="340"/>
      <c r="AB585" s="340" t="s">
        <v>571</v>
      </c>
      <c r="AC585" s="340" t="s">
        <v>570</v>
      </c>
      <c r="AD585" s="341" t="s">
        <v>569</v>
      </c>
      <c r="AE585" s="340"/>
      <c r="AF585" s="341" t="s">
        <v>568</v>
      </c>
      <c r="AG585" s="340">
        <v>0</v>
      </c>
      <c r="AH585" s="340">
        <v>0</v>
      </c>
      <c r="AI585" s="377"/>
      <c r="AK585" s="493">
        <f t="shared" si="89"/>
        <v>8</v>
      </c>
      <c r="AL585" s="493">
        <f t="shared" si="90"/>
        <v>2011</v>
      </c>
      <c r="AM585" s="493">
        <f t="shared" si="91"/>
        <v>2023</v>
      </c>
      <c r="AN585" s="494">
        <f t="shared" si="92"/>
        <v>2023.6666666666667</v>
      </c>
      <c r="AO585" s="505">
        <f t="shared" si="93"/>
        <v>52.679375</v>
      </c>
      <c r="AP585" s="505">
        <f t="shared" si="94"/>
        <v>632.15250000000003</v>
      </c>
      <c r="AQ585" s="505">
        <f t="shared" si="95"/>
        <v>632.15250000000003</v>
      </c>
      <c r="AR585" s="505">
        <f t="shared" si="96"/>
        <v>6953.6774999999998</v>
      </c>
      <c r="AS585" s="505">
        <f t="shared" si="97"/>
        <v>7585.83</v>
      </c>
      <c r="AT585" s="506">
        <f t="shared" si="98"/>
        <v>0</v>
      </c>
    </row>
    <row r="586" spans="1:46">
      <c r="A586" s="341">
        <v>2112</v>
      </c>
      <c r="B586" s="345">
        <v>85799</v>
      </c>
      <c r="C586" s="341" t="s">
        <v>574</v>
      </c>
      <c r="D586" s="340" t="s">
        <v>541</v>
      </c>
      <c r="E586" s="341">
        <v>3</v>
      </c>
      <c r="F586" s="340"/>
      <c r="G586" s="340"/>
      <c r="H586" s="340">
        <v>0</v>
      </c>
      <c r="I586" s="340" t="s">
        <v>714</v>
      </c>
      <c r="J586" s="340"/>
      <c r="K586" s="340" t="s">
        <v>706</v>
      </c>
      <c r="L586" s="344">
        <v>40760</v>
      </c>
      <c r="M586" s="344">
        <v>40760</v>
      </c>
      <c r="N586" s="340" t="s">
        <v>810</v>
      </c>
      <c r="O586" s="341">
        <v>1200</v>
      </c>
      <c r="P586" s="341">
        <v>14050</v>
      </c>
      <c r="Q586" s="342">
        <v>1132.8</v>
      </c>
      <c r="R586" s="341">
        <v>14056</v>
      </c>
      <c r="S586" s="342">
        <v>1132.8</v>
      </c>
      <c r="T586" s="342">
        <f t="shared" si="99"/>
        <v>0</v>
      </c>
      <c r="U586" s="343">
        <v>55.07</v>
      </c>
      <c r="V586" s="341">
        <v>54260</v>
      </c>
      <c r="W586" s="342">
        <v>7.87</v>
      </c>
      <c r="X586" s="340" t="s">
        <v>574</v>
      </c>
      <c r="Y586" s="340"/>
      <c r="Z586" s="340">
        <v>5014</v>
      </c>
      <c r="AA586" s="340"/>
      <c r="AB586" s="340" t="s">
        <v>571</v>
      </c>
      <c r="AC586" s="340" t="s">
        <v>570</v>
      </c>
      <c r="AD586" s="341" t="s">
        <v>569</v>
      </c>
      <c r="AE586" s="340"/>
      <c r="AF586" s="341" t="s">
        <v>568</v>
      </c>
      <c r="AG586" s="340">
        <v>0</v>
      </c>
      <c r="AH586" s="340">
        <v>0</v>
      </c>
      <c r="AI586" s="377"/>
      <c r="AK586" s="493">
        <f t="shared" si="89"/>
        <v>8</v>
      </c>
      <c r="AL586" s="493">
        <f t="shared" si="90"/>
        <v>2011</v>
      </c>
      <c r="AM586" s="493">
        <f t="shared" si="91"/>
        <v>2023</v>
      </c>
      <c r="AN586" s="494">
        <f t="shared" si="92"/>
        <v>2023.6666666666667</v>
      </c>
      <c r="AO586" s="505">
        <f t="shared" si="93"/>
        <v>7.8666666666666663</v>
      </c>
      <c r="AP586" s="505">
        <f t="shared" si="94"/>
        <v>94.399999999999991</v>
      </c>
      <c r="AQ586" s="505">
        <f t="shared" si="95"/>
        <v>94.399999999999991</v>
      </c>
      <c r="AR586" s="505">
        <f t="shared" si="96"/>
        <v>1038.3999999999999</v>
      </c>
      <c r="AS586" s="505">
        <f t="shared" si="97"/>
        <v>1132.8</v>
      </c>
      <c r="AT586" s="506">
        <f t="shared" si="98"/>
        <v>0</v>
      </c>
    </row>
    <row r="587" spans="1:46">
      <c r="A587" s="341">
        <v>2112</v>
      </c>
      <c r="B587" s="345">
        <v>85798</v>
      </c>
      <c r="C587" s="341" t="s">
        <v>574</v>
      </c>
      <c r="D587" s="340" t="s">
        <v>542</v>
      </c>
      <c r="E587" s="341">
        <v>5</v>
      </c>
      <c r="F587" s="340"/>
      <c r="G587" s="340"/>
      <c r="H587" s="340">
        <v>0</v>
      </c>
      <c r="I587" s="340" t="s">
        <v>714</v>
      </c>
      <c r="J587" s="340"/>
      <c r="K587" s="340" t="s">
        <v>671</v>
      </c>
      <c r="L587" s="344">
        <v>40760</v>
      </c>
      <c r="M587" s="344">
        <v>40760</v>
      </c>
      <c r="N587" s="340" t="s">
        <v>810</v>
      </c>
      <c r="O587" s="341">
        <v>1200</v>
      </c>
      <c r="P587" s="341">
        <v>14050</v>
      </c>
      <c r="Q587" s="342">
        <v>2758.78</v>
      </c>
      <c r="R587" s="341">
        <v>14056</v>
      </c>
      <c r="S587" s="342">
        <v>2758.78</v>
      </c>
      <c r="T587" s="342">
        <f t="shared" si="99"/>
        <v>0</v>
      </c>
      <c r="U587" s="343">
        <v>134.09</v>
      </c>
      <c r="V587" s="341">
        <v>54260</v>
      </c>
      <c r="W587" s="342">
        <v>19.149999999999999</v>
      </c>
      <c r="X587" s="340" t="s">
        <v>574</v>
      </c>
      <c r="Y587" s="340"/>
      <c r="Z587" s="340">
        <v>5014</v>
      </c>
      <c r="AA587" s="340"/>
      <c r="AB587" s="340" t="s">
        <v>571</v>
      </c>
      <c r="AC587" s="340" t="s">
        <v>570</v>
      </c>
      <c r="AD587" s="341" t="s">
        <v>569</v>
      </c>
      <c r="AE587" s="340"/>
      <c r="AF587" s="341" t="s">
        <v>568</v>
      </c>
      <c r="AG587" s="340">
        <v>0</v>
      </c>
      <c r="AH587" s="340">
        <v>0</v>
      </c>
      <c r="AI587" s="377"/>
      <c r="AK587" s="493">
        <f t="shared" si="89"/>
        <v>8</v>
      </c>
      <c r="AL587" s="493">
        <f t="shared" si="90"/>
        <v>2011</v>
      </c>
      <c r="AM587" s="493">
        <f t="shared" si="91"/>
        <v>2023</v>
      </c>
      <c r="AN587" s="494">
        <f t="shared" si="92"/>
        <v>2023.6666666666667</v>
      </c>
      <c r="AO587" s="505">
        <f t="shared" si="93"/>
        <v>19.158194444444444</v>
      </c>
      <c r="AP587" s="505">
        <f t="shared" si="94"/>
        <v>229.89833333333331</v>
      </c>
      <c r="AQ587" s="505">
        <f t="shared" si="95"/>
        <v>229.89833333333331</v>
      </c>
      <c r="AR587" s="505">
        <f t="shared" si="96"/>
        <v>2528.8816666666671</v>
      </c>
      <c r="AS587" s="505">
        <f t="shared" si="97"/>
        <v>2758.7800000000007</v>
      </c>
      <c r="AT587" s="506">
        <f t="shared" si="98"/>
        <v>0</v>
      </c>
    </row>
    <row r="588" spans="1:46">
      <c r="A588" s="341">
        <v>2112</v>
      </c>
      <c r="B588" s="345">
        <v>85400</v>
      </c>
      <c r="C588" s="341" t="s">
        <v>574</v>
      </c>
      <c r="D588" s="340" t="s">
        <v>809</v>
      </c>
      <c r="E588" s="341">
        <v>960</v>
      </c>
      <c r="F588" s="340"/>
      <c r="G588" s="340"/>
      <c r="H588" s="340">
        <v>0</v>
      </c>
      <c r="I588" s="340" t="s">
        <v>808</v>
      </c>
      <c r="J588" s="340"/>
      <c r="K588" s="340"/>
      <c r="L588" s="344">
        <v>40678</v>
      </c>
      <c r="M588" s="344">
        <v>40678</v>
      </c>
      <c r="N588" s="340" t="s">
        <v>807</v>
      </c>
      <c r="O588" s="341">
        <v>500</v>
      </c>
      <c r="P588" s="341">
        <v>14050</v>
      </c>
      <c r="Q588" s="342">
        <v>6929.61</v>
      </c>
      <c r="R588" s="341">
        <v>14056</v>
      </c>
      <c r="S588" s="342">
        <v>6929.61</v>
      </c>
      <c r="T588" s="342">
        <f t="shared" si="99"/>
        <v>0</v>
      </c>
      <c r="U588" s="343">
        <v>0</v>
      </c>
      <c r="V588" s="341">
        <v>54260</v>
      </c>
      <c r="W588" s="342">
        <v>0</v>
      </c>
      <c r="X588" s="340" t="s">
        <v>574</v>
      </c>
      <c r="Y588" s="340"/>
      <c r="Z588" s="340" t="s">
        <v>806</v>
      </c>
      <c r="AA588" s="340"/>
      <c r="AB588" s="340" t="s">
        <v>571</v>
      </c>
      <c r="AC588" s="340" t="s">
        <v>570</v>
      </c>
      <c r="AD588" s="341" t="s">
        <v>569</v>
      </c>
      <c r="AE588" s="340"/>
      <c r="AF588" s="341" t="s">
        <v>568</v>
      </c>
      <c r="AG588" s="340">
        <v>0</v>
      </c>
      <c r="AH588" s="340">
        <v>0</v>
      </c>
      <c r="AI588" s="377"/>
      <c r="AK588" s="493">
        <f t="shared" si="89"/>
        <v>5</v>
      </c>
      <c r="AL588" s="493">
        <f t="shared" si="90"/>
        <v>2011</v>
      </c>
      <c r="AM588" s="493">
        <f t="shared" si="91"/>
        <v>2016</v>
      </c>
      <c r="AN588" s="494">
        <f t="shared" si="92"/>
        <v>2016.4166666666667</v>
      </c>
      <c r="AO588" s="505">
        <f t="shared" si="93"/>
        <v>115.4935</v>
      </c>
      <c r="AP588" s="505">
        <f t="shared" si="94"/>
        <v>1385.922</v>
      </c>
      <c r="AQ588" s="505">
        <f t="shared" si="95"/>
        <v>0</v>
      </c>
      <c r="AR588" s="505">
        <f t="shared" si="96"/>
        <v>6929.61</v>
      </c>
      <c r="AS588" s="505">
        <f t="shared" si="97"/>
        <v>6929.61</v>
      </c>
      <c r="AT588" s="506">
        <f t="shared" si="98"/>
        <v>0</v>
      </c>
    </row>
    <row r="589" spans="1:46">
      <c r="A589" s="341">
        <v>2112</v>
      </c>
      <c r="B589" s="345">
        <v>84694</v>
      </c>
      <c r="C589" s="341" t="s">
        <v>574</v>
      </c>
      <c r="D589" s="340" t="s">
        <v>805</v>
      </c>
      <c r="E589" s="341">
        <v>0</v>
      </c>
      <c r="F589" s="340" t="s">
        <v>804</v>
      </c>
      <c r="G589" s="340" t="s">
        <v>803</v>
      </c>
      <c r="H589" s="340">
        <v>2003</v>
      </c>
      <c r="I589" s="340" t="s">
        <v>802</v>
      </c>
      <c r="J589" s="340" t="s">
        <v>801</v>
      </c>
      <c r="K589" s="340" t="s">
        <v>800</v>
      </c>
      <c r="L589" s="344">
        <v>40714</v>
      </c>
      <c r="M589" s="344">
        <v>40714</v>
      </c>
      <c r="N589" s="340" t="s">
        <v>799</v>
      </c>
      <c r="O589" s="341">
        <v>300</v>
      </c>
      <c r="P589" s="341">
        <v>14040</v>
      </c>
      <c r="Q589" s="342">
        <v>19747.060000000001</v>
      </c>
      <c r="R589" s="341">
        <v>14046</v>
      </c>
      <c r="S589" s="342">
        <v>19747.060000000001</v>
      </c>
      <c r="T589" s="342">
        <f t="shared" si="99"/>
        <v>0</v>
      </c>
      <c r="U589" s="343">
        <v>0</v>
      </c>
      <c r="V589" s="341">
        <v>51260</v>
      </c>
      <c r="W589" s="342">
        <v>0</v>
      </c>
      <c r="X589" s="340" t="s">
        <v>574</v>
      </c>
      <c r="Y589" s="340"/>
      <c r="Z589" s="340" t="s">
        <v>798</v>
      </c>
      <c r="AA589" s="340" t="s">
        <v>797</v>
      </c>
      <c r="AB589" s="340" t="s">
        <v>571</v>
      </c>
      <c r="AC589" s="340" t="s">
        <v>570</v>
      </c>
      <c r="AD589" s="341" t="s">
        <v>569</v>
      </c>
      <c r="AE589" s="340"/>
      <c r="AF589" s="341" t="s">
        <v>568</v>
      </c>
      <c r="AG589" s="340">
        <v>0</v>
      </c>
      <c r="AH589" s="340">
        <v>0</v>
      </c>
      <c r="AI589" s="377"/>
      <c r="AK589" s="493">
        <f t="shared" si="89"/>
        <v>6</v>
      </c>
      <c r="AL589" s="493">
        <f t="shared" si="90"/>
        <v>2011</v>
      </c>
      <c r="AM589" s="493">
        <f t="shared" si="91"/>
        <v>2014</v>
      </c>
      <c r="AN589" s="494">
        <f t="shared" si="92"/>
        <v>2014.5</v>
      </c>
      <c r="AO589" s="505">
        <f t="shared" si="93"/>
        <v>548.52944444444449</v>
      </c>
      <c r="AP589" s="505">
        <f t="shared" si="94"/>
        <v>6582.3533333333344</v>
      </c>
      <c r="AQ589" s="505">
        <f t="shared" si="95"/>
        <v>0</v>
      </c>
      <c r="AR589" s="505">
        <f t="shared" si="96"/>
        <v>19747.060000000001</v>
      </c>
      <c r="AS589" s="505">
        <f t="shared" si="97"/>
        <v>19747.060000000001</v>
      </c>
      <c r="AT589" s="506">
        <f t="shared" si="98"/>
        <v>0</v>
      </c>
    </row>
    <row r="590" spans="1:46">
      <c r="A590" s="341">
        <v>2112</v>
      </c>
      <c r="B590" s="345">
        <v>80934</v>
      </c>
      <c r="C590" s="341" t="s">
        <v>574</v>
      </c>
      <c r="D590" s="340" t="s">
        <v>796</v>
      </c>
      <c r="E590" s="341">
        <v>342</v>
      </c>
      <c r="F590" s="340"/>
      <c r="G590" s="340"/>
      <c r="H590" s="340">
        <v>0</v>
      </c>
      <c r="I590" s="340" t="s">
        <v>730</v>
      </c>
      <c r="J590" s="340"/>
      <c r="K590" s="340"/>
      <c r="L590" s="344">
        <v>40653</v>
      </c>
      <c r="M590" s="344">
        <v>40653</v>
      </c>
      <c r="N590" s="340" t="s">
        <v>793</v>
      </c>
      <c r="O590" s="341">
        <v>700</v>
      </c>
      <c r="P590" s="341">
        <v>14050</v>
      </c>
      <c r="Q590" s="342">
        <v>15459.36</v>
      </c>
      <c r="R590" s="341">
        <v>14056</v>
      </c>
      <c r="S590" s="342">
        <v>15459.36</v>
      </c>
      <c r="T590" s="342">
        <f t="shared" si="99"/>
        <v>0</v>
      </c>
      <c r="U590" s="343">
        <v>0</v>
      </c>
      <c r="V590" s="341">
        <v>54260</v>
      </c>
      <c r="W590" s="342">
        <v>0</v>
      </c>
      <c r="X590" s="340" t="s">
        <v>574</v>
      </c>
      <c r="Y590" s="340"/>
      <c r="Z590" s="340" t="s">
        <v>795</v>
      </c>
      <c r="AA590" s="340"/>
      <c r="AB590" s="340" t="s">
        <v>571</v>
      </c>
      <c r="AC590" s="340" t="s">
        <v>570</v>
      </c>
      <c r="AD590" s="341" t="s">
        <v>569</v>
      </c>
      <c r="AE590" s="340"/>
      <c r="AF590" s="341" t="s">
        <v>568</v>
      </c>
      <c r="AG590" s="340">
        <v>0</v>
      </c>
      <c r="AH590" s="340">
        <v>0</v>
      </c>
      <c r="AI590" s="377"/>
      <c r="AK590" s="493">
        <f t="shared" ref="AK590:AK653" si="100">MONTH($L590)</f>
        <v>4</v>
      </c>
      <c r="AL590" s="493">
        <f t="shared" ref="AL590:AL653" si="101">YEAR($L590)</f>
        <v>2011</v>
      </c>
      <c r="AM590" s="493">
        <f t="shared" ref="AM590:AM653" si="102">$AL590+($O590/100)</f>
        <v>2018</v>
      </c>
      <c r="AN590" s="494">
        <f t="shared" ref="AN590:AN653" si="103">$AM590+($AK590/12)</f>
        <v>2018.3333333333333</v>
      </c>
      <c r="AO590" s="505">
        <f t="shared" ref="AO590:AO653" si="104">IFERROR($Q590/($O590/100)/12,0)</f>
        <v>184.04</v>
      </c>
      <c r="AP590" s="505">
        <f t="shared" ref="AP590:AP653" si="105">$AO590*12</f>
        <v>2208.48</v>
      </c>
      <c r="AQ590" s="505">
        <f t="shared" ref="AQ590:AQ653" si="106">+IF(AN590&lt;=$AI$9,0,AP590)</f>
        <v>0</v>
      </c>
      <c r="AR590" s="505">
        <f t="shared" ref="AR590:AR653" si="107">+IF(AN590&lt;=$AI$10,Q590,IF((AL590+(AK590/12))&gt;=$AI$10,0,((Q590-((AN590-$AI$10)*12)*AO590))))</f>
        <v>15459.36</v>
      </c>
      <c r="AS590" s="505">
        <f t="shared" ref="AS590:AS653" si="108">+IF(AN590&lt;$AI$9,Q590,AQ590+AR590)</f>
        <v>15459.36</v>
      </c>
      <c r="AT590" s="506">
        <f t="shared" ref="AT590:AT653" si="109">$Q590-$AS590</f>
        <v>0</v>
      </c>
    </row>
    <row r="591" spans="1:46">
      <c r="A591" s="341">
        <v>2112</v>
      </c>
      <c r="B591" s="345">
        <v>80933</v>
      </c>
      <c r="C591" s="341" t="s">
        <v>574</v>
      </c>
      <c r="D591" s="340" t="s">
        <v>794</v>
      </c>
      <c r="E591" s="341">
        <v>504</v>
      </c>
      <c r="F591" s="340"/>
      <c r="G591" s="340"/>
      <c r="H591" s="340">
        <v>0</v>
      </c>
      <c r="I591" s="340" t="s">
        <v>730</v>
      </c>
      <c r="J591" s="340"/>
      <c r="K591" s="340"/>
      <c r="L591" s="344">
        <v>40653</v>
      </c>
      <c r="M591" s="344">
        <v>40653</v>
      </c>
      <c r="N591" s="340" t="s">
        <v>793</v>
      </c>
      <c r="O591" s="341">
        <v>700</v>
      </c>
      <c r="P591" s="341">
        <v>14050</v>
      </c>
      <c r="Q591" s="342">
        <v>17127.650000000001</v>
      </c>
      <c r="R591" s="341">
        <v>14056</v>
      </c>
      <c r="S591" s="342">
        <v>17127.650000000001</v>
      </c>
      <c r="T591" s="342">
        <f t="shared" si="99"/>
        <v>0</v>
      </c>
      <c r="U591" s="343">
        <v>0</v>
      </c>
      <c r="V591" s="341">
        <v>54260</v>
      </c>
      <c r="W591" s="342">
        <v>0</v>
      </c>
      <c r="X591" s="340" t="s">
        <v>574</v>
      </c>
      <c r="Y591" s="340"/>
      <c r="Z591" s="340" t="s">
        <v>792</v>
      </c>
      <c r="AA591" s="340"/>
      <c r="AB591" s="340" t="s">
        <v>571</v>
      </c>
      <c r="AC591" s="340" t="s">
        <v>570</v>
      </c>
      <c r="AD591" s="341" t="s">
        <v>569</v>
      </c>
      <c r="AE591" s="340"/>
      <c r="AF591" s="341" t="s">
        <v>568</v>
      </c>
      <c r="AG591" s="340">
        <v>0</v>
      </c>
      <c r="AH591" s="340">
        <v>0</v>
      </c>
      <c r="AI591" s="377"/>
      <c r="AK591" s="493">
        <f t="shared" si="100"/>
        <v>4</v>
      </c>
      <c r="AL591" s="493">
        <f t="shared" si="101"/>
        <v>2011</v>
      </c>
      <c r="AM591" s="493">
        <f t="shared" si="102"/>
        <v>2018</v>
      </c>
      <c r="AN591" s="494">
        <f t="shared" si="103"/>
        <v>2018.3333333333333</v>
      </c>
      <c r="AO591" s="505">
        <f t="shared" si="104"/>
        <v>203.90059523809524</v>
      </c>
      <c r="AP591" s="505">
        <f t="shared" si="105"/>
        <v>2446.8071428571429</v>
      </c>
      <c r="AQ591" s="505">
        <f t="shared" si="106"/>
        <v>0</v>
      </c>
      <c r="AR591" s="505">
        <f t="shared" si="107"/>
        <v>17127.650000000001</v>
      </c>
      <c r="AS591" s="505">
        <f t="shared" si="108"/>
        <v>17127.650000000001</v>
      </c>
      <c r="AT591" s="506">
        <f t="shared" si="109"/>
        <v>0</v>
      </c>
    </row>
    <row r="592" spans="1:46">
      <c r="A592" s="341">
        <v>2112</v>
      </c>
      <c r="B592" s="345">
        <v>80813</v>
      </c>
      <c r="C592" s="341" t="s">
        <v>574</v>
      </c>
      <c r="D592" s="340" t="s">
        <v>790</v>
      </c>
      <c r="E592" s="341">
        <v>0</v>
      </c>
      <c r="F592" s="340"/>
      <c r="G592" s="340"/>
      <c r="H592" s="340">
        <v>0</v>
      </c>
      <c r="I592" s="340" t="s">
        <v>789</v>
      </c>
      <c r="J592" s="340"/>
      <c r="K592" s="340"/>
      <c r="L592" s="344">
        <v>40544</v>
      </c>
      <c r="M592" s="344">
        <v>40544</v>
      </c>
      <c r="N592" s="340" t="s">
        <v>791</v>
      </c>
      <c r="O592" s="341">
        <v>300</v>
      </c>
      <c r="P592" s="341">
        <v>14110</v>
      </c>
      <c r="Q592" s="342">
        <v>1547.66</v>
      </c>
      <c r="R592" s="341">
        <v>14116</v>
      </c>
      <c r="S592" s="342">
        <v>1547.66</v>
      </c>
      <c r="T592" s="342">
        <f t="shared" si="99"/>
        <v>0</v>
      </c>
      <c r="U592" s="343">
        <v>0</v>
      </c>
      <c r="V592" s="341">
        <v>70260</v>
      </c>
      <c r="W592" s="342">
        <v>0</v>
      </c>
      <c r="X592" s="340" t="s">
        <v>574</v>
      </c>
      <c r="Y592" s="340"/>
      <c r="Z592" s="340">
        <v>1245414</v>
      </c>
      <c r="AA592" s="340"/>
      <c r="AB592" s="340" t="s">
        <v>571</v>
      </c>
      <c r="AC592" s="340" t="s">
        <v>570</v>
      </c>
      <c r="AD592" s="341" t="s">
        <v>569</v>
      </c>
      <c r="AE592" s="340"/>
      <c r="AF592" s="341" t="s">
        <v>568</v>
      </c>
      <c r="AG592" s="340">
        <v>0</v>
      </c>
      <c r="AH592" s="340">
        <v>0</v>
      </c>
      <c r="AI592" s="377"/>
      <c r="AK592" s="493">
        <f t="shared" si="100"/>
        <v>1</v>
      </c>
      <c r="AL592" s="493">
        <f t="shared" si="101"/>
        <v>2011</v>
      </c>
      <c r="AM592" s="493">
        <f t="shared" si="102"/>
        <v>2014</v>
      </c>
      <c r="AN592" s="494">
        <f t="shared" si="103"/>
        <v>2014.0833333333333</v>
      </c>
      <c r="AO592" s="505">
        <f t="shared" si="104"/>
        <v>42.990555555555552</v>
      </c>
      <c r="AP592" s="505">
        <f t="shared" si="105"/>
        <v>515.88666666666666</v>
      </c>
      <c r="AQ592" s="505">
        <f t="shared" si="106"/>
        <v>0</v>
      </c>
      <c r="AR592" s="505">
        <f t="shared" si="107"/>
        <v>1547.66</v>
      </c>
      <c r="AS592" s="505">
        <f t="shared" si="108"/>
        <v>1547.66</v>
      </c>
      <c r="AT592" s="506">
        <f t="shared" si="109"/>
        <v>0</v>
      </c>
    </row>
    <row r="593" spans="1:46">
      <c r="A593" s="341">
        <v>2112</v>
      </c>
      <c r="B593" s="345">
        <v>80812</v>
      </c>
      <c r="C593" s="341" t="s">
        <v>574</v>
      </c>
      <c r="D593" s="340" t="s">
        <v>790</v>
      </c>
      <c r="E593" s="341">
        <v>0</v>
      </c>
      <c r="F593" s="340"/>
      <c r="G593" s="340"/>
      <c r="H593" s="340">
        <v>0</v>
      </c>
      <c r="I593" s="340" t="s">
        <v>789</v>
      </c>
      <c r="J593" s="340"/>
      <c r="K593" s="340"/>
      <c r="L593" s="344">
        <v>40544</v>
      </c>
      <c r="M593" s="344">
        <v>40544</v>
      </c>
      <c r="N593" s="340" t="s">
        <v>788</v>
      </c>
      <c r="O593" s="341">
        <v>300</v>
      </c>
      <c r="P593" s="341">
        <v>14110</v>
      </c>
      <c r="Q593" s="342">
        <v>5636</v>
      </c>
      <c r="R593" s="341">
        <v>14116</v>
      </c>
      <c r="S593" s="342">
        <v>5636</v>
      </c>
      <c r="T593" s="342">
        <f t="shared" si="99"/>
        <v>0</v>
      </c>
      <c r="U593" s="343">
        <v>0</v>
      </c>
      <c r="V593" s="341">
        <v>70260</v>
      </c>
      <c r="W593" s="342">
        <v>0</v>
      </c>
      <c r="X593" s="340" t="s">
        <v>574</v>
      </c>
      <c r="Y593" s="340"/>
      <c r="Z593" s="340">
        <v>1245414</v>
      </c>
      <c r="AA593" s="340"/>
      <c r="AB593" s="340" t="s">
        <v>571</v>
      </c>
      <c r="AC593" s="340" t="s">
        <v>570</v>
      </c>
      <c r="AD593" s="341" t="s">
        <v>569</v>
      </c>
      <c r="AE593" s="340"/>
      <c r="AF593" s="341" t="s">
        <v>568</v>
      </c>
      <c r="AG593" s="340">
        <v>0</v>
      </c>
      <c r="AH593" s="340">
        <v>0</v>
      </c>
      <c r="AI593" s="377"/>
      <c r="AK593" s="493">
        <f t="shared" si="100"/>
        <v>1</v>
      </c>
      <c r="AL593" s="493">
        <f t="shared" si="101"/>
        <v>2011</v>
      </c>
      <c r="AM593" s="493">
        <f t="shared" si="102"/>
        <v>2014</v>
      </c>
      <c r="AN593" s="494">
        <f t="shared" si="103"/>
        <v>2014.0833333333333</v>
      </c>
      <c r="AO593" s="505">
        <f t="shared" si="104"/>
        <v>156.55555555555557</v>
      </c>
      <c r="AP593" s="505">
        <f t="shared" si="105"/>
        <v>1878.666666666667</v>
      </c>
      <c r="AQ593" s="505">
        <f t="shared" si="106"/>
        <v>0</v>
      </c>
      <c r="AR593" s="505">
        <f t="shared" si="107"/>
        <v>5636</v>
      </c>
      <c r="AS593" s="505">
        <f t="shared" si="108"/>
        <v>5636</v>
      </c>
      <c r="AT593" s="506">
        <f t="shared" si="109"/>
        <v>0</v>
      </c>
    </row>
    <row r="594" spans="1:46">
      <c r="A594" s="341">
        <v>2112</v>
      </c>
      <c r="B594" s="345">
        <v>80055</v>
      </c>
      <c r="C594" s="341" t="s">
        <v>574</v>
      </c>
      <c r="D594" s="340" t="s">
        <v>787</v>
      </c>
      <c r="E594" s="341">
        <v>0</v>
      </c>
      <c r="F594" s="340">
        <v>603235</v>
      </c>
      <c r="G594" s="340"/>
      <c r="H594" s="340">
        <v>1986</v>
      </c>
      <c r="I594" s="340" t="s">
        <v>786</v>
      </c>
      <c r="J594" s="340"/>
      <c r="K594" s="340" t="s">
        <v>785</v>
      </c>
      <c r="L594" s="344">
        <v>40544</v>
      </c>
      <c r="M594" s="344">
        <v>40544</v>
      </c>
      <c r="N594" s="340"/>
      <c r="O594" s="341">
        <v>100</v>
      </c>
      <c r="P594" s="341">
        <v>14030</v>
      </c>
      <c r="Q594" s="526">
        <v>0</v>
      </c>
      <c r="R594" s="341">
        <v>14036</v>
      </c>
      <c r="S594" s="526">
        <v>0</v>
      </c>
      <c r="T594" s="526">
        <f t="shared" si="99"/>
        <v>0</v>
      </c>
      <c r="U594" s="527">
        <v>0</v>
      </c>
      <c r="V594" s="341">
        <v>51260</v>
      </c>
      <c r="W594" s="526">
        <v>0</v>
      </c>
      <c r="X594" s="340" t="s">
        <v>574</v>
      </c>
      <c r="Y594" s="340"/>
      <c r="Z594" s="340"/>
      <c r="AA594" s="340" t="s">
        <v>2139</v>
      </c>
      <c r="AB594" s="340" t="s">
        <v>571</v>
      </c>
      <c r="AC594" s="340" t="s">
        <v>570</v>
      </c>
      <c r="AD594" s="341" t="s">
        <v>596</v>
      </c>
      <c r="AE594" s="340"/>
      <c r="AF594" s="341" t="s">
        <v>568</v>
      </c>
      <c r="AG594" s="340">
        <v>0</v>
      </c>
      <c r="AH594" s="340">
        <v>0</v>
      </c>
      <c r="AI594" s="377"/>
      <c r="AJ594" s="530"/>
      <c r="AK594" s="493">
        <f t="shared" si="100"/>
        <v>1</v>
      </c>
      <c r="AL594" s="493">
        <f t="shared" si="101"/>
        <v>2011</v>
      </c>
      <c r="AM594" s="493">
        <f t="shared" si="102"/>
        <v>2012</v>
      </c>
      <c r="AN594" s="494">
        <f t="shared" si="103"/>
        <v>2012.0833333333333</v>
      </c>
      <c r="AO594" s="505">
        <f t="shared" si="104"/>
        <v>0</v>
      </c>
      <c r="AP594" s="505">
        <f t="shared" si="105"/>
        <v>0</v>
      </c>
      <c r="AQ594" s="505">
        <f t="shared" si="106"/>
        <v>0</v>
      </c>
      <c r="AR594" s="505">
        <f t="shared" si="107"/>
        <v>0</v>
      </c>
      <c r="AS594" s="505">
        <f t="shared" si="108"/>
        <v>0</v>
      </c>
      <c r="AT594" s="506">
        <f t="shared" si="109"/>
        <v>0</v>
      </c>
    </row>
    <row r="595" spans="1:46">
      <c r="A595" s="341">
        <v>2112</v>
      </c>
      <c r="B595" s="345">
        <v>76544</v>
      </c>
      <c r="C595" s="341" t="s">
        <v>574</v>
      </c>
      <c r="D595" s="340" t="s">
        <v>542</v>
      </c>
      <c r="E595" s="341">
        <v>30</v>
      </c>
      <c r="F595" s="340"/>
      <c r="G595" s="340"/>
      <c r="H595" s="340">
        <v>0</v>
      </c>
      <c r="I595" s="340" t="s">
        <v>784</v>
      </c>
      <c r="J595" s="340"/>
      <c r="K595" s="340" t="s">
        <v>671</v>
      </c>
      <c r="L595" s="344">
        <v>40360</v>
      </c>
      <c r="M595" s="344">
        <v>40360</v>
      </c>
      <c r="N595" s="340" t="s">
        <v>783</v>
      </c>
      <c r="O595" s="341">
        <v>1200</v>
      </c>
      <c r="P595" s="341">
        <v>14050</v>
      </c>
      <c r="Q595" s="342">
        <v>13503.93</v>
      </c>
      <c r="R595" s="341">
        <v>14056</v>
      </c>
      <c r="S595" s="342">
        <v>13503.93</v>
      </c>
      <c r="T595" s="342">
        <f t="shared" si="99"/>
        <v>0</v>
      </c>
      <c r="U595" s="343">
        <v>0</v>
      </c>
      <c r="V595" s="341">
        <v>54260</v>
      </c>
      <c r="W595" s="342">
        <v>0</v>
      </c>
      <c r="X595" s="340" t="s">
        <v>574</v>
      </c>
      <c r="Y595" s="340"/>
      <c r="Z595" s="340">
        <v>37201270</v>
      </c>
      <c r="AA595" s="340"/>
      <c r="AB595" s="340" t="s">
        <v>571</v>
      </c>
      <c r="AC595" s="340" t="s">
        <v>570</v>
      </c>
      <c r="AD595" s="341" t="s">
        <v>569</v>
      </c>
      <c r="AE595" s="340"/>
      <c r="AF595" s="341" t="s">
        <v>568</v>
      </c>
      <c r="AG595" s="340">
        <v>0</v>
      </c>
      <c r="AH595" s="340">
        <v>0</v>
      </c>
      <c r="AI595" s="377"/>
      <c r="AK595" s="493">
        <f t="shared" si="100"/>
        <v>7</v>
      </c>
      <c r="AL595" s="493">
        <f t="shared" si="101"/>
        <v>2010</v>
      </c>
      <c r="AM595" s="493">
        <f t="shared" si="102"/>
        <v>2022</v>
      </c>
      <c r="AN595" s="494">
        <f t="shared" si="103"/>
        <v>2022.5833333333333</v>
      </c>
      <c r="AO595" s="505">
        <f t="shared" si="104"/>
        <v>93.77729166666667</v>
      </c>
      <c r="AP595" s="505">
        <f t="shared" si="105"/>
        <v>1125.3275000000001</v>
      </c>
      <c r="AQ595" s="505">
        <f t="shared" si="106"/>
        <v>0</v>
      </c>
      <c r="AR595" s="505">
        <f t="shared" si="107"/>
        <v>13503.93</v>
      </c>
      <c r="AS595" s="505">
        <f t="shared" si="108"/>
        <v>13503.93</v>
      </c>
      <c r="AT595" s="506">
        <f t="shared" si="109"/>
        <v>0</v>
      </c>
    </row>
    <row r="596" spans="1:46">
      <c r="A596" s="341">
        <v>2112</v>
      </c>
      <c r="B596" s="345">
        <v>75740</v>
      </c>
      <c r="C596" s="341" t="s">
        <v>574</v>
      </c>
      <c r="D596" s="340" t="s">
        <v>544</v>
      </c>
      <c r="E596" s="341">
        <v>10</v>
      </c>
      <c r="F596" s="340"/>
      <c r="G596" s="340"/>
      <c r="H596" s="340">
        <v>0</v>
      </c>
      <c r="I596" s="340" t="s">
        <v>714</v>
      </c>
      <c r="J596" s="340"/>
      <c r="K596" s="340" t="s">
        <v>782</v>
      </c>
      <c r="L596" s="344">
        <v>40374</v>
      </c>
      <c r="M596" s="344">
        <v>40374</v>
      </c>
      <c r="N596" s="340" t="s">
        <v>781</v>
      </c>
      <c r="O596" s="341">
        <v>1200</v>
      </c>
      <c r="P596" s="341">
        <v>14050</v>
      </c>
      <c r="Q596" s="342">
        <v>7100.2</v>
      </c>
      <c r="R596" s="341">
        <v>14056</v>
      </c>
      <c r="S596" s="342">
        <v>7100.2</v>
      </c>
      <c r="T596" s="342">
        <f t="shared" si="99"/>
        <v>0</v>
      </c>
      <c r="U596" s="343">
        <v>0</v>
      </c>
      <c r="V596" s="341">
        <v>54260</v>
      </c>
      <c r="W596" s="342">
        <v>0</v>
      </c>
      <c r="X596" s="340" t="s">
        <v>574</v>
      </c>
      <c r="Y596" s="340"/>
      <c r="Z596" s="340">
        <v>4593</v>
      </c>
      <c r="AA596" s="340"/>
      <c r="AB596" s="340" t="s">
        <v>571</v>
      </c>
      <c r="AC596" s="340" t="s">
        <v>570</v>
      </c>
      <c r="AD596" s="341" t="s">
        <v>569</v>
      </c>
      <c r="AE596" s="340"/>
      <c r="AF596" s="341" t="s">
        <v>568</v>
      </c>
      <c r="AG596" s="340">
        <v>0</v>
      </c>
      <c r="AH596" s="340">
        <v>0</v>
      </c>
      <c r="AI596" s="377"/>
      <c r="AK596" s="493">
        <f t="shared" si="100"/>
        <v>7</v>
      </c>
      <c r="AL596" s="493">
        <f t="shared" si="101"/>
        <v>2010</v>
      </c>
      <c r="AM596" s="493">
        <f t="shared" si="102"/>
        <v>2022</v>
      </c>
      <c r="AN596" s="494">
        <f t="shared" si="103"/>
        <v>2022.5833333333333</v>
      </c>
      <c r="AO596" s="505">
        <f t="shared" si="104"/>
        <v>49.30694444444444</v>
      </c>
      <c r="AP596" s="505">
        <f t="shared" si="105"/>
        <v>591.68333333333328</v>
      </c>
      <c r="AQ596" s="505">
        <f t="shared" si="106"/>
        <v>0</v>
      </c>
      <c r="AR596" s="505">
        <f t="shared" si="107"/>
        <v>7100.2</v>
      </c>
      <c r="AS596" s="505">
        <f t="shared" si="108"/>
        <v>7100.2</v>
      </c>
      <c r="AT596" s="506">
        <f t="shared" si="109"/>
        <v>0</v>
      </c>
    </row>
    <row r="597" spans="1:46">
      <c r="A597" s="341">
        <v>2112</v>
      </c>
      <c r="B597" s="345">
        <v>75739</v>
      </c>
      <c r="C597" s="341" t="s">
        <v>574</v>
      </c>
      <c r="D597" s="340" t="s">
        <v>545</v>
      </c>
      <c r="E597" s="341">
        <v>10</v>
      </c>
      <c r="F597" s="340"/>
      <c r="G597" s="340"/>
      <c r="H597" s="340">
        <v>0</v>
      </c>
      <c r="I597" s="340" t="s">
        <v>714</v>
      </c>
      <c r="J597" s="340"/>
      <c r="K597" s="340" t="s">
        <v>673</v>
      </c>
      <c r="L597" s="344">
        <v>40374</v>
      </c>
      <c r="M597" s="344">
        <v>40374</v>
      </c>
      <c r="N597" s="340" t="s">
        <v>780</v>
      </c>
      <c r="O597" s="341">
        <v>1200</v>
      </c>
      <c r="P597" s="341">
        <v>14050</v>
      </c>
      <c r="Q597" s="342">
        <v>9457.9</v>
      </c>
      <c r="R597" s="341">
        <v>14056</v>
      </c>
      <c r="S597" s="342">
        <v>9457.9</v>
      </c>
      <c r="T597" s="342">
        <f t="shared" ref="T597:T660" si="110">Q597-S597</f>
        <v>0</v>
      </c>
      <c r="U597" s="343">
        <v>0</v>
      </c>
      <c r="V597" s="341">
        <v>54260</v>
      </c>
      <c r="W597" s="342">
        <v>0</v>
      </c>
      <c r="X597" s="340" t="s">
        <v>574</v>
      </c>
      <c r="Y597" s="340"/>
      <c r="Z597" s="340">
        <v>4594</v>
      </c>
      <c r="AA597" s="340"/>
      <c r="AB597" s="340" t="s">
        <v>571</v>
      </c>
      <c r="AC597" s="340" t="s">
        <v>570</v>
      </c>
      <c r="AD597" s="341" t="s">
        <v>569</v>
      </c>
      <c r="AE597" s="340"/>
      <c r="AF597" s="341" t="s">
        <v>568</v>
      </c>
      <c r="AG597" s="340">
        <v>0</v>
      </c>
      <c r="AH597" s="340">
        <v>0</v>
      </c>
      <c r="AI597" s="377"/>
      <c r="AK597" s="493">
        <f t="shared" si="100"/>
        <v>7</v>
      </c>
      <c r="AL597" s="493">
        <f t="shared" si="101"/>
        <v>2010</v>
      </c>
      <c r="AM597" s="493">
        <f t="shared" si="102"/>
        <v>2022</v>
      </c>
      <c r="AN597" s="494">
        <f t="shared" si="103"/>
        <v>2022.5833333333333</v>
      </c>
      <c r="AO597" s="505">
        <f t="shared" si="104"/>
        <v>65.679861111111109</v>
      </c>
      <c r="AP597" s="505">
        <f t="shared" si="105"/>
        <v>788.1583333333333</v>
      </c>
      <c r="AQ597" s="505">
        <f t="shared" si="106"/>
        <v>0</v>
      </c>
      <c r="AR597" s="505">
        <f t="shared" si="107"/>
        <v>9457.9</v>
      </c>
      <c r="AS597" s="505">
        <f t="shared" si="108"/>
        <v>9457.9</v>
      </c>
      <c r="AT597" s="506">
        <f t="shared" si="109"/>
        <v>0</v>
      </c>
    </row>
    <row r="598" spans="1:46">
      <c r="A598" s="341">
        <v>2112</v>
      </c>
      <c r="B598" s="345">
        <v>75223</v>
      </c>
      <c r="C598" s="341" t="s">
        <v>574</v>
      </c>
      <c r="D598" s="340" t="s">
        <v>540</v>
      </c>
      <c r="E598" s="341">
        <v>12</v>
      </c>
      <c r="F598" s="340"/>
      <c r="G598" s="340"/>
      <c r="H598" s="340">
        <v>0</v>
      </c>
      <c r="I598" s="340" t="s">
        <v>714</v>
      </c>
      <c r="J598" s="340"/>
      <c r="K598" s="340" t="s">
        <v>578</v>
      </c>
      <c r="L598" s="344">
        <v>40333</v>
      </c>
      <c r="M598" s="344">
        <v>40333</v>
      </c>
      <c r="N598" s="340" t="s">
        <v>779</v>
      </c>
      <c r="O598" s="341">
        <v>1200</v>
      </c>
      <c r="P598" s="341">
        <v>14050</v>
      </c>
      <c r="Q598" s="342">
        <v>5547.91</v>
      </c>
      <c r="R598" s="341">
        <v>14056</v>
      </c>
      <c r="S598" s="342">
        <v>5547.91</v>
      </c>
      <c r="T598" s="342">
        <f t="shared" si="110"/>
        <v>0</v>
      </c>
      <c r="U598" s="343">
        <v>0</v>
      </c>
      <c r="V598" s="341">
        <v>54260</v>
      </c>
      <c r="W598" s="342">
        <v>0</v>
      </c>
      <c r="X598" s="340" t="s">
        <v>574</v>
      </c>
      <c r="Y598" s="340"/>
      <c r="Z598" s="340">
        <v>4560</v>
      </c>
      <c r="AA598" s="340"/>
      <c r="AB598" s="340" t="s">
        <v>571</v>
      </c>
      <c r="AC598" s="340" t="s">
        <v>570</v>
      </c>
      <c r="AD598" s="341" t="s">
        <v>569</v>
      </c>
      <c r="AE598" s="340"/>
      <c r="AF598" s="341" t="s">
        <v>568</v>
      </c>
      <c r="AG598" s="340">
        <v>0</v>
      </c>
      <c r="AH598" s="340">
        <v>0</v>
      </c>
      <c r="AI598" s="377"/>
      <c r="AK598" s="493">
        <f t="shared" si="100"/>
        <v>6</v>
      </c>
      <c r="AL598" s="493">
        <f t="shared" si="101"/>
        <v>2010</v>
      </c>
      <c r="AM598" s="493">
        <f t="shared" si="102"/>
        <v>2022</v>
      </c>
      <c r="AN598" s="494">
        <f t="shared" si="103"/>
        <v>2022.5</v>
      </c>
      <c r="AO598" s="505">
        <f t="shared" si="104"/>
        <v>38.527152777777779</v>
      </c>
      <c r="AP598" s="505">
        <f t="shared" si="105"/>
        <v>462.32583333333332</v>
      </c>
      <c r="AQ598" s="505">
        <f t="shared" si="106"/>
        <v>0</v>
      </c>
      <c r="AR598" s="505">
        <f t="shared" si="107"/>
        <v>5547.91</v>
      </c>
      <c r="AS598" s="505">
        <f t="shared" si="108"/>
        <v>5547.91</v>
      </c>
      <c r="AT598" s="506">
        <f t="shared" si="109"/>
        <v>0</v>
      </c>
    </row>
    <row r="599" spans="1:46">
      <c r="A599" s="341">
        <v>2112</v>
      </c>
      <c r="B599" s="345">
        <v>75222</v>
      </c>
      <c r="C599" s="341" t="s">
        <v>574</v>
      </c>
      <c r="D599" s="340" t="s">
        <v>541</v>
      </c>
      <c r="E599" s="341">
        <v>12</v>
      </c>
      <c r="F599" s="340"/>
      <c r="G599" s="340"/>
      <c r="H599" s="340">
        <v>0</v>
      </c>
      <c r="I599" s="340" t="s">
        <v>714</v>
      </c>
      <c r="J599" s="340"/>
      <c r="K599" s="340" t="s">
        <v>706</v>
      </c>
      <c r="L599" s="344">
        <v>40333</v>
      </c>
      <c r="M599" s="344">
        <v>40333</v>
      </c>
      <c r="N599" s="340" t="s">
        <v>778</v>
      </c>
      <c r="O599" s="341">
        <v>1200</v>
      </c>
      <c r="P599" s="341">
        <v>14050</v>
      </c>
      <c r="Q599" s="342">
        <v>5970.67</v>
      </c>
      <c r="R599" s="341">
        <v>14056</v>
      </c>
      <c r="S599" s="342">
        <v>5970.67</v>
      </c>
      <c r="T599" s="342">
        <f t="shared" si="110"/>
        <v>0</v>
      </c>
      <c r="U599" s="343">
        <v>0</v>
      </c>
      <c r="V599" s="341">
        <v>54260</v>
      </c>
      <c r="W599" s="342">
        <v>0</v>
      </c>
      <c r="X599" s="340" t="s">
        <v>574</v>
      </c>
      <c r="Y599" s="340"/>
      <c r="Z599" s="340">
        <v>4561</v>
      </c>
      <c r="AA599" s="340"/>
      <c r="AB599" s="340" t="s">
        <v>571</v>
      </c>
      <c r="AC599" s="340" t="s">
        <v>570</v>
      </c>
      <c r="AD599" s="341" t="s">
        <v>569</v>
      </c>
      <c r="AE599" s="340"/>
      <c r="AF599" s="341" t="s">
        <v>568</v>
      </c>
      <c r="AG599" s="340">
        <v>0</v>
      </c>
      <c r="AH599" s="340">
        <v>0</v>
      </c>
      <c r="AI599" s="377"/>
      <c r="AK599" s="493">
        <f t="shared" si="100"/>
        <v>6</v>
      </c>
      <c r="AL599" s="493">
        <f t="shared" si="101"/>
        <v>2010</v>
      </c>
      <c r="AM599" s="493">
        <f t="shared" si="102"/>
        <v>2022</v>
      </c>
      <c r="AN599" s="494">
        <f t="shared" si="103"/>
        <v>2022.5</v>
      </c>
      <c r="AO599" s="505">
        <f t="shared" si="104"/>
        <v>41.462986111111114</v>
      </c>
      <c r="AP599" s="505">
        <f t="shared" si="105"/>
        <v>497.55583333333334</v>
      </c>
      <c r="AQ599" s="505">
        <f t="shared" si="106"/>
        <v>0</v>
      </c>
      <c r="AR599" s="505">
        <f t="shared" si="107"/>
        <v>5970.67</v>
      </c>
      <c r="AS599" s="505">
        <f t="shared" si="108"/>
        <v>5970.67</v>
      </c>
      <c r="AT599" s="506">
        <f t="shared" si="109"/>
        <v>0</v>
      </c>
    </row>
    <row r="600" spans="1:46">
      <c r="A600" s="341">
        <v>2112</v>
      </c>
      <c r="B600" s="345">
        <v>75153</v>
      </c>
      <c r="C600" s="341" t="s">
        <v>574</v>
      </c>
      <c r="D600" s="340" t="s">
        <v>777</v>
      </c>
      <c r="E600" s="341">
        <v>0</v>
      </c>
      <c r="F600" s="340"/>
      <c r="G600" s="340"/>
      <c r="H600" s="340">
        <v>0</v>
      </c>
      <c r="I600" s="340"/>
      <c r="J600" s="340"/>
      <c r="K600" s="340"/>
      <c r="L600" s="344">
        <v>40347</v>
      </c>
      <c r="M600" s="344">
        <v>40347</v>
      </c>
      <c r="N600" s="340" t="s">
        <v>776</v>
      </c>
      <c r="O600" s="341">
        <v>700</v>
      </c>
      <c r="P600" s="341">
        <v>14090</v>
      </c>
      <c r="Q600" s="342">
        <v>7607.81</v>
      </c>
      <c r="R600" s="341">
        <v>14096</v>
      </c>
      <c r="S600" s="342">
        <v>7607.81</v>
      </c>
      <c r="T600" s="342">
        <f t="shared" si="110"/>
        <v>0</v>
      </c>
      <c r="U600" s="343">
        <v>0</v>
      </c>
      <c r="V600" s="341">
        <v>57260</v>
      </c>
      <c r="W600" s="342">
        <v>0</v>
      </c>
      <c r="X600" s="340" t="s">
        <v>574</v>
      </c>
      <c r="Y600" s="340"/>
      <c r="Z600" s="340">
        <v>40148</v>
      </c>
      <c r="AA600" s="340"/>
      <c r="AB600" s="340" t="s">
        <v>571</v>
      </c>
      <c r="AC600" s="340" t="s">
        <v>570</v>
      </c>
      <c r="AD600" s="341" t="s">
        <v>569</v>
      </c>
      <c r="AE600" s="340"/>
      <c r="AF600" s="341" t="s">
        <v>568</v>
      </c>
      <c r="AG600" s="340">
        <v>0</v>
      </c>
      <c r="AH600" s="340">
        <v>0</v>
      </c>
      <c r="AI600" s="377"/>
      <c r="AK600" s="493">
        <f t="shared" si="100"/>
        <v>6</v>
      </c>
      <c r="AL600" s="493">
        <f t="shared" si="101"/>
        <v>2010</v>
      </c>
      <c r="AM600" s="493">
        <f t="shared" si="102"/>
        <v>2017</v>
      </c>
      <c r="AN600" s="494">
        <f t="shared" si="103"/>
        <v>2017.5</v>
      </c>
      <c r="AO600" s="505">
        <f t="shared" si="104"/>
        <v>90.569166666666675</v>
      </c>
      <c r="AP600" s="505">
        <f t="shared" si="105"/>
        <v>1086.8300000000002</v>
      </c>
      <c r="AQ600" s="505">
        <f t="shared" si="106"/>
        <v>0</v>
      </c>
      <c r="AR600" s="505">
        <f t="shared" si="107"/>
        <v>7607.81</v>
      </c>
      <c r="AS600" s="505">
        <f t="shared" si="108"/>
        <v>7607.81</v>
      </c>
      <c r="AT600" s="506">
        <f t="shared" si="109"/>
        <v>0</v>
      </c>
    </row>
    <row r="601" spans="1:46">
      <c r="A601" s="341">
        <v>2112</v>
      </c>
      <c r="B601" s="345">
        <v>74575</v>
      </c>
      <c r="C601" s="341" t="s">
        <v>574</v>
      </c>
      <c r="D601" s="340" t="s">
        <v>631</v>
      </c>
      <c r="E601" s="341">
        <v>150</v>
      </c>
      <c r="F601" s="340"/>
      <c r="G601" s="340"/>
      <c r="H601" s="340">
        <v>0</v>
      </c>
      <c r="I601" s="340" t="s">
        <v>730</v>
      </c>
      <c r="J601" s="340"/>
      <c r="K601" s="340"/>
      <c r="L601" s="344">
        <v>40323</v>
      </c>
      <c r="M601" s="344">
        <v>40323</v>
      </c>
      <c r="N601" s="340" t="s">
        <v>774</v>
      </c>
      <c r="O601" s="341">
        <v>700</v>
      </c>
      <c r="P601" s="341">
        <v>14050</v>
      </c>
      <c r="Q601" s="342">
        <v>6649.81</v>
      </c>
      <c r="R601" s="341">
        <v>14056</v>
      </c>
      <c r="S601" s="342">
        <v>6649.81</v>
      </c>
      <c r="T601" s="342">
        <f t="shared" si="110"/>
        <v>0</v>
      </c>
      <c r="U601" s="343">
        <v>0</v>
      </c>
      <c r="V601" s="341">
        <v>54260</v>
      </c>
      <c r="W601" s="342">
        <v>0</v>
      </c>
      <c r="X601" s="340" t="s">
        <v>574</v>
      </c>
      <c r="Y601" s="340"/>
      <c r="Z601" s="340" t="s">
        <v>775</v>
      </c>
      <c r="AA601" s="340"/>
      <c r="AB601" s="340" t="s">
        <v>571</v>
      </c>
      <c r="AC601" s="340" t="s">
        <v>570</v>
      </c>
      <c r="AD601" s="341" t="s">
        <v>569</v>
      </c>
      <c r="AE601" s="340"/>
      <c r="AF601" s="341" t="s">
        <v>568</v>
      </c>
      <c r="AG601" s="340">
        <v>0</v>
      </c>
      <c r="AH601" s="340">
        <v>0</v>
      </c>
      <c r="AI601" s="377"/>
      <c r="AK601" s="493">
        <f t="shared" si="100"/>
        <v>5</v>
      </c>
      <c r="AL601" s="493">
        <f t="shared" si="101"/>
        <v>2010</v>
      </c>
      <c r="AM601" s="493">
        <f t="shared" si="102"/>
        <v>2017</v>
      </c>
      <c r="AN601" s="494">
        <f t="shared" si="103"/>
        <v>2017.4166666666667</v>
      </c>
      <c r="AO601" s="505">
        <f t="shared" si="104"/>
        <v>79.164404761904763</v>
      </c>
      <c r="AP601" s="505">
        <f t="shared" si="105"/>
        <v>949.97285714285715</v>
      </c>
      <c r="AQ601" s="505">
        <f t="shared" si="106"/>
        <v>0</v>
      </c>
      <c r="AR601" s="505">
        <f t="shared" si="107"/>
        <v>6649.81</v>
      </c>
      <c r="AS601" s="505">
        <f t="shared" si="108"/>
        <v>6649.81</v>
      </c>
      <c r="AT601" s="506">
        <f t="shared" si="109"/>
        <v>0</v>
      </c>
    </row>
    <row r="602" spans="1:46">
      <c r="A602" s="341">
        <v>2112</v>
      </c>
      <c r="B602" s="345">
        <v>74574</v>
      </c>
      <c r="C602" s="341" t="s">
        <v>574</v>
      </c>
      <c r="D602" s="340" t="s">
        <v>631</v>
      </c>
      <c r="E602" s="341">
        <v>498</v>
      </c>
      <c r="F602" s="340"/>
      <c r="G602" s="340"/>
      <c r="H602" s="340">
        <v>0</v>
      </c>
      <c r="I602" s="340" t="s">
        <v>730</v>
      </c>
      <c r="J602" s="340"/>
      <c r="K602" s="340"/>
      <c r="L602" s="344">
        <v>40323</v>
      </c>
      <c r="M602" s="344">
        <v>40323</v>
      </c>
      <c r="N602" s="340" t="s">
        <v>774</v>
      </c>
      <c r="O602" s="341">
        <v>700</v>
      </c>
      <c r="P602" s="341">
        <v>14050</v>
      </c>
      <c r="Q602" s="342">
        <v>22077.37</v>
      </c>
      <c r="R602" s="341">
        <v>14056</v>
      </c>
      <c r="S602" s="342">
        <v>22077.37</v>
      </c>
      <c r="T602" s="342">
        <f t="shared" si="110"/>
        <v>0</v>
      </c>
      <c r="U602" s="343">
        <v>0</v>
      </c>
      <c r="V602" s="341">
        <v>54260</v>
      </c>
      <c r="W602" s="342">
        <v>0</v>
      </c>
      <c r="X602" s="340" t="s">
        <v>574</v>
      </c>
      <c r="Y602" s="340"/>
      <c r="Z602" s="340" t="s">
        <v>773</v>
      </c>
      <c r="AA602" s="340"/>
      <c r="AB602" s="340" t="s">
        <v>571</v>
      </c>
      <c r="AC602" s="340" t="s">
        <v>570</v>
      </c>
      <c r="AD602" s="341" t="s">
        <v>569</v>
      </c>
      <c r="AE602" s="340"/>
      <c r="AF602" s="341" t="s">
        <v>568</v>
      </c>
      <c r="AG602" s="340">
        <v>0</v>
      </c>
      <c r="AH602" s="340">
        <v>0</v>
      </c>
      <c r="AI602" s="377"/>
      <c r="AK602" s="493">
        <f t="shared" si="100"/>
        <v>5</v>
      </c>
      <c r="AL602" s="493">
        <f t="shared" si="101"/>
        <v>2010</v>
      </c>
      <c r="AM602" s="493">
        <f t="shared" si="102"/>
        <v>2017</v>
      </c>
      <c r="AN602" s="494">
        <f t="shared" si="103"/>
        <v>2017.4166666666667</v>
      </c>
      <c r="AO602" s="505">
        <f t="shared" si="104"/>
        <v>262.82583333333332</v>
      </c>
      <c r="AP602" s="505">
        <f t="shared" si="105"/>
        <v>3153.91</v>
      </c>
      <c r="AQ602" s="505">
        <f t="shared" si="106"/>
        <v>0</v>
      </c>
      <c r="AR602" s="505">
        <f t="shared" si="107"/>
        <v>22077.37</v>
      </c>
      <c r="AS602" s="505">
        <f t="shared" si="108"/>
        <v>22077.37</v>
      </c>
      <c r="AT602" s="506">
        <f t="shared" si="109"/>
        <v>0</v>
      </c>
    </row>
    <row r="603" spans="1:46">
      <c r="A603" s="341">
        <v>2112</v>
      </c>
      <c r="B603" s="345">
        <v>73082</v>
      </c>
      <c r="C603" s="341" t="s">
        <v>574</v>
      </c>
      <c r="D603" s="340" t="s">
        <v>771</v>
      </c>
      <c r="E603" s="341">
        <v>0</v>
      </c>
      <c r="F603" s="340"/>
      <c r="G603" s="340"/>
      <c r="H603" s="340">
        <v>0</v>
      </c>
      <c r="I603" s="340" t="s">
        <v>752</v>
      </c>
      <c r="J603" s="340"/>
      <c r="K603" s="340"/>
      <c r="L603" s="344">
        <v>39986</v>
      </c>
      <c r="M603" s="344">
        <v>39986</v>
      </c>
      <c r="N603" s="340" t="s">
        <v>770</v>
      </c>
      <c r="O603" s="341">
        <v>500</v>
      </c>
      <c r="P603" s="341">
        <v>14070</v>
      </c>
      <c r="Q603" s="342">
        <v>1980</v>
      </c>
      <c r="R603" s="341">
        <v>14076</v>
      </c>
      <c r="S603" s="342">
        <v>1980</v>
      </c>
      <c r="T603" s="342">
        <f t="shared" si="110"/>
        <v>0</v>
      </c>
      <c r="U603" s="343">
        <v>0</v>
      </c>
      <c r="V603" s="341">
        <v>51260</v>
      </c>
      <c r="W603" s="342">
        <v>0</v>
      </c>
      <c r="X603" s="340" t="s">
        <v>574</v>
      </c>
      <c r="Y603" s="340"/>
      <c r="Z603" s="340" t="s">
        <v>769</v>
      </c>
      <c r="AA603" s="340"/>
      <c r="AB603" s="340" t="s">
        <v>571</v>
      </c>
      <c r="AC603" s="340" t="s">
        <v>570</v>
      </c>
      <c r="AD603" s="341" t="s">
        <v>569</v>
      </c>
      <c r="AE603" s="346">
        <v>40237</v>
      </c>
      <c r="AF603" s="341" t="s">
        <v>568</v>
      </c>
      <c r="AG603" s="340">
        <v>0</v>
      </c>
      <c r="AH603" s="340">
        <v>264</v>
      </c>
      <c r="AI603" s="377"/>
      <c r="AK603" s="493">
        <f t="shared" si="100"/>
        <v>6</v>
      </c>
      <c r="AL603" s="493">
        <f t="shared" si="101"/>
        <v>2009</v>
      </c>
      <c r="AM603" s="493">
        <f t="shared" si="102"/>
        <v>2014</v>
      </c>
      <c r="AN603" s="494">
        <f t="shared" si="103"/>
        <v>2014.5</v>
      </c>
      <c r="AO603" s="505">
        <f t="shared" si="104"/>
        <v>33</v>
      </c>
      <c r="AP603" s="505">
        <f t="shared" si="105"/>
        <v>396</v>
      </c>
      <c r="AQ603" s="505">
        <f t="shared" si="106"/>
        <v>0</v>
      </c>
      <c r="AR603" s="505">
        <f t="shared" si="107"/>
        <v>1980</v>
      </c>
      <c r="AS603" s="505">
        <f t="shared" si="108"/>
        <v>1980</v>
      </c>
      <c r="AT603" s="506">
        <f t="shared" si="109"/>
        <v>0</v>
      </c>
    </row>
    <row r="604" spans="1:46">
      <c r="A604" s="341">
        <v>2112</v>
      </c>
      <c r="B604" s="345">
        <v>70872</v>
      </c>
      <c r="C604" s="341" t="s">
        <v>574</v>
      </c>
      <c r="D604" s="340" t="s">
        <v>766</v>
      </c>
      <c r="E604" s="341">
        <v>30</v>
      </c>
      <c r="F604" s="340"/>
      <c r="G604" s="340"/>
      <c r="H604" s="340">
        <v>0</v>
      </c>
      <c r="I604" s="340" t="s">
        <v>765</v>
      </c>
      <c r="J604" s="340"/>
      <c r="K604" s="340" t="s">
        <v>764</v>
      </c>
      <c r="L604" s="344">
        <v>40158</v>
      </c>
      <c r="M604" s="344">
        <v>40158</v>
      </c>
      <c r="N604" s="340" t="s">
        <v>763</v>
      </c>
      <c r="O604" s="341">
        <v>1200</v>
      </c>
      <c r="P604" s="341">
        <v>14050</v>
      </c>
      <c r="Q604" s="342">
        <v>19286.53</v>
      </c>
      <c r="R604" s="341">
        <v>14056</v>
      </c>
      <c r="S604" s="342">
        <v>19286.53</v>
      </c>
      <c r="T604" s="342">
        <f t="shared" si="110"/>
        <v>0</v>
      </c>
      <c r="U604" s="343">
        <v>0</v>
      </c>
      <c r="V604" s="341">
        <v>54260</v>
      </c>
      <c r="W604" s="342">
        <v>0</v>
      </c>
      <c r="X604" s="340" t="s">
        <v>574</v>
      </c>
      <c r="Y604" s="340"/>
      <c r="Z604" s="340">
        <v>4379</v>
      </c>
      <c r="AA604" s="340"/>
      <c r="AB604" s="340" t="s">
        <v>571</v>
      </c>
      <c r="AC604" s="340" t="s">
        <v>570</v>
      </c>
      <c r="AD604" s="341" t="s">
        <v>569</v>
      </c>
      <c r="AE604" s="340"/>
      <c r="AF604" s="341" t="s">
        <v>568</v>
      </c>
      <c r="AG604" s="340">
        <v>0</v>
      </c>
      <c r="AH604" s="340">
        <v>0</v>
      </c>
      <c r="AI604" s="377"/>
      <c r="AK604" s="493">
        <f t="shared" si="100"/>
        <v>12</v>
      </c>
      <c r="AL604" s="493">
        <f t="shared" si="101"/>
        <v>2009</v>
      </c>
      <c r="AM604" s="493">
        <f t="shared" si="102"/>
        <v>2021</v>
      </c>
      <c r="AN604" s="494">
        <f t="shared" si="103"/>
        <v>2022</v>
      </c>
      <c r="AO604" s="505">
        <f t="shared" si="104"/>
        <v>133.93423611111112</v>
      </c>
      <c r="AP604" s="505">
        <f t="shared" si="105"/>
        <v>1607.2108333333335</v>
      </c>
      <c r="AQ604" s="505">
        <f t="shared" si="106"/>
        <v>0</v>
      </c>
      <c r="AR604" s="505">
        <f t="shared" si="107"/>
        <v>19286.53</v>
      </c>
      <c r="AS604" s="505">
        <f t="shared" si="108"/>
        <v>19286.53</v>
      </c>
      <c r="AT604" s="506">
        <f t="shared" si="109"/>
        <v>0</v>
      </c>
    </row>
    <row r="605" spans="1:46">
      <c r="A605" s="341">
        <v>2112</v>
      </c>
      <c r="B605" s="345">
        <v>69830</v>
      </c>
      <c r="C605" s="341" t="s">
        <v>574</v>
      </c>
      <c r="D605" s="340" t="s">
        <v>762</v>
      </c>
      <c r="E605" s="341">
        <v>0</v>
      </c>
      <c r="F605" s="340" t="s">
        <v>761</v>
      </c>
      <c r="G605" s="340" t="s">
        <v>760</v>
      </c>
      <c r="H605" s="340">
        <v>2008</v>
      </c>
      <c r="I605" s="340" t="s">
        <v>759</v>
      </c>
      <c r="J605" s="340" t="s">
        <v>758</v>
      </c>
      <c r="K605" s="340" t="s">
        <v>757</v>
      </c>
      <c r="L605" s="344">
        <v>40112</v>
      </c>
      <c r="M605" s="344">
        <v>40112</v>
      </c>
      <c r="N605" s="340" t="s">
        <v>756</v>
      </c>
      <c r="O605" s="341">
        <v>800</v>
      </c>
      <c r="P605" s="341">
        <v>14040</v>
      </c>
      <c r="Q605" s="342">
        <v>223111.7</v>
      </c>
      <c r="R605" s="341">
        <v>14046</v>
      </c>
      <c r="S605" s="342">
        <v>223111.7</v>
      </c>
      <c r="T605" s="342">
        <f t="shared" si="110"/>
        <v>0</v>
      </c>
      <c r="U605" s="343">
        <v>0</v>
      </c>
      <c r="V605" s="341">
        <v>51260</v>
      </c>
      <c r="W605" s="342">
        <v>0</v>
      </c>
      <c r="X605" s="340" t="s">
        <v>574</v>
      </c>
      <c r="Y605" s="340"/>
      <c r="Z605" s="340">
        <v>1151195</v>
      </c>
      <c r="AA605" s="340">
        <v>999</v>
      </c>
      <c r="AB605" s="340" t="s">
        <v>571</v>
      </c>
      <c r="AC605" s="340" t="s">
        <v>570</v>
      </c>
      <c r="AD605" s="341" t="s">
        <v>569</v>
      </c>
      <c r="AE605" s="340"/>
      <c r="AF605" s="341" t="s">
        <v>568</v>
      </c>
      <c r="AG605" s="340">
        <v>0</v>
      </c>
      <c r="AH605" s="340">
        <v>0</v>
      </c>
      <c r="AI605" s="377"/>
      <c r="AK605" s="493">
        <f t="shared" si="100"/>
        <v>10</v>
      </c>
      <c r="AL605" s="493">
        <f t="shared" si="101"/>
        <v>2009</v>
      </c>
      <c r="AM605" s="493">
        <f t="shared" si="102"/>
        <v>2017</v>
      </c>
      <c r="AN605" s="494">
        <f t="shared" si="103"/>
        <v>2017.8333333333333</v>
      </c>
      <c r="AO605" s="505">
        <f t="shared" si="104"/>
        <v>2324.0802083333333</v>
      </c>
      <c r="AP605" s="505">
        <f t="shared" si="105"/>
        <v>27888.962500000001</v>
      </c>
      <c r="AQ605" s="505">
        <f t="shared" si="106"/>
        <v>0</v>
      </c>
      <c r="AR605" s="505">
        <f t="shared" si="107"/>
        <v>223111.7</v>
      </c>
      <c r="AS605" s="505">
        <f t="shared" si="108"/>
        <v>223111.7</v>
      </c>
      <c r="AT605" s="506">
        <f t="shared" si="109"/>
        <v>0</v>
      </c>
    </row>
    <row r="606" spans="1:46">
      <c r="A606" s="341">
        <v>2112</v>
      </c>
      <c r="B606" s="345">
        <v>68213</v>
      </c>
      <c r="C606" s="341" t="s">
        <v>574</v>
      </c>
      <c r="D606" s="340" t="s">
        <v>755</v>
      </c>
      <c r="E606" s="341">
        <v>0</v>
      </c>
      <c r="F606" s="340"/>
      <c r="G606" s="340"/>
      <c r="H606" s="340">
        <v>0</v>
      </c>
      <c r="I606" s="340" t="s">
        <v>752</v>
      </c>
      <c r="J606" s="340"/>
      <c r="K606" s="340"/>
      <c r="L606" s="344">
        <v>40026</v>
      </c>
      <c r="M606" s="344">
        <v>40026</v>
      </c>
      <c r="N606" s="340" t="s">
        <v>751</v>
      </c>
      <c r="O606" s="341">
        <v>500</v>
      </c>
      <c r="P606" s="341">
        <v>14070</v>
      </c>
      <c r="Q606" s="342">
        <v>11897.71</v>
      </c>
      <c r="R606" s="341">
        <v>14076</v>
      </c>
      <c r="S606" s="342">
        <v>11897.71</v>
      </c>
      <c r="T606" s="342">
        <f t="shared" si="110"/>
        <v>0</v>
      </c>
      <c r="U606" s="343">
        <v>0</v>
      </c>
      <c r="V606" s="341">
        <v>51260</v>
      </c>
      <c r="W606" s="342">
        <v>0</v>
      </c>
      <c r="X606" s="340" t="s">
        <v>574</v>
      </c>
      <c r="Y606" s="340"/>
      <c r="Z606" s="340" t="s">
        <v>754</v>
      </c>
      <c r="AA606" s="340"/>
      <c r="AB606" s="340" t="s">
        <v>571</v>
      </c>
      <c r="AC606" s="340" t="s">
        <v>570</v>
      </c>
      <c r="AD606" s="341" t="s">
        <v>569</v>
      </c>
      <c r="AE606" s="340"/>
      <c r="AF606" s="341" t="s">
        <v>568</v>
      </c>
      <c r="AG606" s="340">
        <v>0</v>
      </c>
      <c r="AH606" s="340">
        <v>0</v>
      </c>
      <c r="AI606" s="377"/>
      <c r="AK606" s="493">
        <f t="shared" si="100"/>
        <v>8</v>
      </c>
      <c r="AL606" s="493">
        <f t="shared" si="101"/>
        <v>2009</v>
      </c>
      <c r="AM606" s="493">
        <f t="shared" si="102"/>
        <v>2014</v>
      </c>
      <c r="AN606" s="494">
        <f t="shared" si="103"/>
        <v>2014.6666666666667</v>
      </c>
      <c r="AO606" s="505">
        <f t="shared" si="104"/>
        <v>198.29516666666666</v>
      </c>
      <c r="AP606" s="505">
        <f t="shared" si="105"/>
        <v>2379.5419999999999</v>
      </c>
      <c r="AQ606" s="505">
        <f t="shared" si="106"/>
        <v>0</v>
      </c>
      <c r="AR606" s="505">
        <f t="shared" si="107"/>
        <v>11897.71</v>
      </c>
      <c r="AS606" s="505">
        <f t="shared" si="108"/>
        <v>11897.71</v>
      </c>
      <c r="AT606" s="506">
        <f t="shared" si="109"/>
        <v>0</v>
      </c>
    </row>
    <row r="607" spans="1:46">
      <c r="A607" s="341">
        <v>2112</v>
      </c>
      <c r="B607" s="345">
        <v>68212</v>
      </c>
      <c r="C607" s="341" t="s">
        <v>574</v>
      </c>
      <c r="D607" s="340" t="s">
        <v>753</v>
      </c>
      <c r="E607" s="341">
        <v>0</v>
      </c>
      <c r="F607" s="340"/>
      <c r="G607" s="340"/>
      <c r="H607" s="340">
        <v>0</v>
      </c>
      <c r="I607" s="340" t="s">
        <v>752</v>
      </c>
      <c r="J607" s="340"/>
      <c r="K607" s="340"/>
      <c r="L607" s="344">
        <v>40026</v>
      </c>
      <c r="M607" s="344">
        <v>40026</v>
      </c>
      <c r="N607" s="340" t="s">
        <v>751</v>
      </c>
      <c r="O607" s="341">
        <v>500</v>
      </c>
      <c r="P607" s="341">
        <v>14070</v>
      </c>
      <c r="Q607" s="342">
        <v>4000</v>
      </c>
      <c r="R607" s="341">
        <v>14076</v>
      </c>
      <c r="S607" s="342">
        <v>4000</v>
      </c>
      <c r="T607" s="342">
        <f t="shared" si="110"/>
        <v>0</v>
      </c>
      <c r="U607" s="343">
        <v>0</v>
      </c>
      <c r="V607" s="341">
        <v>51260</v>
      </c>
      <c r="W607" s="342">
        <v>0</v>
      </c>
      <c r="X607" s="340" t="s">
        <v>574</v>
      </c>
      <c r="Y607" s="340"/>
      <c r="Z607" s="340" t="s">
        <v>750</v>
      </c>
      <c r="AA607" s="340"/>
      <c r="AB607" s="340" t="s">
        <v>571</v>
      </c>
      <c r="AC607" s="340" t="s">
        <v>570</v>
      </c>
      <c r="AD607" s="341" t="s">
        <v>569</v>
      </c>
      <c r="AE607" s="340"/>
      <c r="AF607" s="341" t="s">
        <v>568</v>
      </c>
      <c r="AG607" s="340">
        <v>0</v>
      </c>
      <c r="AH607" s="340">
        <v>0</v>
      </c>
      <c r="AI607" s="377"/>
      <c r="AK607" s="493">
        <f t="shared" si="100"/>
        <v>8</v>
      </c>
      <c r="AL607" s="493">
        <f t="shared" si="101"/>
        <v>2009</v>
      </c>
      <c r="AM607" s="493">
        <f t="shared" si="102"/>
        <v>2014</v>
      </c>
      <c r="AN607" s="494">
        <f t="shared" si="103"/>
        <v>2014.6666666666667</v>
      </c>
      <c r="AO607" s="505">
        <f t="shared" si="104"/>
        <v>66.666666666666671</v>
      </c>
      <c r="AP607" s="505">
        <f t="shared" si="105"/>
        <v>800</v>
      </c>
      <c r="AQ607" s="505">
        <f t="shared" si="106"/>
        <v>0</v>
      </c>
      <c r="AR607" s="505">
        <f t="shared" si="107"/>
        <v>4000</v>
      </c>
      <c r="AS607" s="505">
        <f t="shared" si="108"/>
        <v>4000</v>
      </c>
      <c r="AT607" s="506">
        <f t="shared" si="109"/>
        <v>0</v>
      </c>
    </row>
    <row r="608" spans="1:46">
      <c r="A608" s="341">
        <v>2112</v>
      </c>
      <c r="B608" s="345">
        <v>66402</v>
      </c>
      <c r="C608" s="341" t="s">
        <v>574</v>
      </c>
      <c r="D608" s="340" t="s">
        <v>749</v>
      </c>
      <c r="E608" s="341">
        <v>1</v>
      </c>
      <c r="F608" s="340"/>
      <c r="G608" s="340"/>
      <c r="H608" s="340">
        <v>0</v>
      </c>
      <c r="I608" s="340"/>
      <c r="J608" s="340"/>
      <c r="K608" s="340" t="s">
        <v>706</v>
      </c>
      <c r="L608" s="344">
        <v>39755</v>
      </c>
      <c r="M608" s="344">
        <v>39755</v>
      </c>
      <c r="N608" s="340"/>
      <c r="O608" s="341">
        <v>1200</v>
      </c>
      <c r="P608" s="341">
        <v>14050</v>
      </c>
      <c r="Q608" s="342">
        <v>91.5</v>
      </c>
      <c r="R608" s="341">
        <v>14056</v>
      </c>
      <c r="S608" s="342">
        <v>91.5</v>
      </c>
      <c r="T608" s="342">
        <f t="shared" si="110"/>
        <v>0</v>
      </c>
      <c r="U608" s="343">
        <v>0</v>
      </c>
      <c r="V608" s="341">
        <v>54260</v>
      </c>
      <c r="W608" s="342">
        <v>0</v>
      </c>
      <c r="X608" s="340" t="s">
        <v>570</v>
      </c>
      <c r="Y608" s="340" t="s">
        <v>748</v>
      </c>
      <c r="Z608" s="340"/>
      <c r="AA608" s="340"/>
      <c r="AB608" s="340" t="s">
        <v>571</v>
      </c>
      <c r="AC608" s="340" t="s">
        <v>570</v>
      </c>
      <c r="AD608" s="341" t="s">
        <v>569</v>
      </c>
      <c r="AE608" s="346">
        <v>44681</v>
      </c>
      <c r="AF608" s="341" t="s">
        <v>568</v>
      </c>
      <c r="AG608" s="340">
        <v>1</v>
      </c>
      <c r="AH608" s="340">
        <v>91.5</v>
      </c>
      <c r="AI608" s="377"/>
      <c r="AK608" s="493">
        <f t="shared" si="100"/>
        <v>11</v>
      </c>
      <c r="AL608" s="493">
        <f t="shared" si="101"/>
        <v>2008</v>
      </c>
      <c r="AM608" s="493">
        <f t="shared" si="102"/>
        <v>2020</v>
      </c>
      <c r="AN608" s="494">
        <f t="shared" si="103"/>
        <v>2020.9166666666667</v>
      </c>
      <c r="AO608" s="505">
        <f t="shared" si="104"/>
        <v>0.63541666666666663</v>
      </c>
      <c r="AP608" s="505">
        <f t="shared" si="105"/>
        <v>7.625</v>
      </c>
      <c r="AQ608" s="505">
        <f t="shared" si="106"/>
        <v>0</v>
      </c>
      <c r="AR608" s="505">
        <f t="shared" si="107"/>
        <v>91.5</v>
      </c>
      <c r="AS608" s="505">
        <f t="shared" si="108"/>
        <v>91.5</v>
      </c>
      <c r="AT608" s="506">
        <f t="shared" si="109"/>
        <v>0</v>
      </c>
    </row>
    <row r="609" spans="1:46">
      <c r="A609" s="341">
        <v>2112</v>
      </c>
      <c r="B609" s="345">
        <v>63344</v>
      </c>
      <c r="C609" s="341" t="s">
        <v>574</v>
      </c>
      <c r="D609" s="340" t="s">
        <v>747</v>
      </c>
      <c r="E609" s="341">
        <v>0</v>
      </c>
      <c r="F609" s="340"/>
      <c r="G609" s="340"/>
      <c r="H609" s="340">
        <v>0</v>
      </c>
      <c r="I609" s="340" t="s">
        <v>746</v>
      </c>
      <c r="J609" s="340"/>
      <c r="K609" s="340"/>
      <c r="L609" s="344">
        <v>39814</v>
      </c>
      <c r="M609" s="344">
        <v>39814</v>
      </c>
      <c r="N609" s="340" t="s">
        <v>745</v>
      </c>
      <c r="O609" s="341">
        <v>810</v>
      </c>
      <c r="P609" s="341">
        <v>14090</v>
      </c>
      <c r="Q609" s="342">
        <v>11780.91</v>
      </c>
      <c r="R609" s="341">
        <v>14096</v>
      </c>
      <c r="S609" s="342">
        <v>11780.91</v>
      </c>
      <c r="T609" s="342">
        <f t="shared" si="110"/>
        <v>0</v>
      </c>
      <c r="U609" s="343">
        <v>0</v>
      </c>
      <c r="V609" s="341">
        <v>57260</v>
      </c>
      <c r="W609" s="342">
        <v>0</v>
      </c>
      <c r="X609" s="340" t="s">
        <v>574</v>
      </c>
      <c r="Y609" s="340"/>
      <c r="Z609" s="340">
        <v>334</v>
      </c>
      <c r="AA609" s="340"/>
      <c r="AB609" s="340" t="s">
        <v>571</v>
      </c>
      <c r="AC609" s="340" t="s">
        <v>570</v>
      </c>
      <c r="AD609" s="341" t="s">
        <v>569</v>
      </c>
      <c r="AE609" s="340"/>
      <c r="AF609" s="341" t="s">
        <v>568</v>
      </c>
      <c r="AG609" s="340">
        <v>0</v>
      </c>
      <c r="AH609" s="340">
        <v>0</v>
      </c>
      <c r="AI609" s="377"/>
      <c r="AK609" s="493">
        <f t="shared" si="100"/>
        <v>1</v>
      </c>
      <c r="AL609" s="493">
        <f t="shared" si="101"/>
        <v>2009</v>
      </c>
      <c r="AM609" s="493">
        <f t="shared" si="102"/>
        <v>2017.1</v>
      </c>
      <c r="AN609" s="494">
        <f t="shared" si="103"/>
        <v>2017.1833333333332</v>
      </c>
      <c r="AO609" s="505">
        <f t="shared" si="104"/>
        <v>121.20277777777778</v>
      </c>
      <c r="AP609" s="505">
        <f t="shared" si="105"/>
        <v>1454.4333333333334</v>
      </c>
      <c r="AQ609" s="505">
        <f t="shared" si="106"/>
        <v>0</v>
      </c>
      <c r="AR609" s="505">
        <f t="shared" si="107"/>
        <v>11780.91</v>
      </c>
      <c r="AS609" s="505">
        <f t="shared" si="108"/>
        <v>11780.91</v>
      </c>
      <c r="AT609" s="506">
        <f t="shared" si="109"/>
        <v>0</v>
      </c>
    </row>
    <row r="610" spans="1:46">
      <c r="A610" s="341">
        <v>2112</v>
      </c>
      <c r="B610" s="345">
        <v>60384</v>
      </c>
      <c r="C610" s="341" t="s">
        <v>574</v>
      </c>
      <c r="D610" s="340" t="s">
        <v>627</v>
      </c>
      <c r="E610" s="341">
        <v>432</v>
      </c>
      <c r="F610" s="340"/>
      <c r="G610" s="340"/>
      <c r="H610" s="340">
        <v>0</v>
      </c>
      <c r="I610" s="340" t="s">
        <v>730</v>
      </c>
      <c r="J610" s="340"/>
      <c r="K610" s="340"/>
      <c r="L610" s="344">
        <v>39757</v>
      </c>
      <c r="M610" s="344">
        <v>39757</v>
      </c>
      <c r="N610" s="340" t="s">
        <v>742</v>
      </c>
      <c r="O610" s="341">
        <v>700</v>
      </c>
      <c r="P610" s="341">
        <v>14050</v>
      </c>
      <c r="Q610" s="342">
        <v>18037.759999999998</v>
      </c>
      <c r="R610" s="341">
        <v>14056</v>
      </c>
      <c r="S610" s="342">
        <v>18037.759999999998</v>
      </c>
      <c r="T610" s="342">
        <f t="shared" si="110"/>
        <v>0</v>
      </c>
      <c r="U610" s="343">
        <v>0</v>
      </c>
      <c r="V610" s="341">
        <v>54260</v>
      </c>
      <c r="W610" s="342">
        <v>0</v>
      </c>
      <c r="X610" s="340" t="s">
        <v>574</v>
      </c>
      <c r="Y610" s="340"/>
      <c r="Z610" s="340" t="s">
        <v>744</v>
      </c>
      <c r="AA610" s="340"/>
      <c r="AB610" s="340" t="s">
        <v>571</v>
      </c>
      <c r="AC610" s="340" t="s">
        <v>570</v>
      </c>
      <c r="AD610" s="341" t="s">
        <v>569</v>
      </c>
      <c r="AE610" s="340"/>
      <c r="AF610" s="341" t="s">
        <v>568</v>
      </c>
      <c r="AG610" s="340">
        <v>0</v>
      </c>
      <c r="AH610" s="340">
        <v>0</v>
      </c>
      <c r="AI610" s="377"/>
      <c r="AK610" s="493">
        <f t="shared" si="100"/>
        <v>11</v>
      </c>
      <c r="AL610" s="493">
        <f t="shared" si="101"/>
        <v>2008</v>
      </c>
      <c r="AM610" s="493">
        <f t="shared" si="102"/>
        <v>2015</v>
      </c>
      <c r="AN610" s="494">
        <f t="shared" si="103"/>
        <v>2015.9166666666667</v>
      </c>
      <c r="AO610" s="505">
        <f t="shared" si="104"/>
        <v>214.73523809523806</v>
      </c>
      <c r="AP610" s="505">
        <f t="shared" si="105"/>
        <v>2576.8228571428567</v>
      </c>
      <c r="AQ610" s="505">
        <f t="shared" si="106"/>
        <v>0</v>
      </c>
      <c r="AR610" s="505">
        <f t="shared" si="107"/>
        <v>18037.759999999998</v>
      </c>
      <c r="AS610" s="505">
        <f t="shared" si="108"/>
        <v>18037.759999999998</v>
      </c>
      <c r="AT610" s="506">
        <f t="shared" si="109"/>
        <v>0</v>
      </c>
    </row>
    <row r="611" spans="1:46">
      <c r="A611" s="341">
        <v>2112</v>
      </c>
      <c r="B611" s="345">
        <v>59448</v>
      </c>
      <c r="C611" s="341" t="s">
        <v>574</v>
      </c>
      <c r="D611" s="340" t="s">
        <v>743</v>
      </c>
      <c r="E611" s="341">
        <v>387</v>
      </c>
      <c r="F611" s="340"/>
      <c r="G611" s="340"/>
      <c r="H611" s="340">
        <v>0</v>
      </c>
      <c r="I611" s="340" t="s">
        <v>730</v>
      </c>
      <c r="J611" s="340"/>
      <c r="K611" s="340"/>
      <c r="L611" s="344">
        <v>39686</v>
      </c>
      <c r="M611" s="344">
        <v>39686</v>
      </c>
      <c r="N611" s="340" t="s">
        <v>742</v>
      </c>
      <c r="O611" s="341">
        <v>700</v>
      </c>
      <c r="P611" s="341">
        <v>14050</v>
      </c>
      <c r="Q611" s="342">
        <v>21340.99</v>
      </c>
      <c r="R611" s="341">
        <v>14056</v>
      </c>
      <c r="S611" s="342">
        <v>21340.99</v>
      </c>
      <c r="T611" s="342">
        <f t="shared" si="110"/>
        <v>0</v>
      </c>
      <c r="U611" s="343">
        <v>0</v>
      </c>
      <c r="V611" s="341">
        <v>54260</v>
      </c>
      <c r="W611" s="342">
        <v>0</v>
      </c>
      <c r="X611" s="340" t="s">
        <v>574</v>
      </c>
      <c r="Y611" s="340"/>
      <c r="Z611" s="340" t="s">
        <v>741</v>
      </c>
      <c r="AA611" s="340"/>
      <c r="AB611" s="340" t="s">
        <v>571</v>
      </c>
      <c r="AC611" s="340" t="s">
        <v>570</v>
      </c>
      <c r="AD611" s="341" t="s">
        <v>569</v>
      </c>
      <c r="AE611" s="340"/>
      <c r="AF611" s="341" t="s">
        <v>568</v>
      </c>
      <c r="AG611" s="340">
        <v>0</v>
      </c>
      <c r="AH611" s="340">
        <v>0</v>
      </c>
      <c r="AI611" s="377"/>
      <c r="AK611" s="493">
        <f t="shared" si="100"/>
        <v>8</v>
      </c>
      <c r="AL611" s="493">
        <f t="shared" si="101"/>
        <v>2008</v>
      </c>
      <c r="AM611" s="493">
        <f t="shared" si="102"/>
        <v>2015</v>
      </c>
      <c r="AN611" s="494">
        <f t="shared" si="103"/>
        <v>2015.6666666666667</v>
      </c>
      <c r="AO611" s="505">
        <f t="shared" si="104"/>
        <v>254.0594047619048</v>
      </c>
      <c r="AP611" s="505">
        <f t="shared" si="105"/>
        <v>3048.7128571428575</v>
      </c>
      <c r="AQ611" s="505">
        <f t="shared" si="106"/>
        <v>0</v>
      </c>
      <c r="AR611" s="505">
        <f t="shared" si="107"/>
        <v>21340.99</v>
      </c>
      <c r="AS611" s="505">
        <f t="shared" si="108"/>
        <v>21340.99</v>
      </c>
      <c r="AT611" s="506">
        <f t="shared" si="109"/>
        <v>0</v>
      </c>
    </row>
    <row r="612" spans="1:46">
      <c r="A612" s="341">
        <v>2112</v>
      </c>
      <c r="B612" s="345">
        <v>59446</v>
      </c>
      <c r="C612" s="341" t="s">
        <v>574</v>
      </c>
      <c r="D612" s="340" t="s">
        <v>740</v>
      </c>
      <c r="E612" s="341">
        <v>16</v>
      </c>
      <c r="F612" s="340"/>
      <c r="G612" s="340"/>
      <c r="H612" s="340">
        <v>0</v>
      </c>
      <c r="I612" s="340" t="s">
        <v>714</v>
      </c>
      <c r="J612" s="340"/>
      <c r="K612" s="340" t="s">
        <v>671</v>
      </c>
      <c r="L612" s="344">
        <v>39695</v>
      </c>
      <c r="M612" s="344">
        <v>39695</v>
      </c>
      <c r="N612" s="340" t="s">
        <v>739</v>
      </c>
      <c r="O612" s="341">
        <v>1200</v>
      </c>
      <c r="P612" s="341">
        <v>14050</v>
      </c>
      <c r="Q612" s="342">
        <v>9335.41</v>
      </c>
      <c r="R612" s="341">
        <v>14056</v>
      </c>
      <c r="S612" s="342">
        <v>9335.41</v>
      </c>
      <c r="T612" s="342">
        <f t="shared" si="110"/>
        <v>0</v>
      </c>
      <c r="U612" s="343">
        <v>0</v>
      </c>
      <c r="V612" s="341">
        <v>54260</v>
      </c>
      <c r="W612" s="342">
        <v>0</v>
      </c>
      <c r="X612" s="340" t="s">
        <v>574</v>
      </c>
      <c r="Y612" s="340"/>
      <c r="Z612" s="340">
        <v>3941</v>
      </c>
      <c r="AA612" s="340"/>
      <c r="AB612" s="340" t="s">
        <v>571</v>
      </c>
      <c r="AC612" s="340" t="s">
        <v>570</v>
      </c>
      <c r="AD612" s="341" t="s">
        <v>569</v>
      </c>
      <c r="AE612" s="340"/>
      <c r="AF612" s="341" t="s">
        <v>568</v>
      </c>
      <c r="AG612" s="340">
        <v>0</v>
      </c>
      <c r="AH612" s="340">
        <v>0</v>
      </c>
      <c r="AI612" s="377"/>
      <c r="AK612" s="493">
        <f t="shared" si="100"/>
        <v>9</v>
      </c>
      <c r="AL612" s="493">
        <f t="shared" si="101"/>
        <v>2008</v>
      </c>
      <c r="AM612" s="493">
        <f t="shared" si="102"/>
        <v>2020</v>
      </c>
      <c r="AN612" s="494">
        <f t="shared" si="103"/>
        <v>2020.75</v>
      </c>
      <c r="AO612" s="505">
        <f t="shared" si="104"/>
        <v>64.829236111111115</v>
      </c>
      <c r="AP612" s="505">
        <f t="shared" si="105"/>
        <v>777.95083333333332</v>
      </c>
      <c r="AQ612" s="505">
        <f t="shared" si="106"/>
        <v>0</v>
      </c>
      <c r="AR612" s="505">
        <f t="shared" si="107"/>
        <v>9335.41</v>
      </c>
      <c r="AS612" s="505">
        <f t="shared" si="108"/>
        <v>9335.41</v>
      </c>
      <c r="AT612" s="506">
        <f t="shared" si="109"/>
        <v>0</v>
      </c>
    </row>
    <row r="613" spans="1:46">
      <c r="A613" s="341">
        <v>2112</v>
      </c>
      <c r="B613" s="345">
        <v>56441</v>
      </c>
      <c r="C613" s="341" t="s">
        <v>574</v>
      </c>
      <c r="D613" s="340" t="s">
        <v>738</v>
      </c>
      <c r="E613" s="341">
        <v>0</v>
      </c>
      <c r="F613" s="340"/>
      <c r="G613" s="340"/>
      <c r="H613" s="340">
        <v>0</v>
      </c>
      <c r="I613" s="340"/>
      <c r="J613" s="340"/>
      <c r="K613" s="340"/>
      <c r="L613" s="344">
        <v>39538</v>
      </c>
      <c r="M613" s="344">
        <v>39538</v>
      </c>
      <c r="N613" s="340" t="s">
        <v>737</v>
      </c>
      <c r="O613" s="341">
        <v>907</v>
      </c>
      <c r="P613" s="341">
        <v>14090</v>
      </c>
      <c r="Q613" s="342">
        <v>4465.25</v>
      </c>
      <c r="R613" s="341">
        <v>14096</v>
      </c>
      <c r="S613" s="342">
        <v>4465.25</v>
      </c>
      <c r="T613" s="342">
        <f t="shared" si="110"/>
        <v>0</v>
      </c>
      <c r="U613" s="343">
        <v>0</v>
      </c>
      <c r="V613" s="341">
        <v>57260</v>
      </c>
      <c r="W613" s="342">
        <v>0</v>
      </c>
      <c r="X613" s="340" t="s">
        <v>574</v>
      </c>
      <c r="Y613" s="340">
        <v>0</v>
      </c>
      <c r="Z613" s="340"/>
      <c r="AA613" s="340"/>
      <c r="AB613" s="340" t="s">
        <v>571</v>
      </c>
      <c r="AC613" s="340" t="s">
        <v>570</v>
      </c>
      <c r="AD613" s="341" t="s">
        <v>569</v>
      </c>
      <c r="AE613" s="346">
        <v>39538</v>
      </c>
      <c r="AF613" s="341" t="s">
        <v>568</v>
      </c>
      <c r="AG613" s="340">
        <v>0</v>
      </c>
      <c r="AH613" s="340">
        <v>0</v>
      </c>
      <c r="AI613" s="377"/>
      <c r="AK613" s="493">
        <f t="shared" si="100"/>
        <v>3</v>
      </c>
      <c r="AL613" s="493">
        <f t="shared" si="101"/>
        <v>2008</v>
      </c>
      <c r="AM613" s="493">
        <f t="shared" si="102"/>
        <v>2017.07</v>
      </c>
      <c r="AN613" s="494">
        <f t="shared" si="103"/>
        <v>2017.32</v>
      </c>
      <c r="AO613" s="505">
        <f t="shared" si="104"/>
        <v>41.025817714075707</v>
      </c>
      <c r="AP613" s="505">
        <f t="shared" si="105"/>
        <v>492.30981256890846</v>
      </c>
      <c r="AQ613" s="505">
        <f t="shared" si="106"/>
        <v>0</v>
      </c>
      <c r="AR613" s="505">
        <f t="shared" si="107"/>
        <v>4465.25</v>
      </c>
      <c r="AS613" s="505">
        <f t="shared" si="108"/>
        <v>4465.25</v>
      </c>
      <c r="AT613" s="506">
        <f t="shared" si="109"/>
        <v>0</v>
      </c>
    </row>
    <row r="614" spans="1:46">
      <c r="A614" s="341">
        <v>2112</v>
      </c>
      <c r="B614" s="345">
        <v>54086</v>
      </c>
      <c r="C614" s="341" t="s">
        <v>574</v>
      </c>
      <c r="D614" s="340" t="s">
        <v>736</v>
      </c>
      <c r="E614" s="341">
        <v>0</v>
      </c>
      <c r="F614" s="340">
        <v>0</v>
      </c>
      <c r="G614" s="340"/>
      <c r="H614" s="340">
        <v>0</v>
      </c>
      <c r="I614" s="340"/>
      <c r="J614" s="340"/>
      <c r="K614" s="340"/>
      <c r="L614" s="344">
        <v>39387</v>
      </c>
      <c r="M614" s="344">
        <v>39387</v>
      </c>
      <c r="N614" s="340" t="s">
        <v>735</v>
      </c>
      <c r="O614" s="341">
        <v>300</v>
      </c>
      <c r="P614" s="341">
        <v>14110</v>
      </c>
      <c r="Q614" s="342">
        <v>2041.01</v>
      </c>
      <c r="R614" s="341">
        <v>14116</v>
      </c>
      <c r="S614" s="342">
        <v>2041.01</v>
      </c>
      <c r="T614" s="342">
        <f t="shared" si="110"/>
        <v>0</v>
      </c>
      <c r="U614" s="343">
        <v>0</v>
      </c>
      <c r="V614" s="341">
        <v>70260</v>
      </c>
      <c r="W614" s="342">
        <v>0</v>
      </c>
      <c r="X614" s="340" t="s">
        <v>12</v>
      </c>
      <c r="Y614" s="340"/>
      <c r="Z614" s="340" t="s">
        <v>734</v>
      </c>
      <c r="AA614" s="340"/>
      <c r="AB614" s="340" t="s">
        <v>571</v>
      </c>
      <c r="AC614" s="340" t="s">
        <v>570</v>
      </c>
      <c r="AD614" s="341" t="s">
        <v>569</v>
      </c>
      <c r="AE614" s="340"/>
      <c r="AF614" s="341" t="s">
        <v>568</v>
      </c>
      <c r="AG614" s="340">
        <v>0</v>
      </c>
      <c r="AH614" s="340">
        <v>0</v>
      </c>
      <c r="AI614" s="377"/>
      <c r="AK614" s="493">
        <f t="shared" si="100"/>
        <v>11</v>
      </c>
      <c r="AL614" s="493">
        <f t="shared" si="101"/>
        <v>2007</v>
      </c>
      <c r="AM614" s="493">
        <f t="shared" si="102"/>
        <v>2010</v>
      </c>
      <c r="AN614" s="494">
        <f t="shared" si="103"/>
        <v>2010.9166666666667</v>
      </c>
      <c r="AO614" s="505">
        <f t="shared" si="104"/>
        <v>56.694722222222225</v>
      </c>
      <c r="AP614" s="505">
        <f t="shared" si="105"/>
        <v>680.3366666666667</v>
      </c>
      <c r="AQ614" s="505">
        <f t="shared" si="106"/>
        <v>0</v>
      </c>
      <c r="AR614" s="505">
        <f t="shared" si="107"/>
        <v>2041.01</v>
      </c>
      <c r="AS614" s="505">
        <f t="shared" si="108"/>
        <v>2041.01</v>
      </c>
      <c r="AT614" s="506">
        <f t="shared" si="109"/>
        <v>0</v>
      </c>
    </row>
    <row r="615" spans="1:46">
      <c r="A615" s="341">
        <v>2112</v>
      </c>
      <c r="B615" s="345">
        <v>53129</v>
      </c>
      <c r="C615" s="341" t="s">
        <v>574</v>
      </c>
      <c r="D615" s="340" t="s">
        <v>733</v>
      </c>
      <c r="E615" s="341">
        <v>486</v>
      </c>
      <c r="F615" s="340">
        <v>0</v>
      </c>
      <c r="G615" s="340"/>
      <c r="H615" s="340">
        <v>0</v>
      </c>
      <c r="I615" s="340" t="s">
        <v>730</v>
      </c>
      <c r="J615" s="340"/>
      <c r="K615" s="340"/>
      <c r="L615" s="344">
        <v>39316</v>
      </c>
      <c r="M615" s="344">
        <v>39316</v>
      </c>
      <c r="N615" s="340" t="s">
        <v>729</v>
      </c>
      <c r="O615" s="341">
        <v>700</v>
      </c>
      <c r="P615" s="341">
        <v>14050</v>
      </c>
      <c r="Q615" s="342">
        <v>24141.59</v>
      </c>
      <c r="R615" s="341">
        <v>14056</v>
      </c>
      <c r="S615" s="342">
        <v>24141.59</v>
      </c>
      <c r="T615" s="342">
        <f t="shared" si="110"/>
        <v>0</v>
      </c>
      <c r="U615" s="343">
        <v>0</v>
      </c>
      <c r="V615" s="341">
        <v>54260</v>
      </c>
      <c r="W615" s="342">
        <v>0</v>
      </c>
      <c r="X615" s="340" t="s">
        <v>574</v>
      </c>
      <c r="Y615" s="340"/>
      <c r="Z615" s="340" t="s">
        <v>732</v>
      </c>
      <c r="AA615" s="340"/>
      <c r="AB615" s="340" t="s">
        <v>571</v>
      </c>
      <c r="AC615" s="340" t="s">
        <v>570</v>
      </c>
      <c r="AD615" s="341" t="s">
        <v>569</v>
      </c>
      <c r="AE615" s="340"/>
      <c r="AF615" s="341" t="s">
        <v>568</v>
      </c>
      <c r="AG615" s="340">
        <v>0</v>
      </c>
      <c r="AH615" s="340">
        <v>0</v>
      </c>
      <c r="AI615" s="377"/>
      <c r="AK615" s="493">
        <f t="shared" si="100"/>
        <v>8</v>
      </c>
      <c r="AL615" s="493">
        <f t="shared" si="101"/>
        <v>2007</v>
      </c>
      <c r="AM615" s="493">
        <f t="shared" si="102"/>
        <v>2014</v>
      </c>
      <c r="AN615" s="494">
        <f t="shared" si="103"/>
        <v>2014.6666666666667</v>
      </c>
      <c r="AO615" s="505">
        <f t="shared" si="104"/>
        <v>287.39988095238095</v>
      </c>
      <c r="AP615" s="505">
        <f t="shared" si="105"/>
        <v>3448.7985714285714</v>
      </c>
      <c r="AQ615" s="505">
        <f t="shared" si="106"/>
        <v>0</v>
      </c>
      <c r="AR615" s="505">
        <f t="shared" si="107"/>
        <v>24141.59</v>
      </c>
      <c r="AS615" s="505">
        <f t="shared" si="108"/>
        <v>24141.59</v>
      </c>
      <c r="AT615" s="506">
        <f t="shared" si="109"/>
        <v>0</v>
      </c>
    </row>
    <row r="616" spans="1:46">
      <c r="A616" s="341">
        <v>2112</v>
      </c>
      <c r="B616" s="345">
        <v>53128</v>
      </c>
      <c r="C616" s="341" t="s">
        <v>574</v>
      </c>
      <c r="D616" s="340" t="s">
        <v>731</v>
      </c>
      <c r="E616" s="341">
        <v>270</v>
      </c>
      <c r="F616" s="340">
        <v>0</v>
      </c>
      <c r="G616" s="340"/>
      <c r="H616" s="340">
        <v>0</v>
      </c>
      <c r="I616" s="340" t="s">
        <v>730</v>
      </c>
      <c r="J616" s="340"/>
      <c r="K616" s="340"/>
      <c r="L616" s="344">
        <v>39316</v>
      </c>
      <c r="M616" s="344">
        <v>39316</v>
      </c>
      <c r="N616" s="340" t="s">
        <v>729</v>
      </c>
      <c r="O616" s="341">
        <v>700</v>
      </c>
      <c r="P616" s="341">
        <v>14050</v>
      </c>
      <c r="Q616" s="342">
        <v>10871.56</v>
      </c>
      <c r="R616" s="341">
        <v>14056</v>
      </c>
      <c r="S616" s="342">
        <v>10871.56</v>
      </c>
      <c r="T616" s="342">
        <f t="shared" si="110"/>
        <v>0</v>
      </c>
      <c r="U616" s="343">
        <v>0</v>
      </c>
      <c r="V616" s="341">
        <v>54260</v>
      </c>
      <c r="W616" s="342">
        <v>0</v>
      </c>
      <c r="X616" s="340" t="s">
        <v>574</v>
      </c>
      <c r="Y616" s="340"/>
      <c r="Z616" s="340" t="s">
        <v>728</v>
      </c>
      <c r="AA616" s="340"/>
      <c r="AB616" s="340" t="s">
        <v>571</v>
      </c>
      <c r="AC616" s="340" t="s">
        <v>570</v>
      </c>
      <c r="AD616" s="341" t="s">
        <v>569</v>
      </c>
      <c r="AE616" s="340"/>
      <c r="AF616" s="341" t="s">
        <v>568</v>
      </c>
      <c r="AG616" s="340">
        <v>0</v>
      </c>
      <c r="AH616" s="340">
        <v>0</v>
      </c>
      <c r="AI616" s="377"/>
      <c r="AK616" s="493">
        <f t="shared" si="100"/>
        <v>8</v>
      </c>
      <c r="AL616" s="493">
        <f t="shared" si="101"/>
        <v>2007</v>
      </c>
      <c r="AM616" s="493">
        <f t="shared" si="102"/>
        <v>2014</v>
      </c>
      <c r="AN616" s="494">
        <f t="shared" si="103"/>
        <v>2014.6666666666667</v>
      </c>
      <c r="AO616" s="505">
        <f t="shared" si="104"/>
        <v>129.42333333333332</v>
      </c>
      <c r="AP616" s="505">
        <f t="shared" si="105"/>
        <v>1553.08</v>
      </c>
      <c r="AQ616" s="505">
        <f t="shared" si="106"/>
        <v>0</v>
      </c>
      <c r="AR616" s="505">
        <f t="shared" si="107"/>
        <v>10871.56</v>
      </c>
      <c r="AS616" s="505">
        <f t="shared" si="108"/>
        <v>10871.56</v>
      </c>
      <c r="AT616" s="506">
        <f t="shared" si="109"/>
        <v>0</v>
      </c>
    </row>
    <row r="617" spans="1:46">
      <c r="A617" s="341">
        <v>2112</v>
      </c>
      <c r="B617" s="345">
        <v>51722</v>
      </c>
      <c r="C617" s="341" t="s">
        <v>574</v>
      </c>
      <c r="D617" s="340" t="s">
        <v>727</v>
      </c>
      <c r="E617" s="341">
        <v>17</v>
      </c>
      <c r="F617" s="340">
        <v>0</v>
      </c>
      <c r="G617" s="340"/>
      <c r="H617" s="340">
        <v>0</v>
      </c>
      <c r="I617" s="340" t="s">
        <v>714</v>
      </c>
      <c r="J617" s="340"/>
      <c r="K617" s="340" t="s">
        <v>578</v>
      </c>
      <c r="L617" s="344">
        <v>39244</v>
      </c>
      <c r="M617" s="344">
        <v>39244</v>
      </c>
      <c r="N617" s="340" t="s">
        <v>726</v>
      </c>
      <c r="O617" s="341">
        <v>1200</v>
      </c>
      <c r="P617" s="341">
        <v>14050</v>
      </c>
      <c r="Q617" s="342">
        <v>7334.34</v>
      </c>
      <c r="R617" s="341">
        <v>14056</v>
      </c>
      <c r="S617" s="342">
        <v>7334.34</v>
      </c>
      <c r="T617" s="342">
        <f t="shared" si="110"/>
        <v>0</v>
      </c>
      <c r="U617" s="343">
        <v>0</v>
      </c>
      <c r="V617" s="341">
        <v>54260</v>
      </c>
      <c r="W617" s="342">
        <v>0</v>
      </c>
      <c r="X617" s="340" t="s">
        <v>574</v>
      </c>
      <c r="Y617" s="340"/>
      <c r="Z617" s="340">
        <v>3407</v>
      </c>
      <c r="AA617" s="340"/>
      <c r="AB617" s="340" t="s">
        <v>571</v>
      </c>
      <c r="AC617" s="340" t="s">
        <v>570</v>
      </c>
      <c r="AD617" s="341" t="s">
        <v>569</v>
      </c>
      <c r="AE617" s="340"/>
      <c r="AF617" s="341" t="s">
        <v>568</v>
      </c>
      <c r="AG617" s="340">
        <v>0</v>
      </c>
      <c r="AH617" s="340">
        <v>0</v>
      </c>
      <c r="AI617" s="377"/>
      <c r="AK617" s="493">
        <f t="shared" si="100"/>
        <v>6</v>
      </c>
      <c r="AL617" s="493">
        <f t="shared" si="101"/>
        <v>2007</v>
      </c>
      <c r="AM617" s="493">
        <f t="shared" si="102"/>
        <v>2019</v>
      </c>
      <c r="AN617" s="494">
        <f t="shared" si="103"/>
        <v>2019.5</v>
      </c>
      <c r="AO617" s="505">
        <f t="shared" si="104"/>
        <v>50.932916666666671</v>
      </c>
      <c r="AP617" s="505">
        <f t="shared" si="105"/>
        <v>611.19500000000005</v>
      </c>
      <c r="AQ617" s="505">
        <f t="shared" si="106"/>
        <v>0</v>
      </c>
      <c r="AR617" s="505">
        <f t="shared" si="107"/>
        <v>7334.34</v>
      </c>
      <c r="AS617" s="505">
        <f t="shared" si="108"/>
        <v>7334.34</v>
      </c>
      <c r="AT617" s="506">
        <f t="shared" si="109"/>
        <v>0</v>
      </c>
    </row>
    <row r="618" spans="1:46">
      <c r="A618" s="341">
        <v>2112</v>
      </c>
      <c r="B618" s="345">
        <v>51721</v>
      </c>
      <c r="C618" s="341" t="s">
        <v>574</v>
      </c>
      <c r="D618" s="340" t="s">
        <v>725</v>
      </c>
      <c r="E618" s="341">
        <v>40</v>
      </c>
      <c r="F618" s="340">
        <v>0</v>
      </c>
      <c r="G618" s="340"/>
      <c r="H618" s="340">
        <v>0</v>
      </c>
      <c r="I618" s="340" t="s">
        <v>714</v>
      </c>
      <c r="J618" s="340"/>
      <c r="K618" s="340" t="s">
        <v>671</v>
      </c>
      <c r="L618" s="344">
        <v>39244</v>
      </c>
      <c r="M618" s="344">
        <v>39244</v>
      </c>
      <c r="N618" s="340" t="s">
        <v>724</v>
      </c>
      <c r="O618" s="341">
        <v>1200</v>
      </c>
      <c r="P618" s="341">
        <v>14050</v>
      </c>
      <c r="Q618" s="342">
        <v>18037.759999999998</v>
      </c>
      <c r="R618" s="341">
        <v>14056</v>
      </c>
      <c r="S618" s="342">
        <v>18037.759999999998</v>
      </c>
      <c r="T618" s="342">
        <f t="shared" si="110"/>
        <v>0</v>
      </c>
      <c r="U618" s="343">
        <v>0</v>
      </c>
      <c r="V618" s="341">
        <v>54260</v>
      </c>
      <c r="W618" s="342">
        <v>0</v>
      </c>
      <c r="X618" s="340" t="s">
        <v>574</v>
      </c>
      <c r="Y618" s="340"/>
      <c r="Z618" s="340">
        <v>3406</v>
      </c>
      <c r="AA618" s="340"/>
      <c r="AB618" s="340" t="s">
        <v>571</v>
      </c>
      <c r="AC618" s="340" t="s">
        <v>570</v>
      </c>
      <c r="AD618" s="341" t="s">
        <v>569</v>
      </c>
      <c r="AE618" s="340"/>
      <c r="AF618" s="341" t="s">
        <v>568</v>
      </c>
      <c r="AG618" s="340">
        <v>0</v>
      </c>
      <c r="AH618" s="340">
        <v>0</v>
      </c>
      <c r="AI618" s="377"/>
      <c r="AK618" s="493">
        <f t="shared" si="100"/>
        <v>6</v>
      </c>
      <c r="AL618" s="493">
        <f t="shared" si="101"/>
        <v>2007</v>
      </c>
      <c r="AM618" s="493">
        <f t="shared" si="102"/>
        <v>2019</v>
      </c>
      <c r="AN618" s="494">
        <f t="shared" si="103"/>
        <v>2019.5</v>
      </c>
      <c r="AO618" s="505">
        <f t="shared" si="104"/>
        <v>125.26222222222221</v>
      </c>
      <c r="AP618" s="505">
        <f t="shared" si="105"/>
        <v>1503.1466666666665</v>
      </c>
      <c r="AQ618" s="505">
        <f t="shared" si="106"/>
        <v>0</v>
      </c>
      <c r="AR618" s="505">
        <f t="shared" si="107"/>
        <v>18037.759999999998</v>
      </c>
      <c r="AS618" s="505">
        <f t="shared" si="108"/>
        <v>18037.759999999998</v>
      </c>
      <c r="AT618" s="506">
        <f t="shared" si="109"/>
        <v>0</v>
      </c>
    </row>
    <row r="619" spans="1:46">
      <c r="A619" s="341">
        <v>2112</v>
      </c>
      <c r="B619" s="345">
        <v>51720</v>
      </c>
      <c r="C619" s="341" t="s">
        <v>574</v>
      </c>
      <c r="D619" s="340" t="s">
        <v>723</v>
      </c>
      <c r="E619" s="341">
        <v>2</v>
      </c>
      <c r="F619" s="340">
        <v>0</v>
      </c>
      <c r="G619" s="340"/>
      <c r="H619" s="340">
        <v>0</v>
      </c>
      <c r="I619" s="340" t="s">
        <v>714</v>
      </c>
      <c r="J619" s="340"/>
      <c r="K619" s="340" t="s">
        <v>722</v>
      </c>
      <c r="L619" s="344">
        <v>39244</v>
      </c>
      <c r="M619" s="344">
        <v>39244</v>
      </c>
      <c r="N619" s="340" t="s">
        <v>721</v>
      </c>
      <c r="O619" s="341">
        <v>1200</v>
      </c>
      <c r="P619" s="341">
        <v>14050</v>
      </c>
      <c r="Q619" s="342">
        <v>4241.4799999999996</v>
      </c>
      <c r="R619" s="341">
        <v>14056</v>
      </c>
      <c r="S619" s="342">
        <v>4241.4799999999996</v>
      </c>
      <c r="T619" s="342">
        <f t="shared" si="110"/>
        <v>0</v>
      </c>
      <c r="U619" s="343">
        <v>0</v>
      </c>
      <c r="V619" s="341">
        <v>54260</v>
      </c>
      <c r="W619" s="342">
        <v>0</v>
      </c>
      <c r="X619" s="340" t="s">
        <v>574</v>
      </c>
      <c r="Y619" s="340"/>
      <c r="Z619" s="340">
        <v>3405</v>
      </c>
      <c r="AA619" s="340"/>
      <c r="AB619" s="340" t="s">
        <v>571</v>
      </c>
      <c r="AC619" s="340" t="s">
        <v>570</v>
      </c>
      <c r="AD619" s="341" t="s">
        <v>569</v>
      </c>
      <c r="AE619" s="346">
        <v>44681</v>
      </c>
      <c r="AF619" s="341" t="s">
        <v>568</v>
      </c>
      <c r="AG619" s="340">
        <v>3</v>
      </c>
      <c r="AH619" s="340">
        <v>4241.4799999999996</v>
      </c>
      <c r="AI619" s="377"/>
      <c r="AK619" s="493">
        <f t="shared" si="100"/>
        <v>6</v>
      </c>
      <c r="AL619" s="493">
        <f t="shared" si="101"/>
        <v>2007</v>
      </c>
      <c r="AM619" s="493">
        <f t="shared" si="102"/>
        <v>2019</v>
      </c>
      <c r="AN619" s="494">
        <f t="shared" si="103"/>
        <v>2019.5</v>
      </c>
      <c r="AO619" s="505">
        <f t="shared" si="104"/>
        <v>29.45472222222222</v>
      </c>
      <c r="AP619" s="505">
        <f t="shared" si="105"/>
        <v>353.45666666666665</v>
      </c>
      <c r="AQ619" s="505">
        <f t="shared" si="106"/>
        <v>0</v>
      </c>
      <c r="AR619" s="505">
        <f t="shared" si="107"/>
        <v>4241.4799999999996</v>
      </c>
      <c r="AS619" s="505">
        <f t="shared" si="108"/>
        <v>4241.4799999999996</v>
      </c>
      <c r="AT619" s="506">
        <f t="shared" si="109"/>
        <v>0</v>
      </c>
    </row>
    <row r="620" spans="1:46">
      <c r="A620" s="341">
        <v>2112</v>
      </c>
      <c r="B620" s="345">
        <v>48634</v>
      </c>
      <c r="C620" s="341" t="s">
        <v>574</v>
      </c>
      <c r="D620" s="340" t="s">
        <v>720</v>
      </c>
      <c r="E620" s="341">
        <v>0</v>
      </c>
      <c r="F620" s="340">
        <v>0</v>
      </c>
      <c r="G620" s="340"/>
      <c r="H620" s="340">
        <v>0</v>
      </c>
      <c r="I620" s="340" t="s">
        <v>719</v>
      </c>
      <c r="J620" s="340"/>
      <c r="K620" s="340"/>
      <c r="L620" s="344">
        <v>39105</v>
      </c>
      <c r="M620" s="344">
        <v>39105</v>
      </c>
      <c r="N620" s="340" t="s">
        <v>718</v>
      </c>
      <c r="O620" s="341">
        <v>300</v>
      </c>
      <c r="P620" s="341">
        <v>14110</v>
      </c>
      <c r="Q620" s="342">
        <v>875</v>
      </c>
      <c r="R620" s="341">
        <v>14116</v>
      </c>
      <c r="S620" s="342">
        <v>875</v>
      </c>
      <c r="T620" s="342">
        <f t="shared" si="110"/>
        <v>0</v>
      </c>
      <c r="U620" s="343">
        <v>0</v>
      </c>
      <c r="V620" s="341">
        <v>70260</v>
      </c>
      <c r="W620" s="342">
        <v>0</v>
      </c>
      <c r="X620" s="340" t="s">
        <v>574</v>
      </c>
      <c r="Y620" s="340"/>
      <c r="Z620" s="340">
        <v>9248</v>
      </c>
      <c r="AA620" s="340"/>
      <c r="AB620" s="340" t="s">
        <v>571</v>
      </c>
      <c r="AC620" s="340" t="s">
        <v>570</v>
      </c>
      <c r="AD620" s="341" t="s">
        <v>569</v>
      </c>
      <c r="AE620" s="340"/>
      <c r="AF620" s="341" t="s">
        <v>568</v>
      </c>
      <c r="AG620" s="340">
        <v>0</v>
      </c>
      <c r="AH620" s="340">
        <v>0</v>
      </c>
      <c r="AI620" s="377"/>
      <c r="AK620" s="493">
        <f t="shared" si="100"/>
        <v>1</v>
      </c>
      <c r="AL620" s="493">
        <f t="shared" si="101"/>
        <v>2007</v>
      </c>
      <c r="AM620" s="493">
        <f t="shared" si="102"/>
        <v>2010</v>
      </c>
      <c r="AN620" s="494">
        <f t="shared" si="103"/>
        <v>2010.0833333333333</v>
      </c>
      <c r="AO620" s="505">
        <f t="shared" si="104"/>
        <v>24.305555555555557</v>
      </c>
      <c r="AP620" s="505">
        <f t="shared" si="105"/>
        <v>291.66666666666669</v>
      </c>
      <c r="AQ620" s="505">
        <f t="shared" si="106"/>
        <v>0</v>
      </c>
      <c r="AR620" s="505">
        <f t="shared" si="107"/>
        <v>875</v>
      </c>
      <c r="AS620" s="505">
        <f t="shared" si="108"/>
        <v>875</v>
      </c>
      <c r="AT620" s="506">
        <f t="shared" si="109"/>
        <v>0</v>
      </c>
    </row>
    <row r="621" spans="1:46">
      <c r="A621" s="341">
        <v>2112</v>
      </c>
      <c r="B621" s="345">
        <v>48175</v>
      </c>
      <c r="C621" s="341" t="s">
        <v>574</v>
      </c>
      <c r="D621" s="340" t="s">
        <v>717</v>
      </c>
      <c r="E621" s="341">
        <v>18</v>
      </c>
      <c r="F621" s="340">
        <v>0</v>
      </c>
      <c r="G621" s="340"/>
      <c r="H621" s="340">
        <v>0</v>
      </c>
      <c r="I621" s="340" t="s">
        <v>707</v>
      </c>
      <c r="J621" s="340"/>
      <c r="K621" s="340" t="s">
        <v>578</v>
      </c>
      <c r="L621" s="344">
        <v>39083</v>
      </c>
      <c r="M621" s="344">
        <v>39083</v>
      </c>
      <c r="N621" s="340" t="s">
        <v>715</v>
      </c>
      <c r="O621" s="341">
        <v>1108</v>
      </c>
      <c r="P621" s="341">
        <v>14050</v>
      </c>
      <c r="Q621" s="342">
        <v>7872.77</v>
      </c>
      <c r="R621" s="341">
        <v>14056</v>
      </c>
      <c r="S621" s="342">
        <v>7872.77</v>
      </c>
      <c r="T621" s="342">
        <f t="shared" si="110"/>
        <v>0</v>
      </c>
      <c r="U621" s="343">
        <v>0</v>
      </c>
      <c r="V621" s="341">
        <v>54260</v>
      </c>
      <c r="W621" s="342">
        <v>0</v>
      </c>
      <c r="X621" s="340" t="s">
        <v>574</v>
      </c>
      <c r="Y621" s="340"/>
      <c r="Z621" s="340">
        <v>14870</v>
      </c>
      <c r="AA621" s="340"/>
      <c r="AB621" s="340" t="s">
        <v>571</v>
      </c>
      <c r="AC621" s="340" t="s">
        <v>570</v>
      </c>
      <c r="AD621" s="341" t="s">
        <v>569</v>
      </c>
      <c r="AE621" s="340"/>
      <c r="AF621" s="341" t="s">
        <v>568</v>
      </c>
      <c r="AG621" s="340">
        <v>0</v>
      </c>
      <c r="AH621" s="340">
        <v>0</v>
      </c>
      <c r="AI621" s="377"/>
      <c r="AK621" s="493">
        <f t="shared" si="100"/>
        <v>1</v>
      </c>
      <c r="AL621" s="493">
        <f t="shared" si="101"/>
        <v>2007</v>
      </c>
      <c r="AM621" s="493">
        <f t="shared" si="102"/>
        <v>2018.08</v>
      </c>
      <c r="AN621" s="494">
        <f t="shared" si="103"/>
        <v>2018.1633333333332</v>
      </c>
      <c r="AO621" s="505">
        <f t="shared" si="104"/>
        <v>59.21156738868833</v>
      </c>
      <c r="AP621" s="505">
        <f t="shared" si="105"/>
        <v>710.53880866425993</v>
      </c>
      <c r="AQ621" s="505">
        <f t="shared" si="106"/>
        <v>0</v>
      </c>
      <c r="AR621" s="505">
        <f t="shared" si="107"/>
        <v>7872.77</v>
      </c>
      <c r="AS621" s="505">
        <f t="shared" si="108"/>
        <v>7872.77</v>
      </c>
      <c r="AT621" s="506">
        <f t="shared" si="109"/>
        <v>0</v>
      </c>
    </row>
    <row r="622" spans="1:46">
      <c r="A622" s="341">
        <v>2112</v>
      </c>
      <c r="B622" s="345">
        <v>48174</v>
      </c>
      <c r="C622" s="341" t="s">
        <v>574</v>
      </c>
      <c r="D622" s="340" t="s">
        <v>716</v>
      </c>
      <c r="E622" s="341">
        <v>18</v>
      </c>
      <c r="F622" s="340">
        <v>0</v>
      </c>
      <c r="G622" s="340"/>
      <c r="H622" s="340">
        <v>0</v>
      </c>
      <c r="I622" s="340" t="s">
        <v>707</v>
      </c>
      <c r="J622" s="340"/>
      <c r="K622" s="340" t="s">
        <v>706</v>
      </c>
      <c r="L622" s="344">
        <v>39083</v>
      </c>
      <c r="M622" s="344">
        <v>39083</v>
      </c>
      <c r="N622" s="340" t="s">
        <v>715</v>
      </c>
      <c r="O622" s="341">
        <v>1108</v>
      </c>
      <c r="P622" s="341">
        <v>14050</v>
      </c>
      <c r="Q622" s="342">
        <v>8068.61</v>
      </c>
      <c r="R622" s="341">
        <v>14056</v>
      </c>
      <c r="S622" s="342">
        <v>8068.61</v>
      </c>
      <c r="T622" s="342">
        <f t="shared" si="110"/>
        <v>0</v>
      </c>
      <c r="U622" s="343">
        <v>0</v>
      </c>
      <c r="V622" s="341">
        <v>54260</v>
      </c>
      <c r="W622" s="342">
        <v>0</v>
      </c>
      <c r="X622" s="340" t="s">
        <v>574</v>
      </c>
      <c r="Y622" s="340"/>
      <c r="Z622" s="340">
        <v>14868</v>
      </c>
      <c r="AA622" s="340"/>
      <c r="AB622" s="340" t="s">
        <v>571</v>
      </c>
      <c r="AC622" s="340" t="s">
        <v>570</v>
      </c>
      <c r="AD622" s="341" t="s">
        <v>569</v>
      </c>
      <c r="AE622" s="340"/>
      <c r="AF622" s="341" t="s">
        <v>568</v>
      </c>
      <c r="AG622" s="340">
        <v>0</v>
      </c>
      <c r="AH622" s="340">
        <v>0</v>
      </c>
      <c r="AI622" s="377"/>
      <c r="AK622" s="493">
        <f t="shared" si="100"/>
        <v>1</v>
      </c>
      <c r="AL622" s="493">
        <f t="shared" si="101"/>
        <v>2007</v>
      </c>
      <c r="AM622" s="493">
        <f t="shared" si="102"/>
        <v>2018.08</v>
      </c>
      <c r="AN622" s="494">
        <f t="shared" si="103"/>
        <v>2018.1633333333332</v>
      </c>
      <c r="AO622" s="505">
        <f t="shared" si="104"/>
        <v>60.684491576413954</v>
      </c>
      <c r="AP622" s="505">
        <f t="shared" si="105"/>
        <v>728.21389891696742</v>
      </c>
      <c r="AQ622" s="505">
        <f t="shared" si="106"/>
        <v>0</v>
      </c>
      <c r="AR622" s="505">
        <f t="shared" si="107"/>
        <v>8068.61</v>
      </c>
      <c r="AS622" s="505">
        <f t="shared" si="108"/>
        <v>8068.61</v>
      </c>
      <c r="AT622" s="506">
        <f t="shared" si="109"/>
        <v>0</v>
      </c>
    </row>
    <row r="623" spans="1:46">
      <c r="A623" s="341">
        <v>2112</v>
      </c>
      <c r="B623" s="345">
        <v>45672</v>
      </c>
      <c r="C623" s="341" t="s">
        <v>574</v>
      </c>
      <c r="D623" s="340" t="s">
        <v>713</v>
      </c>
      <c r="E623" s="341">
        <v>20</v>
      </c>
      <c r="F623" s="340">
        <v>0</v>
      </c>
      <c r="G623" s="340"/>
      <c r="H623" s="340">
        <v>0</v>
      </c>
      <c r="I623" s="340" t="s">
        <v>707</v>
      </c>
      <c r="J623" s="340"/>
      <c r="K623" s="340" t="s">
        <v>671</v>
      </c>
      <c r="L623" s="344">
        <v>38898</v>
      </c>
      <c r="M623" s="344">
        <v>38898</v>
      </c>
      <c r="N623" s="340" t="s">
        <v>712</v>
      </c>
      <c r="O623" s="341">
        <v>1200</v>
      </c>
      <c r="P623" s="341">
        <v>14050</v>
      </c>
      <c r="Q623" s="342">
        <v>9465.6</v>
      </c>
      <c r="R623" s="341">
        <v>14056</v>
      </c>
      <c r="S623" s="342">
        <v>9465.6</v>
      </c>
      <c r="T623" s="342">
        <f t="shared" si="110"/>
        <v>0</v>
      </c>
      <c r="U623" s="343">
        <v>0</v>
      </c>
      <c r="V623" s="341">
        <v>54260</v>
      </c>
      <c r="W623" s="342">
        <v>0</v>
      </c>
      <c r="X623" s="340" t="s">
        <v>574</v>
      </c>
      <c r="Y623" s="340"/>
      <c r="Z623" s="340">
        <v>-12890</v>
      </c>
      <c r="AA623" s="340"/>
      <c r="AB623" s="340" t="s">
        <v>571</v>
      </c>
      <c r="AC623" s="340" t="s">
        <v>570</v>
      </c>
      <c r="AD623" s="341" t="s">
        <v>569</v>
      </c>
      <c r="AE623" s="340"/>
      <c r="AF623" s="341" t="s">
        <v>568</v>
      </c>
      <c r="AG623" s="340">
        <v>0</v>
      </c>
      <c r="AH623" s="340">
        <v>0</v>
      </c>
      <c r="AI623" s="377"/>
      <c r="AK623" s="493">
        <f t="shared" si="100"/>
        <v>6</v>
      </c>
      <c r="AL623" s="493">
        <f t="shared" si="101"/>
        <v>2006</v>
      </c>
      <c r="AM623" s="493">
        <f t="shared" si="102"/>
        <v>2018</v>
      </c>
      <c r="AN623" s="494">
        <f t="shared" si="103"/>
        <v>2018.5</v>
      </c>
      <c r="AO623" s="505">
        <f t="shared" si="104"/>
        <v>65.733333333333334</v>
      </c>
      <c r="AP623" s="505">
        <f t="shared" si="105"/>
        <v>788.8</v>
      </c>
      <c r="AQ623" s="505">
        <f t="shared" si="106"/>
        <v>0</v>
      </c>
      <c r="AR623" s="505">
        <f t="shared" si="107"/>
        <v>9465.6</v>
      </c>
      <c r="AS623" s="505">
        <f t="shared" si="108"/>
        <v>9465.6</v>
      </c>
      <c r="AT623" s="506">
        <f t="shared" si="109"/>
        <v>0</v>
      </c>
    </row>
    <row r="624" spans="1:46">
      <c r="A624" s="341">
        <v>2112</v>
      </c>
      <c r="B624" s="345">
        <v>45215</v>
      </c>
      <c r="C624" s="341">
        <v>42965</v>
      </c>
      <c r="D624" s="340" t="s">
        <v>711</v>
      </c>
      <c r="E624" s="341">
        <v>0</v>
      </c>
      <c r="F624" s="340" t="s">
        <v>703</v>
      </c>
      <c r="G624" s="340"/>
      <c r="H624" s="340">
        <v>2006</v>
      </c>
      <c r="I624" s="340"/>
      <c r="J624" s="340"/>
      <c r="K624" s="340" t="s">
        <v>699</v>
      </c>
      <c r="L624" s="344">
        <v>38877</v>
      </c>
      <c r="M624" s="344">
        <v>38877</v>
      </c>
      <c r="N624" s="340" t="s">
        <v>698</v>
      </c>
      <c r="O624" s="341">
        <v>1000</v>
      </c>
      <c r="P624" s="341">
        <v>14040</v>
      </c>
      <c r="Q624" s="342">
        <v>53093.31</v>
      </c>
      <c r="R624" s="341">
        <v>14046</v>
      </c>
      <c r="S624" s="342">
        <v>53093.31</v>
      </c>
      <c r="T624" s="342">
        <f t="shared" si="110"/>
        <v>0</v>
      </c>
      <c r="U624" s="343">
        <v>0</v>
      </c>
      <c r="V624" s="341">
        <v>51260</v>
      </c>
      <c r="W624" s="342">
        <v>0</v>
      </c>
      <c r="X624" s="340" t="s">
        <v>574</v>
      </c>
      <c r="Y624" s="340"/>
      <c r="Z624" s="340" t="s">
        <v>710</v>
      </c>
      <c r="AA624" s="340"/>
      <c r="AB624" s="340" t="s">
        <v>571</v>
      </c>
      <c r="AC624" s="340" t="s">
        <v>570</v>
      </c>
      <c r="AD624" s="341" t="s">
        <v>569</v>
      </c>
      <c r="AE624" s="340"/>
      <c r="AF624" s="341" t="s">
        <v>568</v>
      </c>
      <c r="AG624" s="340">
        <v>0</v>
      </c>
      <c r="AH624" s="340">
        <v>0</v>
      </c>
      <c r="AI624" s="377"/>
      <c r="AK624" s="493">
        <f t="shared" si="100"/>
        <v>6</v>
      </c>
      <c r="AL624" s="493">
        <f t="shared" si="101"/>
        <v>2006</v>
      </c>
      <c r="AM624" s="493">
        <f t="shared" si="102"/>
        <v>2016</v>
      </c>
      <c r="AN624" s="494">
        <f t="shared" si="103"/>
        <v>2016.5</v>
      </c>
      <c r="AO624" s="505">
        <f t="shared" si="104"/>
        <v>442.44425000000001</v>
      </c>
      <c r="AP624" s="505">
        <f t="shared" si="105"/>
        <v>5309.3310000000001</v>
      </c>
      <c r="AQ624" s="505">
        <f t="shared" si="106"/>
        <v>0</v>
      </c>
      <c r="AR624" s="505">
        <f t="shared" si="107"/>
        <v>53093.31</v>
      </c>
      <c r="AS624" s="505">
        <f t="shared" si="108"/>
        <v>53093.31</v>
      </c>
      <c r="AT624" s="506">
        <f t="shared" si="109"/>
        <v>0</v>
      </c>
    </row>
    <row r="625" spans="1:46">
      <c r="A625" s="341">
        <v>2112</v>
      </c>
      <c r="B625" s="345">
        <v>44543</v>
      </c>
      <c r="C625" s="341" t="s">
        <v>574</v>
      </c>
      <c r="D625" s="340" t="s">
        <v>709</v>
      </c>
      <c r="E625" s="341">
        <v>28</v>
      </c>
      <c r="F625" s="340">
        <v>0</v>
      </c>
      <c r="G625" s="340"/>
      <c r="H625" s="340">
        <v>0</v>
      </c>
      <c r="I625" s="340" t="s">
        <v>707</v>
      </c>
      <c r="J625" s="340"/>
      <c r="K625" s="340" t="s">
        <v>671</v>
      </c>
      <c r="L625" s="344">
        <v>38854</v>
      </c>
      <c r="M625" s="344">
        <v>38854</v>
      </c>
      <c r="N625" s="340" t="s">
        <v>705</v>
      </c>
      <c r="O625" s="341">
        <v>1200</v>
      </c>
      <c r="P625" s="341">
        <v>14050</v>
      </c>
      <c r="Q625" s="342">
        <v>13251.84</v>
      </c>
      <c r="R625" s="341">
        <v>14056</v>
      </c>
      <c r="S625" s="342">
        <v>13251.84</v>
      </c>
      <c r="T625" s="342">
        <f t="shared" si="110"/>
        <v>0</v>
      </c>
      <c r="U625" s="343">
        <v>0</v>
      </c>
      <c r="V625" s="341">
        <v>54260</v>
      </c>
      <c r="W625" s="342">
        <v>0</v>
      </c>
      <c r="X625" s="340" t="s">
        <v>574</v>
      </c>
      <c r="Y625" s="340"/>
      <c r="Z625" s="340">
        <v>10767</v>
      </c>
      <c r="AA625" s="340"/>
      <c r="AB625" s="340" t="s">
        <v>571</v>
      </c>
      <c r="AC625" s="340" t="s">
        <v>570</v>
      </c>
      <c r="AD625" s="341" t="s">
        <v>569</v>
      </c>
      <c r="AE625" s="340"/>
      <c r="AF625" s="341" t="s">
        <v>568</v>
      </c>
      <c r="AG625" s="340">
        <v>0</v>
      </c>
      <c r="AH625" s="340">
        <v>0</v>
      </c>
      <c r="AI625" s="377"/>
      <c r="AK625" s="493">
        <f t="shared" si="100"/>
        <v>5</v>
      </c>
      <c r="AL625" s="493">
        <f t="shared" si="101"/>
        <v>2006</v>
      </c>
      <c r="AM625" s="493">
        <f t="shared" si="102"/>
        <v>2018</v>
      </c>
      <c r="AN625" s="494">
        <f t="shared" si="103"/>
        <v>2018.4166666666667</v>
      </c>
      <c r="AO625" s="505">
        <f t="shared" si="104"/>
        <v>92.026666666666657</v>
      </c>
      <c r="AP625" s="505">
        <f t="shared" si="105"/>
        <v>1104.32</v>
      </c>
      <c r="AQ625" s="505">
        <f t="shared" si="106"/>
        <v>0</v>
      </c>
      <c r="AR625" s="505">
        <f t="shared" si="107"/>
        <v>13251.84</v>
      </c>
      <c r="AS625" s="505">
        <f t="shared" si="108"/>
        <v>13251.84</v>
      </c>
      <c r="AT625" s="506">
        <f t="shared" si="109"/>
        <v>0</v>
      </c>
    </row>
    <row r="626" spans="1:46">
      <c r="A626" s="341">
        <v>2112</v>
      </c>
      <c r="B626" s="345">
        <v>44542</v>
      </c>
      <c r="C626" s="341" t="s">
        <v>574</v>
      </c>
      <c r="D626" s="340" t="s">
        <v>708</v>
      </c>
      <c r="E626" s="341">
        <v>3</v>
      </c>
      <c r="F626" s="340">
        <v>0</v>
      </c>
      <c r="G626" s="340"/>
      <c r="H626" s="340">
        <v>0</v>
      </c>
      <c r="I626" s="340" t="s">
        <v>707</v>
      </c>
      <c r="J626" s="340"/>
      <c r="K626" s="340" t="s">
        <v>706</v>
      </c>
      <c r="L626" s="344">
        <v>38854</v>
      </c>
      <c r="M626" s="344">
        <v>38854</v>
      </c>
      <c r="N626" s="340" t="s">
        <v>705</v>
      </c>
      <c r="O626" s="341">
        <v>1200</v>
      </c>
      <c r="P626" s="341">
        <v>14050</v>
      </c>
      <c r="Q626" s="342">
        <v>1344.77</v>
      </c>
      <c r="R626" s="341">
        <v>14056</v>
      </c>
      <c r="S626" s="342">
        <v>1344.77</v>
      </c>
      <c r="T626" s="342">
        <f t="shared" si="110"/>
        <v>0</v>
      </c>
      <c r="U626" s="343">
        <v>0</v>
      </c>
      <c r="V626" s="341">
        <v>54260</v>
      </c>
      <c r="W626" s="342">
        <v>0</v>
      </c>
      <c r="X626" s="340" t="s">
        <v>574</v>
      </c>
      <c r="Y626" s="340"/>
      <c r="Z626" s="340">
        <v>10784</v>
      </c>
      <c r="AA626" s="340"/>
      <c r="AB626" s="340" t="s">
        <v>571</v>
      </c>
      <c r="AC626" s="340" t="s">
        <v>570</v>
      </c>
      <c r="AD626" s="341" t="s">
        <v>569</v>
      </c>
      <c r="AE626" s="340"/>
      <c r="AF626" s="341" t="s">
        <v>568</v>
      </c>
      <c r="AG626" s="340">
        <v>0</v>
      </c>
      <c r="AH626" s="340">
        <v>0</v>
      </c>
      <c r="AI626" s="377"/>
      <c r="AK626" s="493">
        <f t="shared" si="100"/>
        <v>5</v>
      </c>
      <c r="AL626" s="493">
        <f t="shared" si="101"/>
        <v>2006</v>
      </c>
      <c r="AM626" s="493">
        <f t="shared" si="102"/>
        <v>2018</v>
      </c>
      <c r="AN626" s="494">
        <f t="shared" si="103"/>
        <v>2018.4166666666667</v>
      </c>
      <c r="AO626" s="505">
        <f t="shared" si="104"/>
        <v>9.3386805555555554</v>
      </c>
      <c r="AP626" s="505">
        <f t="shared" si="105"/>
        <v>112.06416666666667</v>
      </c>
      <c r="AQ626" s="505">
        <f t="shared" si="106"/>
        <v>0</v>
      </c>
      <c r="AR626" s="505">
        <f t="shared" si="107"/>
        <v>1344.77</v>
      </c>
      <c r="AS626" s="505">
        <f t="shared" si="108"/>
        <v>1344.77</v>
      </c>
      <c r="AT626" s="506">
        <f t="shared" si="109"/>
        <v>0</v>
      </c>
    </row>
    <row r="627" spans="1:46">
      <c r="A627" s="341">
        <v>2112</v>
      </c>
      <c r="B627" s="345">
        <v>42965</v>
      </c>
      <c r="C627" s="341" t="s">
        <v>574</v>
      </c>
      <c r="D627" s="340" t="s">
        <v>704</v>
      </c>
      <c r="E627" s="341">
        <v>0</v>
      </c>
      <c r="F627" s="340" t="s">
        <v>703</v>
      </c>
      <c r="G627" s="340" t="s">
        <v>702</v>
      </c>
      <c r="H627" s="340">
        <v>2007</v>
      </c>
      <c r="I627" s="340" t="s">
        <v>701</v>
      </c>
      <c r="J627" s="340" t="s">
        <v>700</v>
      </c>
      <c r="K627" s="340" t="s">
        <v>699</v>
      </c>
      <c r="L627" s="344">
        <v>38825</v>
      </c>
      <c r="M627" s="344">
        <v>38825</v>
      </c>
      <c r="N627" s="340" t="s">
        <v>698</v>
      </c>
      <c r="O627" s="341">
        <v>1000</v>
      </c>
      <c r="P627" s="341">
        <v>14040</v>
      </c>
      <c r="Q627" s="342">
        <v>124344.51</v>
      </c>
      <c r="R627" s="341">
        <v>14046</v>
      </c>
      <c r="S627" s="342">
        <v>124344.51</v>
      </c>
      <c r="T627" s="342">
        <f t="shared" si="110"/>
        <v>0</v>
      </c>
      <c r="U627" s="343">
        <v>0</v>
      </c>
      <c r="V627" s="341">
        <v>51260</v>
      </c>
      <c r="W627" s="342">
        <v>0</v>
      </c>
      <c r="X627" s="340" t="s">
        <v>574</v>
      </c>
      <c r="Y627" s="340"/>
      <c r="Z627" s="340">
        <v>675713</v>
      </c>
      <c r="AA627" s="340">
        <v>442</v>
      </c>
      <c r="AB627" s="340" t="s">
        <v>571</v>
      </c>
      <c r="AC627" s="340" t="s">
        <v>570</v>
      </c>
      <c r="AD627" s="341" t="s">
        <v>569</v>
      </c>
      <c r="AE627" s="340"/>
      <c r="AF627" s="341" t="s">
        <v>568</v>
      </c>
      <c r="AG627" s="340">
        <v>0</v>
      </c>
      <c r="AH627" s="340">
        <v>0</v>
      </c>
      <c r="AI627" s="377"/>
      <c r="AK627" s="493">
        <f t="shared" si="100"/>
        <v>4</v>
      </c>
      <c r="AL627" s="493">
        <f t="shared" si="101"/>
        <v>2006</v>
      </c>
      <c r="AM627" s="493">
        <f t="shared" si="102"/>
        <v>2016</v>
      </c>
      <c r="AN627" s="494">
        <f t="shared" si="103"/>
        <v>2016.3333333333333</v>
      </c>
      <c r="AO627" s="505">
        <f t="shared" si="104"/>
        <v>1036.20425</v>
      </c>
      <c r="AP627" s="505">
        <f t="shared" si="105"/>
        <v>12434.451000000001</v>
      </c>
      <c r="AQ627" s="505">
        <f t="shared" si="106"/>
        <v>0</v>
      </c>
      <c r="AR627" s="505">
        <f t="shared" si="107"/>
        <v>124344.51</v>
      </c>
      <c r="AS627" s="505">
        <f t="shared" si="108"/>
        <v>124344.51</v>
      </c>
      <c r="AT627" s="506">
        <f t="shared" si="109"/>
        <v>0</v>
      </c>
    </row>
    <row r="628" spans="1:46">
      <c r="A628" s="341">
        <v>2112</v>
      </c>
      <c r="B628" s="345">
        <v>38628</v>
      </c>
      <c r="C628" s="341" t="s">
        <v>574</v>
      </c>
      <c r="D628" s="340" t="s">
        <v>697</v>
      </c>
      <c r="E628" s="341">
        <v>2</v>
      </c>
      <c r="F628" s="340"/>
      <c r="G628" s="340"/>
      <c r="H628" s="340">
        <v>0</v>
      </c>
      <c r="I628" s="340" t="s">
        <v>689</v>
      </c>
      <c r="J628" s="340"/>
      <c r="K628" s="340" t="s">
        <v>678</v>
      </c>
      <c r="L628" s="344">
        <v>38670</v>
      </c>
      <c r="M628" s="344">
        <v>38670</v>
      </c>
      <c r="N628" s="340">
        <v>52112008</v>
      </c>
      <c r="O628" s="341">
        <v>1200</v>
      </c>
      <c r="P628" s="341">
        <v>14050</v>
      </c>
      <c r="Q628" s="342">
        <v>10325.120000000001</v>
      </c>
      <c r="R628" s="341">
        <v>14056</v>
      </c>
      <c r="S628" s="342">
        <v>10325.120000000001</v>
      </c>
      <c r="T628" s="342">
        <f t="shared" si="110"/>
        <v>0</v>
      </c>
      <c r="U628" s="343">
        <v>0</v>
      </c>
      <c r="V628" s="341">
        <v>54260</v>
      </c>
      <c r="W628" s="342">
        <v>0</v>
      </c>
      <c r="X628" s="340" t="s">
        <v>574</v>
      </c>
      <c r="Y628" s="340">
        <v>0</v>
      </c>
      <c r="Z628" s="340">
        <v>4866</v>
      </c>
      <c r="AA628" s="340"/>
      <c r="AB628" s="340" t="s">
        <v>571</v>
      </c>
      <c r="AC628" s="340" t="s">
        <v>570</v>
      </c>
      <c r="AD628" s="341" t="s">
        <v>569</v>
      </c>
      <c r="AE628" s="340"/>
      <c r="AF628" s="341" t="s">
        <v>568</v>
      </c>
      <c r="AG628" s="340">
        <v>0</v>
      </c>
      <c r="AH628" s="340">
        <v>0</v>
      </c>
      <c r="AI628" s="377"/>
      <c r="AK628" s="493">
        <f t="shared" si="100"/>
        <v>11</v>
      </c>
      <c r="AL628" s="493">
        <f t="shared" si="101"/>
        <v>2005</v>
      </c>
      <c r="AM628" s="493">
        <f t="shared" si="102"/>
        <v>2017</v>
      </c>
      <c r="AN628" s="494">
        <f t="shared" si="103"/>
        <v>2017.9166666666667</v>
      </c>
      <c r="AO628" s="505">
        <f t="shared" si="104"/>
        <v>71.702222222222233</v>
      </c>
      <c r="AP628" s="505">
        <f t="shared" si="105"/>
        <v>860.42666666666673</v>
      </c>
      <c r="AQ628" s="505">
        <f t="shared" si="106"/>
        <v>0</v>
      </c>
      <c r="AR628" s="505">
        <f t="shared" si="107"/>
        <v>10325.120000000001</v>
      </c>
      <c r="AS628" s="505">
        <f t="shared" si="108"/>
        <v>10325.120000000001</v>
      </c>
      <c r="AT628" s="506">
        <f t="shared" si="109"/>
        <v>0</v>
      </c>
    </row>
    <row r="629" spans="1:46">
      <c r="A629" s="341">
        <v>2112</v>
      </c>
      <c r="B629" s="345">
        <v>38160</v>
      </c>
      <c r="C629" s="341" t="s">
        <v>574</v>
      </c>
      <c r="D629" s="340" t="s">
        <v>696</v>
      </c>
      <c r="E629" s="341">
        <v>500</v>
      </c>
      <c r="F629" s="340"/>
      <c r="G629" s="340"/>
      <c r="H629" s="340">
        <v>0</v>
      </c>
      <c r="I629" s="340" t="s">
        <v>607</v>
      </c>
      <c r="J629" s="340"/>
      <c r="K629" s="340"/>
      <c r="L629" s="344">
        <v>38621</v>
      </c>
      <c r="M629" s="344">
        <v>38621</v>
      </c>
      <c r="N629" s="340">
        <v>52112009</v>
      </c>
      <c r="O629" s="341">
        <v>700</v>
      </c>
      <c r="P629" s="341">
        <v>14050</v>
      </c>
      <c r="Q629" s="342">
        <v>23707.95</v>
      </c>
      <c r="R629" s="341">
        <v>14056</v>
      </c>
      <c r="S629" s="342">
        <v>23707.95</v>
      </c>
      <c r="T629" s="342">
        <f t="shared" si="110"/>
        <v>0</v>
      </c>
      <c r="U629" s="343">
        <v>0</v>
      </c>
      <c r="V629" s="341">
        <v>54260</v>
      </c>
      <c r="W629" s="342">
        <v>0</v>
      </c>
      <c r="X629" s="340" t="s">
        <v>574</v>
      </c>
      <c r="Y629" s="340">
        <v>0</v>
      </c>
      <c r="Z629" s="340" t="s">
        <v>695</v>
      </c>
      <c r="AA629" s="340"/>
      <c r="AB629" s="340" t="s">
        <v>571</v>
      </c>
      <c r="AC629" s="340" t="s">
        <v>570</v>
      </c>
      <c r="AD629" s="341" t="s">
        <v>569</v>
      </c>
      <c r="AE629" s="340"/>
      <c r="AF629" s="341" t="s">
        <v>568</v>
      </c>
      <c r="AG629" s="340">
        <v>0</v>
      </c>
      <c r="AH629" s="340">
        <v>0</v>
      </c>
      <c r="AI629" s="377"/>
      <c r="AK629" s="493">
        <f t="shared" si="100"/>
        <v>9</v>
      </c>
      <c r="AL629" s="493">
        <f t="shared" si="101"/>
        <v>2005</v>
      </c>
      <c r="AM629" s="493">
        <f t="shared" si="102"/>
        <v>2012</v>
      </c>
      <c r="AN629" s="494">
        <f t="shared" si="103"/>
        <v>2012.75</v>
      </c>
      <c r="AO629" s="505">
        <f t="shared" si="104"/>
        <v>282.23750000000001</v>
      </c>
      <c r="AP629" s="505">
        <f t="shared" si="105"/>
        <v>3386.8500000000004</v>
      </c>
      <c r="AQ629" s="505">
        <f t="shared" si="106"/>
        <v>0</v>
      </c>
      <c r="AR629" s="505">
        <f t="shared" si="107"/>
        <v>23707.95</v>
      </c>
      <c r="AS629" s="505">
        <f t="shared" si="108"/>
        <v>23707.95</v>
      </c>
      <c r="AT629" s="506">
        <f t="shared" si="109"/>
        <v>0</v>
      </c>
    </row>
    <row r="630" spans="1:46">
      <c r="A630" s="341">
        <v>2112</v>
      </c>
      <c r="B630" s="345">
        <v>38159</v>
      </c>
      <c r="C630" s="341" t="s">
        <v>574</v>
      </c>
      <c r="D630" s="340" t="s">
        <v>694</v>
      </c>
      <c r="E630" s="341">
        <v>300</v>
      </c>
      <c r="F630" s="340"/>
      <c r="G630" s="340"/>
      <c r="H630" s="340">
        <v>0</v>
      </c>
      <c r="I630" s="340" t="s">
        <v>607</v>
      </c>
      <c r="J630" s="340"/>
      <c r="K630" s="340"/>
      <c r="L630" s="344">
        <v>38641</v>
      </c>
      <c r="M630" s="344">
        <v>38641</v>
      </c>
      <c r="N630" s="340">
        <v>52112009</v>
      </c>
      <c r="O630" s="341">
        <v>700</v>
      </c>
      <c r="P630" s="341">
        <v>14050</v>
      </c>
      <c r="Q630" s="342">
        <v>12062.45</v>
      </c>
      <c r="R630" s="341">
        <v>14056</v>
      </c>
      <c r="S630" s="342">
        <v>12062.45</v>
      </c>
      <c r="T630" s="342">
        <f t="shared" si="110"/>
        <v>0</v>
      </c>
      <c r="U630" s="343">
        <v>0</v>
      </c>
      <c r="V630" s="341">
        <v>54260</v>
      </c>
      <c r="W630" s="342">
        <v>0</v>
      </c>
      <c r="X630" s="340" t="s">
        <v>574</v>
      </c>
      <c r="Y630" s="340">
        <v>0</v>
      </c>
      <c r="Z630" s="340" t="s">
        <v>693</v>
      </c>
      <c r="AA630" s="340"/>
      <c r="AB630" s="340" t="s">
        <v>571</v>
      </c>
      <c r="AC630" s="340" t="s">
        <v>570</v>
      </c>
      <c r="AD630" s="341" t="s">
        <v>569</v>
      </c>
      <c r="AE630" s="340"/>
      <c r="AF630" s="341" t="s">
        <v>568</v>
      </c>
      <c r="AG630" s="340">
        <v>0</v>
      </c>
      <c r="AH630" s="340">
        <v>0</v>
      </c>
      <c r="AI630" s="377"/>
      <c r="AK630" s="493">
        <f t="shared" si="100"/>
        <v>10</v>
      </c>
      <c r="AL630" s="493">
        <f t="shared" si="101"/>
        <v>2005</v>
      </c>
      <c r="AM630" s="493">
        <f t="shared" si="102"/>
        <v>2012</v>
      </c>
      <c r="AN630" s="494">
        <f t="shared" si="103"/>
        <v>2012.8333333333333</v>
      </c>
      <c r="AO630" s="505">
        <f t="shared" si="104"/>
        <v>143.60059523809525</v>
      </c>
      <c r="AP630" s="505">
        <f t="shared" si="105"/>
        <v>1723.207142857143</v>
      </c>
      <c r="AQ630" s="505">
        <f t="shared" si="106"/>
        <v>0</v>
      </c>
      <c r="AR630" s="505">
        <f t="shared" si="107"/>
        <v>12062.45</v>
      </c>
      <c r="AS630" s="505">
        <f t="shared" si="108"/>
        <v>12062.45</v>
      </c>
      <c r="AT630" s="506">
        <f t="shared" si="109"/>
        <v>0</v>
      </c>
    </row>
    <row r="631" spans="1:46">
      <c r="A631" s="341">
        <v>2112</v>
      </c>
      <c r="B631" s="345">
        <v>36402</v>
      </c>
      <c r="C631" s="341" t="s">
        <v>574</v>
      </c>
      <c r="D631" s="340" t="s">
        <v>692</v>
      </c>
      <c r="E631" s="341">
        <v>25</v>
      </c>
      <c r="F631" s="340"/>
      <c r="G631" s="340"/>
      <c r="H631" s="340">
        <v>0</v>
      </c>
      <c r="I631" s="340" t="s">
        <v>679</v>
      </c>
      <c r="J631" s="340"/>
      <c r="K631" s="340" t="s">
        <v>671</v>
      </c>
      <c r="L631" s="344">
        <v>38555</v>
      </c>
      <c r="M631" s="344">
        <v>38555</v>
      </c>
      <c r="N631" s="340">
        <v>52112006</v>
      </c>
      <c r="O631" s="341">
        <v>1200</v>
      </c>
      <c r="P631" s="341">
        <v>14050</v>
      </c>
      <c r="Q631" s="342">
        <v>11815.6</v>
      </c>
      <c r="R631" s="341">
        <v>14056</v>
      </c>
      <c r="S631" s="342">
        <v>11815.6</v>
      </c>
      <c r="T631" s="342">
        <f t="shared" si="110"/>
        <v>0</v>
      </c>
      <c r="U631" s="343">
        <v>0</v>
      </c>
      <c r="V631" s="341">
        <v>54260</v>
      </c>
      <c r="W631" s="342">
        <v>0</v>
      </c>
      <c r="X631" s="340" t="s">
        <v>574</v>
      </c>
      <c r="Y631" s="340">
        <v>0</v>
      </c>
      <c r="Z631" s="340">
        <v>2534</v>
      </c>
      <c r="AA631" s="340"/>
      <c r="AB631" s="340" t="s">
        <v>571</v>
      </c>
      <c r="AC631" s="340" t="s">
        <v>570</v>
      </c>
      <c r="AD631" s="341" t="s">
        <v>569</v>
      </c>
      <c r="AE631" s="340"/>
      <c r="AF631" s="341" t="s">
        <v>568</v>
      </c>
      <c r="AG631" s="340">
        <v>0</v>
      </c>
      <c r="AH631" s="340">
        <v>0</v>
      </c>
      <c r="AI631" s="377"/>
      <c r="AK631" s="493">
        <f t="shared" si="100"/>
        <v>7</v>
      </c>
      <c r="AL631" s="493">
        <f t="shared" si="101"/>
        <v>2005</v>
      </c>
      <c r="AM631" s="493">
        <f t="shared" si="102"/>
        <v>2017</v>
      </c>
      <c r="AN631" s="494">
        <f t="shared" si="103"/>
        <v>2017.5833333333333</v>
      </c>
      <c r="AO631" s="505">
        <f t="shared" si="104"/>
        <v>82.052777777777777</v>
      </c>
      <c r="AP631" s="505">
        <f t="shared" si="105"/>
        <v>984.63333333333333</v>
      </c>
      <c r="AQ631" s="505">
        <f t="shared" si="106"/>
        <v>0</v>
      </c>
      <c r="AR631" s="505">
        <f t="shared" si="107"/>
        <v>11815.6</v>
      </c>
      <c r="AS631" s="505">
        <f t="shared" si="108"/>
        <v>11815.6</v>
      </c>
      <c r="AT631" s="506">
        <f t="shared" si="109"/>
        <v>0</v>
      </c>
    </row>
    <row r="632" spans="1:46">
      <c r="A632" s="341">
        <v>2112</v>
      </c>
      <c r="B632" s="345">
        <v>36401</v>
      </c>
      <c r="C632" s="341" t="s">
        <v>574</v>
      </c>
      <c r="D632" s="340" t="s">
        <v>640</v>
      </c>
      <c r="E632" s="341">
        <v>25</v>
      </c>
      <c r="F632" s="340"/>
      <c r="G632" s="340"/>
      <c r="H632" s="340">
        <v>0</v>
      </c>
      <c r="I632" s="340" t="s">
        <v>679</v>
      </c>
      <c r="J632" s="340"/>
      <c r="K632" s="340" t="s">
        <v>578</v>
      </c>
      <c r="L632" s="344">
        <v>38555</v>
      </c>
      <c r="M632" s="344">
        <v>38555</v>
      </c>
      <c r="N632" s="340">
        <v>52112006</v>
      </c>
      <c r="O632" s="341">
        <v>1200</v>
      </c>
      <c r="P632" s="341">
        <v>14050</v>
      </c>
      <c r="Q632" s="342">
        <v>10758.7</v>
      </c>
      <c r="R632" s="341">
        <v>14056</v>
      </c>
      <c r="S632" s="342">
        <v>10758.7</v>
      </c>
      <c r="T632" s="342">
        <f t="shared" si="110"/>
        <v>0</v>
      </c>
      <c r="U632" s="343">
        <v>0</v>
      </c>
      <c r="V632" s="341">
        <v>54260</v>
      </c>
      <c r="W632" s="342">
        <v>0</v>
      </c>
      <c r="X632" s="340" t="s">
        <v>574</v>
      </c>
      <c r="Y632" s="340">
        <v>0</v>
      </c>
      <c r="Z632" s="340">
        <v>2534</v>
      </c>
      <c r="AA632" s="340"/>
      <c r="AB632" s="340" t="s">
        <v>571</v>
      </c>
      <c r="AC632" s="340" t="s">
        <v>570</v>
      </c>
      <c r="AD632" s="341" t="s">
        <v>569</v>
      </c>
      <c r="AE632" s="340"/>
      <c r="AF632" s="341" t="s">
        <v>568</v>
      </c>
      <c r="AG632" s="340">
        <v>0</v>
      </c>
      <c r="AH632" s="340">
        <v>0</v>
      </c>
      <c r="AI632" s="377"/>
      <c r="AK632" s="493">
        <f t="shared" si="100"/>
        <v>7</v>
      </c>
      <c r="AL632" s="493">
        <f t="shared" si="101"/>
        <v>2005</v>
      </c>
      <c r="AM632" s="493">
        <f t="shared" si="102"/>
        <v>2017</v>
      </c>
      <c r="AN632" s="494">
        <f t="shared" si="103"/>
        <v>2017.5833333333333</v>
      </c>
      <c r="AO632" s="505">
        <f t="shared" si="104"/>
        <v>74.713194444444454</v>
      </c>
      <c r="AP632" s="505">
        <f t="shared" si="105"/>
        <v>896.55833333333339</v>
      </c>
      <c r="AQ632" s="505">
        <f t="shared" si="106"/>
        <v>0</v>
      </c>
      <c r="AR632" s="505">
        <f t="shared" si="107"/>
        <v>10758.7</v>
      </c>
      <c r="AS632" s="505">
        <f t="shared" si="108"/>
        <v>10758.7</v>
      </c>
      <c r="AT632" s="506">
        <f t="shared" si="109"/>
        <v>0</v>
      </c>
    </row>
    <row r="633" spans="1:46">
      <c r="A633" s="341">
        <v>2112</v>
      </c>
      <c r="B633" s="345">
        <v>35114</v>
      </c>
      <c r="C633" s="341" t="s">
        <v>574</v>
      </c>
      <c r="D633" s="340" t="s">
        <v>691</v>
      </c>
      <c r="E633" s="341">
        <v>40</v>
      </c>
      <c r="F633" s="340"/>
      <c r="G633" s="340"/>
      <c r="H633" s="340">
        <v>0</v>
      </c>
      <c r="I633" s="340" t="s">
        <v>689</v>
      </c>
      <c r="J633" s="340"/>
      <c r="K633" s="340" t="s">
        <v>578</v>
      </c>
      <c r="L633" s="344">
        <v>38526</v>
      </c>
      <c r="M633" s="344">
        <v>38526</v>
      </c>
      <c r="N633" s="340">
        <v>52112004</v>
      </c>
      <c r="O633" s="341">
        <v>1200</v>
      </c>
      <c r="P633" s="341">
        <v>14050</v>
      </c>
      <c r="Q633" s="342">
        <v>18017.28</v>
      </c>
      <c r="R633" s="341">
        <v>14056</v>
      </c>
      <c r="S633" s="342">
        <v>18017.28</v>
      </c>
      <c r="T633" s="342">
        <f t="shared" si="110"/>
        <v>0</v>
      </c>
      <c r="U633" s="343">
        <v>0</v>
      </c>
      <c r="V633" s="341">
        <v>54260</v>
      </c>
      <c r="W633" s="342">
        <v>0</v>
      </c>
      <c r="X633" s="340" t="s">
        <v>574</v>
      </c>
      <c r="Y633" s="340">
        <v>0</v>
      </c>
      <c r="Z633" s="340">
        <v>158943</v>
      </c>
      <c r="AA633" s="340"/>
      <c r="AB633" s="340" t="s">
        <v>571</v>
      </c>
      <c r="AC633" s="340" t="s">
        <v>570</v>
      </c>
      <c r="AD633" s="341" t="s">
        <v>569</v>
      </c>
      <c r="AE633" s="340"/>
      <c r="AF633" s="341" t="s">
        <v>568</v>
      </c>
      <c r="AG633" s="340">
        <v>0</v>
      </c>
      <c r="AH633" s="340">
        <v>0</v>
      </c>
      <c r="AI633" s="377"/>
      <c r="AK633" s="493">
        <f t="shared" si="100"/>
        <v>6</v>
      </c>
      <c r="AL633" s="493">
        <f t="shared" si="101"/>
        <v>2005</v>
      </c>
      <c r="AM633" s="493">
        <f t="shared" si="102"/>
        <v>2017</v>
      </c>
      <c r="AN633" s="494">
        <f t="shared" si="103"/>
        <v>2017.5</v>
      </c>
      <c r="AO633" s="505">
        <f t="shared" si="104"/>
        <v>125.11999999999999</v>
      </c>
      <c r="AP633" s="505">
        <f t="shared" si="105"/>
        <v>1501.4399999999998</v>
      </c>
      <c r="AQ633" s="505">
        <f t="shared" si="106"/>
        <v>0</v>
      </c>
      <c r="AR633" s="505">
        <f t="shared" si="107"/>
        <v>18017.28</v>
      </c>
      <c r="AS633" s="505">
        <f t="shared" si="108"/>
        <v>18017.28</v>
      </c>
      <c r="AT633" s="506">
        <f t="shared" si="109"/>
        <v>0</v>
      </c>
    </row>
    <row r="634" spans="1:46">
      <c r="A634" s="341">
        <v>2112</v>
      </c>
      <c r="B634" s="345">
        <v>35113</v>
      </c>
      <c r="C634" s="341" t="s">
        <v>574</v>
      </c>
      <c r="D634" s="340" t="s">
        <v>690</v>
      </c>
      <c r="E634" s="341">
        <v>40</v>
      </c>
      <c r="F634" s="340"/>
      <c r="G634" s="340"/>
      <c r="H634" s="340">
        <v>0</v>
      </c>
      <c r="I634" s="340" t="s">
        <v>689</v>
      </c>
      <c r="J634" s="340"/>
      <c r="K634" s="340" t="s">
        <v>671</v>
      </c>
      <c r="L634" s="344">
        <v>38499</v>
      </c>
      <c r="M634" s="344">
        <v>38499</v>
      </c>
      <c r="N634" s="340">
        <v>52112004</v>
      </c>
      <c r="O634" s="341">
        <v>1200</v>
      </c>
      <c r="P634" s="341">
        <v>14050</v>
      </c>
      <c r="Q634" s="342">
        <v>18931.2</v>
      </c>
      <c r="R634" s="341">
        <v>14056</v>
      </c>
      <c r="S634" s="342">
        <v>18931.2</v>
      </c>
      <c r="T634" s="342">
        <f t="shared" si="110"/>
        <v>0</v>
      </c>
      <c r="U634" s="343">
        <v>0</v>
      </c>
      <c r="V634" s="341">
        <v>54260</v>
      </c>
      <c r="W634" s="342">
        <v>0</v>
      </c>
      <c r="X634" s="340" t="s">
        <v>574</v>
      </c>
      <c r="Y634" s="340">
        <v>0</v>
      </c>
      <c r="Z634" s="340">
        <v>158205</v>
      </c>
      <c r="AA634" s="340"/>
      <c r="AB634" s="340" t="s">
        <v>571</v>
      </c>
      <c r="AC634" s="340" t="s">
        <v>570</v>
      </c>
      <c r="AD634" s="341" t="s">
        <v>569</v>
      </c>
      <c r="AE634" s="340"/>
      <c r="AF634" s="341" t="s">
        <v>568</v>
      </c>
      <c r="AG634" s="340">
        <v>0</v>
      </c>
      <c r="AH634" s="340">
        <v>0</v>
      </c>
      <c r="AI634" s="377"/>
      <c r="AK634" s="493">
        <f t="shared" si="100"/>
        <v>5</v>
      </c>
      <c r="AL634" s="493">
        <f t="shared" si="101"/>
        <v>2005</v>
      </c>
      <c r="AM634" s="493">
        <f t="shared" si="102"/>
        <v>2017</v>
      </c>
      <c r="AN634" s="494">
        <f t="shared" si="103"/>
        <v>2017.4166666666667</v>
      </c>
      <c r="AO634" s="505">
        <f t="shared" si="104"/>
        <v>131.46666666666667</v>
      </c>
      <c r="AP634" s="505">
        <f t="shared" si="105"/>
        <v>1577.6</v>
      </c>
      <c r="AQ634" s="505">
        <f t="shared" si="106"/>
        <v>0</v>
      </c>
      <c r="AR634" s="505">
        <f t="shared" si="107"/>
        <v>18931.2</v>
      </c>
      <c r="AS634" s="505">
        <f t="shared" si="108"/>
        <v>18931.2</v>
      </c>
      <c r="AT634" s="506">
        <f t="shared" si="109"/>
        <v>0</v>
      </c>
    </row>
    <row r="635" spans="1:46">
      <c r="A635" s="341">
        <v>2112</v>
      </c>
      <c r="B635" s="345">
        <v>35111</v>
      </c>
      <c r="C635" s="341" t="s">
        <v>574</v>
      </c>
      <c r="D635" s="340" t="s">
        <v>688</v>
      </c>
      <c r="E635" s="341">
        <v>16</v>
      </c>
      <c r="F635" s="340"/>
      <c r="G635" s="340"/>
      <c r="H635" s="340">
        <v>0</v>
      </c>
      <c r="I635" s="340" t="s">
        <v>679</v>
      </c>
      <c r="J635" s="340"/>
      <c r="K635" s="340" t="s">
        <v>671</v>
      </c>
      <c r="L635" s="344">
        <v>38488</v>
      </c>
      <c r="M635" s="344">
        <v>38488</v>
      </c>
      <c r="N635" s="340">
        <v>52112007</v>
      </c>
      <c r="O635" s="341">
        <v>1200</v>
      </c>
      <c r="P635" s="341">
        <v>14050</v>
      </c>
      <c r="Q635" s="342">
        <v>7561.98</v>
      </c>
      <c r="R635" s="341">
        <v>14056</v>
      </c>
      <c r="S635" s="342">
        <v>7561.98</v>
      </c>
      <c r="T635" s="342">
        <f t="shared" si="110"/>
        <v>0</v>
      </c>
      <c r="U635" s="343">
        <v>0</v>
      </c>
      <c r="V635" s="341">
        <v>54260</v>
      </c>
      <c r="W635" s="342">
        <v>0</v>
      </c>
      <c r="X635" s="340" t="s">
        <v>574</v>
      </c>
      <c r="Y635" s="340">
        <v>0</v>
      </c>
      <c r="Z635" s="340">
        <v>2477</v>
      </c>
      <c r="AA635" s="340"/>
      <c r="AB635" s="340" t="s">
        <v>571</v>
      </c>
      <c r="AC635" s="340" t="s">
        <v>570</v>
      </c>
      <c r="AD635" s="341" t="s">
        <v>569</v>
      </c>
      <c r="AE635" s="340"/>
      <c r="AF635" s="341" t="s">
        <v>568</v>
      </c>
      <c r="AG635" s="340">
        <v>0</v>
      </c>
      <c r="AH635" s="340">
        <v>0</v>
      </c>
      <c r="AI635" s="377"/>
      <c r="AK635" s="493">
        <f t="shared" si="100"/>
        <v>5</v>
      </c>
      <c r="AL635" s="493">
        <f t="shared" si="101"/>
        <v>2005</v>
      </c>
      <c r="AM635" s="493">
        <f t="shared" si="102"/>
        <v>2017</v>
      </c>
      <c r="AN635" s="494">
        <f t="shared" si="103"/>
        <v>2017.4166666666667</v>
      </c>
      <c r="AO635" s="505">
        <f t="shared" si="104"/>
        <v>52.513749999999995</v>
      </c>
      <c r="AP635" s="505">
        <f t="shared" si="105"/>
        <v>630.16499999999996</v>
      </c>
      <c r="AQ635" s="505">
        <f t="shared" si="106"/>
        <v>0</v>
      </c>
      <c r="AR635" s="505">
        <f t="shared" si="107"/>
        <v>7561.98</v>
      </c>
      <c r="AS635" s="505">
        <f t="shared" si="108"/>
        <v>7561.98</v>
      </c>
      <c r="AT635" s="506">
        <f t="shared" si="109"/>
        <v>0</v>
      </c>
    </row>
    <row r="636" spans="1:46">
      <c r="A636" s="341">
        <v>2112</v>
      </c>
      <c r="B636" s="345">
        <v>35109</v>
      </c>
      <c r="C636" s="341" t="s">
        <v>574</v>
      </c>
      <c r="D636" s="340" t="s">
        <v>687</v>
      </c>
      <c r="E636" s="341">
        <v>2</v>
      </c>
      <c r="F636" s="340"/>
      <c r="G636" s="340"/>
      <c r="H636" s="340">
        <v>0</v>
      </c>
      <c r="I636" s="340" t="s">
        <v>679</v>
      </c>
      <c r="J636" s="340"/>
      <c r="K636" s="340" t="s">
        <v>588</v>
      </c>
      <c r="L636" s="344">
        <v>38488</v>
      </c>
      <c r="M636" s="344">
        <v>38488</v>
      </c>
      <c r="N636" s="340">
        <v>52112003</v>
      </c>
      <c r="O636" s="341">
        <v>1200</v>
      </c>
      <c r="P636" s="341">
        <v>14050</v>
      </c>
      <c r="Q636" s="342">
        <v>1691.04</v>
      </c>
      <c r="R636" s="341">
        <v>14056</v>
      </c>
      <c r="S636" s="342">
        <v>1691.04</v>
      </c>
      <c r="T636" s="342">
        <f t="shared" si="110"/>
        <v>0</v>
      </c>
      <c r="U636" s="343">
        <v>0</v>
      </c>
      <c r="V636" s="341">
        <v>54260</v>
      </c>
      <c r="W636" s="342">
        <v>0</v>
      </c>
      <c r="X636" s="340" t="s">
        <v>574</v>
      </c>
      <c r="Y636" s="340">
        <v>0</v>
      </c>
      <c r="Z636" s="340">
        <v>2474</v>
      </c>
      <c r="AA636" s="340"/>
      <c r="AB636" s="340" t="s">
        <v>571</v>
      </c>
      <c r="AC636" s="340" t="s">
        <v>570</v>
      </c>
      <c r="AD636" s="341" t="s">
        <v>569</v>
      </c>
      <c r="AE636" s="340"/>
      <c r="AF636" s="341" t="s">
        <v>568</v>
      </c>
      <c r="AG636" s="340">
        <v>0</v>
      </c>
      <c r="AH636" s="340">
        <v>0</v>
      </c>
      <c r="AI636" s="377"/>
      <c r="AK636" s="493">
        <f t="shared" si="100"/>
        <v>5</v>
      </c>
      <c r="AL636" s="493">
        <f t="shared" si="101"/>
        <v>2005</v>
      </c>
      <c r="AM636" s="493">
        <f t="shared" si="102"/>
        <v>2017</v>
      </c>
      <c r="AN636" s="494">
        <f t="shared" si="103"/>
        <v>2017.4166666666667</v>
      </c>
      <c r="AO636" s="505">
        <f t="shared" si="104"/>
        <v>11.743333333333332</v>
      </c>
      <c r="AP636" s="505">
        <f t="shared" si="105"/>
        <v>140.91999999999999</v>
      </c>
      <c r="AQ636" s="505">
        <f t="shared" si="106"/>
        <v>0</v>
      </c>
      <c r="AR636" s="505">
        <f t="shared" si="107"/>
        <v>1691.04</v>
      </c>
      <c r="AS636" s="505">
        <f t="shared" si="108"/>
        <v>1691.04</v>
      </c>
      <c r="AT636" s="506">
        <f t="shared" si="109"/>
        <v>0</v>
      </c>
    </row>
    <row r="637" spans="1:46">
      <c r="A637" s="341">
        <v>2112</v>
      </c>
      <c r="B637" s="345">
        <v>35108</v>
      </c>
      <c r="C637" s="341" t="s">
        <v>574</v>
      </c>
      <c r="D637" s="340" t="s">
        <v>687</v>
      </c>
      <c r="E637" s="341">
        <v>3</v>
      </c>
      <c r="F637" s="340"/>
      <c r="G637" s="340"/>
      <c r="H637" s="340">
        <v>0</v>
      </c>
      <c r="I637" s="340" t="s">
        <v>679</v>
      </c>
      <c r="J637" s="340"/>
      <c r="K637" s="340" t="s">
        <v>588</v>
      </c>
      <c r="L637" s="344">
        <v>38488</v>
      </c>
      <c r="M637" s="344">
        <v>38488</v>
      </c>
      <c r="N637" s="340">
        <v>52112003</v>
      </c>
      <c r="O637" s="341">
        <v>1200</v>
      </c>
      <c r="P637" s="341">
        <v>14050</v>
      </c>
      <c r="Q637" s="342">
        <v>2536.56</v>
      </c>
      <c r="R637" s="341">
        <v>14056</v>
      </c>
      <c r="S637" s="342">
        <v>2536.56</v>
      </c>
      <c r="T637" s="342">
        <f t="shared" si="110"/>
        <v>0</v>
      </c>
      <c r="U637" s="343">
        <v>0</v>
      </c>
      <c r="V637" s="341">
        <v>54260</v>
      </c>
      <c r="W637" s="342">
        <v>0</v>
      </c>
      <c r="X637" s="340" t="s">
        <v>574</v>
      </c>
      <c r="Y637" s="340">
        <v>0</v>
      </c>
      <c r="Z637" s="340">
        <v>2474</v>
      </c>
      <c r="AA637" s="340"/>
      <c r="AB637" s="340" t="s">
        <v>571</v>
      </c>
      <c r="AC637" s="340" t="s">
        <v>570</v>
      </c>
      <c r="AD637" s="341" t="s">
        <v>569</v>
      </c>
      <c r="AE637" s="340"/>
      <c r="AF637" s="341" t="s">
        <v>568</v>
      </c>
      <c r="AG637" s="340">
        <v>0</v>
      </c>
      <c r="AH637" s="340">
        <v>0</v>
      </c>
      <c r="AI637" s="377"/>
      <c r="AK637" s="493">
        <f t="shared" si="100"/>
        <v>5</v>
      </c>
      <c r="AL637" s="493">
        <f t="shared" si="101"/>
        <v>2005</v>
      </c>
      <c r="AM637" s="493">
        <f t="shared" si="102"/>
        <v>2017</v>
      </c>
      <c r="AN637" s="494">
        <f t="shared" si="103"/>
        <v>2017.4166666666667</v>
      </c>
      <c r="AO637" s="505">
        <f t="shared" si="104"/>
        <v>17.614999999999998</v>
      </c>
      <c r="AP637" s="505">
        <f t="shared" si="105"/>
        <v>211.38</v>
      </c>
      <c r="AQ637" s="505">
        <f t="shared" si="106"/>
        <v>0</v>
      </c>
      <c r="AR637" s="505">
        <f t="shared" si="107"/>
        <v>2536.56</v>
      </c>
      <c r="AS637" s="505">
        <f t="shared" si="108"/>
        <v>2536.56</v>
      </c>
      <c r="AT637" s="506">
        <f t="shared" si="109"/>
        <v>0</v>
      </c>
    </row>
    <row r="638" spans="1:46">
      <c r="A638" s="341">
        <v>2112</v>
      </c>
      <c r="B638" s="345">
        <v>32127</v>
      </c>
      <c r="C638" s="341"/>
      <c r="D638" s="340" t="s">
        <v>686</v>
      </c>
      <c r="E638" s="341">
        <v>0</v>
      </c>
      <c r="F638" s="340"/>
      <c r="G638" s="340"/>
      <c r="H638" s="340">
        <v>0</v>
      </c>
      <c r="I638" s="340" t="s">
        <v>685</v>
      </c>
      <c r="J638" s="340"/>
      <c r="K638" s="340"/>
      <c r="L638" s="344">
        <v>38427</v>
      </c>
      <c r="M638" s="344">
        <v>38427</v>
      </c>
      <c r="N638" s="340" t="s">
        <v>684</v>
      </c>
      <c r="O638" s="341">
        <v>300</v>
      </c>
      <c r="P638" s="341">
        <v>14110</v>
      </c>
      <c r="Q638" s="342">
        <v>875</v>
      </c>
      <c r="R638" s="341">
        <v>14116</v>
      </c>
      <c r="S638" s="342">
        <v>875</v>
      </c>
      <c r="T638" s="342">
        <f t="shared" si="110"/>
        <v>0</v>
      </c>
      <c r="U638" s="343">
        <v>0</v>
      </c>
      <c r="V638" s="341">
        <v>70260</v>
      </c>
      <c r="W638" s="342">
        <v>0</v>
      </c>
      <c r="X638" s="340" t="s">
        <v>574</v>
      </c>
      <c r="Y638" s="340">
        <v>0</v>
      </c>
      <c r="Z638" s="340" t="s">
        <v>683</v>
      </c>
      <c r="AA638" s="340"/>
      <c r="AB638" s="340" t="s">
        <v>571</v>
      </c>
      <c r="AC638" s="340" t="s">
        <v>570</v>
      </c>
      <c r="AD638" s="341" t="s">
        <v>569</v>
      </c>
      <c r="AE638" s="340"/>
      <c r="AF638" s="341" t="s">
        <v>568</v>
      </c>
      <c r="AG638" s="340">
        <v>0</v>
      </c>
      <c r="AH638" s="340">
        <v>0</v>
      </c>
      <c r="AI638" s="377"/>
      <c r="AK638" s="493">
        <f t="shared" si="100"/>
        <v>3</v>
      </c>
      <c r="AL638" s="493">
        <f t="shared" si="101"/>
        <v>2005</v>
      </c>
      <c r="AM638" s="493">
        <f t="shared" si="102"/>
        <v>2008</v>
      </c>
      <c r="AN638" s="494">
        <f t="shared" si="103"/>
        <v>2008.25</v>
      </c>
      <c r="AO638" s="505">
        <f t="shared" si="104"/>
        <v>24.305555555555557</v>
      </c>
      <c r="AP638" s="505">
        <f t="shared" si="105"/>
        <v>291.66666666666669</v>
      </c>
      <c r="AQ638" s="505">
        <f t="shared" si="106"/>
        <v>0</v>
      </c>
      <c r="AR638" s="505">
        <f t="shared" si="107"/>
        <v>875</v>
      </c>
      <c r="AS638" s="505">
        <f t="shared" si="108"/>
        <v>875</v>
      </c>
      <c r="AT638" s="506">
        <f t="shared" si="109"/>
        <v>0</v>
      </c>
    </row>
    <row r="639" spans="1:46">
      <c r="A639" s="341">
        <v>2112</v>
      </c>
      <c r="B639" s="345">
        <v>28941</v>
      </c>
      <c r="C639" s="341" t="s">
        <v>574</v>
      </c>
      <c r="D639" s="340" t="s">
        <v>682</v>
      </c>
      <c r="E639" s="341">
        <v>25</v>
      </c>
      <c r="F639" s="340"/>
      <c r="G639" s="340"/>
      <c r="H639" s="340">
        <v>0</v>
      </c>
      <c r="I639" s="340" t="s">
        <v>679</v>
      </c>
      <c r="J639" s="340"/>
      <c r="K639" s="340" t="s">
        <v>578</v>
      </c>
      <c r="L639" s="344">
        <v>38229</v>
      </c>
      <c r="M639" s="344">
        <v>38229</v>
      </c>
      <c r="N639" s="340">
        <v>42112005</v>
      </c>
      <c r="O639" s="341">
        <v>1200</v>
      </c>
      <c r="P639" s="341">
        <v>14050</v>
      </c>
      <c r="Q639" s="342">
        <v>11083.9</v>
      </c>
      <c r="R639" s="341">
        <v>14056</v>
      </c>
      <c r="S639" s="342">
        <v>11083.9</v>
      </c>
      <c r="T639" s="342">
        <f t="shared" si="110"/>
        <v>0</v>
      </c>
      <c r="U639" s="343">
        <v>0</v>
      </c>
      <c r="V639" s="341">
        <v>54260</v>
      </c>
      <c r="W639" s="342">
        <v>0</v>
      </c>
      <c r="X639" s="340" t="s">
        <v>574</v>
      </c>
      <c r="Y639" s="340">
        <v>0</v>
      </c>
      <c r="Z639" s="340">
        <v>2196</v>
      </c>
      <c r="AA639" s="340"/>
      <c r="AB639" s="340" t="s">
        <v>571</v>
      </c>
      <c r="AC639" s="340" t="s">
        <v>570</v>
      </c>
      <c r="AD639" s="341" t="s">
        <v>569</v>
      </c>
      <c r="AE639" s="340"/>
      <c r="AF639" s="341" t="s">
        <v>568</v>
      </c>
      <c r="AG639" s="340">
        <v>0</v>
      </c>
      <c r="AH639" s="340">
        <v>0</v>
      </c>
      <c r="AI639" s="377"/>
      <c r="AK639" s="493">
        <f t="shared" si="100"/>
        <v>8</v>
      </c>
      <c r="AL639" s="493">
        <f t="shared" si="101"/>
        <v>2004</v>
      </c>
      <c r="AM639" s="493">
        <f t="shared" si="102"/>
        <v>2016</v>
      </c>
      <c r="AN639" s="494">
        <f t="shared" si="103"/>
        <v>2016.6666666666667</v>
      </c>
      <c r="AO639" s="505">
        <f t="shared" si="104"/>
        <v>76.97152777777778</v>
      </c>
      <c r="AP639" s="505">
        <f t="shared" si="105"/>
        <v>923.6583333333333</v>
      </c>
      <c r="AQ639" s="505">
        <f t="shared" si="106"/>
        <v>0</v>
      </c>
      <c r="AR639" s="505">
        <f t="shared" si="107"/>
        <v>11083.9</v>
      </c>
      <c r="AS639" s="505">
        <f t="shared" si="108"/>
        <v>11083.9</v>
      </c>
      <c r="AT639" s="506">
        <f t="shared" si="109"/>
        <v>0</v>
      </c>
    </row>
    <row r="640" spans="1:46">
      <c r="A640" s="341">
        <v>2112</v>
      </c>
      <c r="B640" s="345">
        <v>27610</v>
      </c>
      <c r="C640" s="341"/>
      <c r="D640" s="340" t="s">
        <v>681</v>
      </c>
      <c r="E640" s="341">
        <v>0</v>
      </c>
      <c r="F640" s="340"/>
      <c r="G640" s="340"/>
      <c r="H640" s="340">
        <v>0</v>
      </c>
      <c r="I640" s="340" t="s">
        <v>655</v>
      </c>
      <c r="J640" s="340"/>
      <c r="K640" s="340"/>
      <c r="L640" s="344">
        <v>38077</v>
      </c>
      <c r="M640" s="344">
        <v>38077</v>
      </c>
      <c r="N640" s="340">
        <v>42112023</v>
      </c>
      <c r="O640" s="341">
        <v>500</v>
      </c>
      <c r="P640" s="341">
        <v>14110</v>
      </c>
      <c r="Q640" s="342">
        <v>1280</v>
      </c>
      <c r="R640" s="341">
        <v>14116</v>
      </c>
      <c r="S640" s="342">
        <v>1280</v>
      </c>
      <c r="T640" s="342">
        <f t="shared" si="110"/>
        <v>0</v>
      </c>
      <c r="U640" s="343">
        <v>0</v>
      </c>
      <c r="V640" s="341">
        <v>70260</v>
      </c>
      <c r="W640" s="342">
        <v>0</v>
      </c>
      <c r="X640" s="340" t="s">
        <v>574</v>
      </c>
      <c r="Y640" s="340">
        <v>0</v>
      </c>
      <c r="Z640" s="340">
        <v>403629</v>
      </c>
      <c r="AA640" s="340"/>
      <c r="AB640" s="340" t="s">
        <v>571</v>
      </c>
      <c r="AC640" s="340" t="s">
        <v>570</v>
      </c>
      <c r="AD640" s="341" t="s">
        <v>569</v>
      </c>
      <c r="AE640" s="340"/>
      <c r="AF640" s="341" t="s">
        <v>568</v>
      </c>
      <c r="AG640" s="340">
        <v>0</v>
      </c>
      <c r="AH640" s="340">
        <v>0</v>
      </c>
      <c r="AI640" s="377"/>
      <c r="AK640" s="493">
        <f t="shared" si="100"/>
        <v>3</v>
      </c>
      <c r="AL640" s="493">
        <f t="shared" si="101"/>
        <v>2004</v>
      </c>
      <c r="AM640" s="493">
        <f t="shared" si="102"/>
        <v>2009</v>
      </c>
      <c r="AN640" s="494">
        <f t="shared" si="103"/>
        <v>2009.25</v>
      </c>
      <c r="AO640" s="505">
        <f t="shared" si="104"/>
        <v>21.333333333333332</v>
      </c>
      <c r="AP640" s="505">
        <f t="shared" si="105"/>
        <v>256</v>
      </c>
      <c r="AQ640" s="505">
        <f t="shared" si="106"/>
        <v>0</v>
      </c>
      <c r="AR640" s="505">
        <f t="shared" si="107"/>
        <v>1280</v>
      </c>
      <c r="AS640" s="505">
        <f t="shared" si="108"/>
        <v>1280</v>
      </c>
      <c r="AT640" s="506">
        <f t="shared" si="109"/>
        <v>0</v>
      </c>
    </row>
    <row r="641" spans="1:46">
      <c r="A641" s="341">
        <v>2112</v>
      </c>
      <c r="B641" s="345">
        <v>27609</v>
      </c>
      <c r="C641" s="341"/>
      <c r="D641" s="340" t="s">
        <v>681</v>
      </c>
      <c r="E641" s="341">
        <v>0</v>
      </c>
      <c r="F641" s="340"/>
      <c r="G641" s="340"/>
      <c r="H641" s="340">
        <v>0</v>
      </c>
      <c r="I641" s="340" t="s">
        <v>655</v>
      </c>
      <c r="J641" s="340"/>
      <c r="K641" s="340"/>
      <c r="L641" s="344">
        <v>38046</v>
      </c>
      <c r="M641" s="344">
        <v>38046</v>
      </c>
      <c r="N641" s="340">
        <v>42112023</v>
      </c>
      <c r="O641" s="341">
        <v>500</v>
      </c>
      <c r="P641" s="341">
        <v>14110</v>
      </c>
      <c r="Q641" s="342">
        <v>1000</v>
      </c>
      <c r="R641" s="341">
        <v>14116</v>
      </c>
      <c r="S641" s="342">
        <v>1000</v>
      </c>
      <c r="T641" s="342">
        <f t="shared" si="110"/>
        <v>0</v>
      </c>
      <c r="U641" s="343">
        <v>0</v>
      </c>
      <c r="V641" s="341">
        <v>70260</v>
      </c>
      <c r="W641" s="342">
        <v>0</v>
      </c>
      <c r="X641" s="340" t="s">
        <v>574</v>
      </c>
      <c r="Y641" s="340">
        <v>0</v>
      </c>
      <c r="Z641" s="340">
        <v>402627</v>
      </c>
      <c r="AA641" s="340"/>
      <c r="AB641" s="340" t="s">
        <v>571</v>
      </c>
      <c r="AC641" s="340" t="s">
        <v>570</v>
      </c>
      <c r="AD641" s="341" t="s">
        <v>569</v>
      </c>
      <c r="AE641" s="340"/>
      <c r="AF641" s="341" t="s">
        <v>568</v>
      </c>
      <c r="AG641" s="340">
        <v>0</v>
      </c>
      <c r="AH641" s="340">
        <v>0</v>
      </c>
      <c r="AI641" s="377"/>
      <c r="AK641" s="493">
        <f t="shared" si="100"/>
        <v>2</v>
      </c>
      <c r="AL641" s="493">
        <f t="shared" si="101"/>
        <v>2004</v>
      </c>
      <c r="AM641" s="493">
        <f t="shared" si="102"/>
        <v>2009</v>
      </c>
      <c r="AN641" s="494">
        <f t="shared" si="103"/>
        <v>2009.1666666666667</v>
      </c>
      <c r="AO641" s="505">
        <f t="shared" si="104"/>
        <v>16.666666666666668</v>
      </c>
      <c r="AP641" s="505">
        <f t="shared" si="105"/>
        <v>200</v>
      </c>
      <c r="AQ641" s="505">
        <f t="shared" si="106"/>
        <v>0</v>
      </c>
      <c r="AR641" s="505">
        <f t="shared" si="107"/>
        <v>1000</v>
      </c>
      <c r="AS641" s="505">
        <f t="shared" si="108"/>
        <v>1000</v>
      </c>
      <c r="AT641" s="506">
        <f t="shared" si="109"/>
        <v>0</v>
      </c>
    </row>
    <row r="642" spans="1:46">
      <c r="A642" s="341">
        <v>2112</v>
      </c>
      <c r="B642" s="345">
        <v>26305</v>
      </c>
      <c r="C642" s="341" t="s">
        <v>574</v>
      </c>
      <c r="D642" s="340" t="s">
        <v>680</v>
      </c>
      <c r="E642" s="341">
        <v>1</v>
      </c>
      <c r="F642" s="340"/>
      <c r="G642" s="340"/>
      <c r="H642" s="340">
        <v>0</v>
      </c>
      <c r="I642" s="340" t="s">
        <v>679</v>
      </c>
      <c r="J642" s="340"/>
      <c r="K642" s="340" t="s">
        <v>678</v>
      </c>
      <c r="L642" s="344">
        <v>38168</v>
      </c>
      <c r="M642" s="344">
        <v>38168</v>
      </c>
      <c r="N642" s="340" t="s">
        <v>677</v>
      </c>
      <c r="O642" s="341">
        <v>1200</v>
      </c>
      <c r="P642" s="341">
        <v>14050</v>
      </c>
      <c r="Q642" s="342">
        <v>6796.68</v>
      </c>
      <c r="R642" s="341">
        <v>14056</v>
      </c>
      <c r="S642" s="342">
        <v>6796.68</v>
      </c>
      <c r="T642" s="342">
        <f t="shared" si="110"/>
        <v>0</v>
      </c>
      <c r="U642" s="343">
        <v>0</v>
      </c>
      <c r="V642" s="341">
        <v>54260</v>
      </c>
      <c r="W642" s="342">
        <v>0</v>
      </c>
      <c r="X642" s="340" t="s">
        <v>574</v>
      </c>
      <c r="Y642" s="340">
        <v>0</v>
      </c>
      <c r="Z642" s="340">
        <v>2118</v>
      </c>
      <c r="AA642" s="340"/>
      <c r="AB642" s="340" t="s">
        <v>571</v>
      </c>
      <c r="AC642" s="340" t="s">
        <v>570</v>
      </c>
      <c r="AD642" s="341" t="s">
        <v>569</v>
      </c>
      <c r="AE642" s="346">
        <v>45077</v>
      </c>
      <c r="AF642" s="341" t="s">
        <v>568</v>
      </c>
      <c r="AG642" s="340">
        <v>2</v>
      </c>
      <c r="AH642" s="340">
        <v>6796.68</v>
      </c>
      <c r="AI642" s="377"/>
      <c r="AK642" s="493">
        <f t="shared" si="100"/>
        <v>6</v>
      </c>
      <c r="AL642" s="493">
        <f t="shared" si="101"/>
        <v>2004</v>
      </c>
      <c r="AM642" s="493">
        <f t="shared" si="102"/>
        <v>2016</v>
      </c>
      <c r="AN642" s="494">
        <f t="shared" si="103"/>
        <v>2016.5</v>
      </c>
      <c r="AO642" s="505">
        <f t="shared" si="104"/>
        <v>47.199166666666663</v>
      </c>
      <c r="AP642" s="505">
        <f t="shared" si="105"/>
        <v>566.39</v>
      </c>
      <c r="AQ642" s="505">
        <f t="shared" si="106"/>
        <v>0</v>
      </c>
      <c r="AR642" s="505">
        <f t="shared" si="107"/>
        <v>6796.68</v>
      </c>
      <c r="AS642" s="505">
        <f t="shared" si="108"/>
        <v>6796.68</v>
      </c>
      <c r="AT642" s="506">
        <f t="shared" si="109"/>
        <v>0</v>
      </c>
    </row>
    <row r="643" spans="1:46">
      <c r="A643" s="341">
        <v>2112</v>
      </c>
      <c r="B643" s="345">
        <v>26304</v>
      </c>
      <c r="C643" s="341" t="s">
        <v>574</v>
      </c>
      <c r="D643" s="340" t="s">
        <v>676</v>
      </c>
      <c r="E643" s="341">
        <v>30</v>
      </c>
      <c r="F643" s="340"/>
      <c r="G643" s="340"/>
      <c r="H643" s="340">
        <v>0</v>
      </c>
      <c r="I643" s="340" t="s">
        <v>672</v>
      </c>
      <c r="J643" s="340"/>
      <c r="K643" s="340" t="s">
        <v>578</v>
      </c>
      <c r="L643" s="344">
        <v>38168</v>
      </c>
      <c r="M643" s="344">
        <v>38168</v>
      </c>
      <c r="N643" s="340">
        <v>42112010</v>
      </c>
      <c r="O643" s="341">
        <v>1200</v>
      </c>
      <c r="P643" s="341">
        <v>14050</v>
      </c>
      <c r="Q643" s="342">
        <v>11424</v>
      </c>
      <c r="R643" s="341">
        <v>14056</v>
      </c>
      <c r="S643" s="342">
        <v>11424</v>
      </c>
      <c r="T643" s="342">
        <f t="shared" si="110"/>
        <v>0</v>
      </c>
      <c r="U643" s="343">
        <v>0</v>
      </c>
      <c r="V643" s="341">
        <v>54260</v>
      </c>
      <c r="W643" s="342">
        <v>0</v>
      </c>
      <c r="X643" s="340" t="s">
        <v>574</v>
      </c>
      <c r="Y643" s="340">
        <v>0</v>
      </c>
      <c r="Z643" s="340">
        <v>149608</v>
      </c>
      <c r="AA643" s="340"/>
      <c r="AB643" s="340" t="s">
        <v>571</v>
      </c>
      <c r="AC643" s="340" t="s">
        <v>570</v>
      </c>
      <c r="AD643" s="341" t="s">
        <v>569</v>
      </c>
      <c r="AE643" s="340"/>
      <c r="AF643" s="341" t="s">
        <v>568</v>
      </c>
      <c r="AG643" s="340">
        <v>0</v>
      </c>
      <c r="AH643" s="340">
        <v>0</v>
      </c>
      <c r="AI643" s="377"/>
      <c r="AK643" s="493">
        <f t="shared" si="100"/>
        <v>6</v>
      </c>
      <c r="AL643" s="493">
        <f t="shared" si="101"/>
        <v>2004</v>
      </c>
      <c r="AM643" s="493">
        <f t="shared" si="102"/>
        <v>2016</v>
      </c>
      <c r="AN643" s="494">
        <f t="shared" si="103"/>
        <v>2016.5</v>
      </c>
      <c r="AO643" s="505">
        <f t="shared" si="104"/>
        <v>79.333333333333329</v>
      </c>
      <c r="AP643" s="505">
        <f t="shared" si="105"/>
        <v>952</v>
      </c>
      <c r="AQ643" s="505">
        <f t="shared" si="106"/>
        <v>0</v>
      </c>
      <c r="AR643" s="505">
        <f t="shared" si="107"/>
        <v>11424</v>
      </c>
      <c r="AS643" s="505">
        <f t="shared" si="108"/>
        <v>11424</v>
      </c>
      <c r="AT643" s="506">
        <f t="shared" si="109"/>
        <v>0</v>
      </c>
    </row>
    <row r="644" spans="1:46">
      <c r="A644" s="341">
        <v>2112</v>
      </c>
      <c r="B644" s="345">
        <v>26301</v>
      </c>
      <c r="C644" s="341" t="s">
        <v>574</v>
      </c>
      <c r="D644" s="340" t="s">
        <v>675</v>
      </c>
      <c r="E644" s="341">
        <v>4</v>
      </c>
      <c r="F644" s="340"/>
      <c r="G644" s="340"/>
      <c r="H644" s="340">
        <v>0</v>
      </c>
      <c r="I644" s="340" t="s">
        <v>672</v>
      </c>
      <c r="J644" s="340"/>
      <c r="K644" s="340" t="s">
        <v>636</v>
      </c>
      <c r="L644" s="344">
        <v>38135</v>
      </c>
      <c r="M644" s="344">
        <v>38135</v>
      </c>
      <c r="N644" s="340">
        <v>42112017</v>
      </c>
      <c r="O644" s="341">
        <v>1200</v>
      </c>
      <c r="P644" s="341">
        <v>14050</v>
      </c>
      <c r="Q644" s="342">
        <v>2110.7199999999998</v>
      </c>
      <c r="R644" s="341">
        <v>14056</v>
      </c>
      <c r="S644" s="342">
        <v>2110.7199999999998</v>
      </c>
      <c r="T644" s="342">
        <f t="shared" si="110"/>
        <v>0</v>
      </c>
      <c r="U644" s="343">
        <v>0</v>
      </c>
      <c r="V644" s="341">
        <v>54260</v>
      </c>
      <c r="W644" s="342">
        <v>0</v>
      </c>
      <c r="X644" s="340" t="s">
        <v>574</v>
      </c>
      <c r="Y644" s="340">
        <v>0</v>
      </c>
      <c r="Z644" s="340">
        <v>148763</v>
      </c>
      <c r="AA644" s="340"/>
      <c r="AB644" s="340" t="s">
        <v>571</v>
      </c>
      <c r="AC644" s="340" t="s">
        <v>570</v>
      </c>
      <c r="AD644" s="341" t="s">
        <v>569</v>
      </c>
      <c r="AE644" s="340"/>
      <c r="AF644" s="341" t="s">
        <v>568</v>
      </c>
      <c r="AG644" s="340">
        <v>0</v>
      </c>
      <c r="AH644" s="340">
        <v>0</v>
      </c>
      <c r="AI644" s="377"/>
      <c r="AK644" s="493">
        <f t="shared" si="100"/>
        <v>5</v>
      </c>
      <c r="AL644" s="493">
        <f t="shared" si="101"/>
        <v>2004</v>
      </c>
      <c r="AM644" s="493">
        <f t="shared" si="102"/>
        <v>2016</v>
      </c>
      <c r="AN644" s="494">
        <f t="shared" si="103"/>
        <v>2016.4166666666667</v>
      </c>
      <c r="AO644" s="505">
        <f t="shared" si="104"/>
        <v>14.657777777777776</v>
      </c>
      <c r="AP644" s="505">
        <f t="shared" si="105"/>
        <v>175.89333333333332</v>
      </c>
      <c r="AQ644" s="505">
        <f t="shared" si="106"/>
        <v>0</v>
      </c>
      <c r="AR644" s="505">
        <f t="shared" si="107"/>
        <v>2110.7199999999998</v>
      </c>
      <c r="AS644" s="505">
        <f t="shared" si="108"/>
        <v>2110.7199999999998</v>
      </c>
      <c r="AT644" s="506">
        <f t="shared" si="109"/>
        <v>0</v>
      </c>
    </row>
    <row r="645" spans="1:46">
      <c r="A645" s="341">
        <v>2112</v>
      </c>
      <c r="B645" s="345">
        <v>26300</v>
      </c>
      <c r="C645" s="341" t="s">
        <v>574</v>
      </c>
      <c r="D645" s="340" t="s">
        <v>674</v>
      </c>
      <c r="E645" s="341">
        <v>4</v>
      </c>
      <c r="F645" s="340"/>
      <c r="G645" s="340"/>
      <c r="H645" s="340">
        <v>0</v>
      </c>
      <c r="I645" s="340" t="s">
        <v>672</v>
      </c>
      <c r="J645" s="340"/>
      <c r="K645" s="340" t="s">
        <v>673</v>
      </c>
      <c r="L645" s="344">
        <v>38135</v>
      </c>
      <c r="M645" s="344">
        <v>38135</v>
      </c>
      <c r="N645" s="340">
        <v>42112019</v>
      </c>
      <c r="O645" s="341">
        <v>1200</v>
      </c>
      <c r="P645" s="341">
        <v>14050</v>
      </c>
      <c r="Q645" s="342">
        <v>2881.02</v>
      </c>
      <c r="R645" s="341">
        <v>14056</v>
      </c>
      <c r="S645" s="342">
        <v>2881.02</v>
      </c>
      <c r="T645" s="342">
        <f t="shared" si="110"/>
        <v>0</v>
      </c>
      <c r="U645" s="343">
        <v>0</v>
      </c>
      <c r="V645" s="341">
        <v>54260</v>
      </c>
      <c r="W645" s="342">
        <v>0</v>
      </c>
      <c r="X645" s="340" t="s">
        <v>574</v>
      </c>
      <c r="Y645" s="340">
        <v>0</v>
      </c>
      <c r="Z645" s="340">
        <v>148848</v>
      </c>
      <c r="AA645" s="340"/>
      <c r="AB645" s="340" t="s">
        <v>571</v>
      </c>
      <c r="AC645" s="340" t="s">
        <v>570</v>
      </c>
      <c r="AD645" s="341" t="s">
        <v>569</v>
      </c>
      <c r="AE645" s="340"/>
      <c r="AF645" s="341" t="s">
        <v>568</v>
      </c>
      <c r="AG645" s="340">
        <v>0</v>
      </c>
      <c r="AH645" s="340">
        <v>0</v>
      </c>
      <c r="AI645" s="377"/>
      <c r="AK645" s="493">
        <f t="shared" si="100"/>
        <v>5</v>
      </c>
      <c r="AL645" s="493">
        <f t="shared" si="101"/>
        <v>2004</v>
      </c>
      <c r="AM645" s="493">
        <f t="shared" si="102"/>
        <v>2016</v>
      </c>
      <c r="AN645" s="494">
        <f t="shared" si="103"/>
        <v>2016.4166666666667</v>
      </c>
      <c r="AO645" s="505">
        <f t="shared" si="104"/>
        <v>20.007083333333334</v>
      </c>
      <c r="AP645" s="505">
        <f t="shared" si="105"/>
        <v>240.08500000000001</v>
      </c>
      <c r="AQ645" s="505">
        <f t="shared" si="106"/>
        <v>0</v>
      </c>
      <c r="AR645" s="505">
        <f t="shared" si="107"/>
        <v>2881.02</v>
      </c>
      <c r="AS645" s="505">
        <f t="shared" si="108"/>
        <v>2881.02</v>
      </c>
      <c r="AT645" s="506">
        <f t="shared" si="109"/>
        <v>0</v>
      </c>
    </row>
    <row r="646" spans="1:46">
      <c r="A646" s="341">
        <v>2112</v>
      </c>
      <c r="B646" s="345">
        <v>26299</v>
      </c>
      <c r="C646" s="341" t="s">
        <v>574</v>
      </c>
      <c r="D646" s="340" t="s">
        <v>338</v>
      </c>
      <c r="E646" s="341">
        <v>38</v>
      </c>
      <c r="F646" s="340"/>
      <c r="G646" s="340"/>
      <c r="H646" s="340">
        <v>0</v>
      </c>
      <c r="I646" s="340" t="s">
        <v>672</v>
      </c>
      <c r="J646" s="340"/>
      <c r="K646" s="340" t="s">
        <v>671</v>
      </c>
      <c r="L646" s="344">
        <v>38135</v>
      </c>
      <c r="M646" s="344">
        <v>38135</v>
      </c>
      <c r="N646" s="340">
        <v>42112012</v>
      </c>
      <c r="O646" s="341">
        <v>1200</v>
      </c>
      <c r="P646" s="341">
        <v>14050</v>
      </c>
      <c r="Q646" s="342">
        <v>17190.400000000001</v>
      </c>
      <c r="R646" s="341">
        <v>14056</v>
      </c>
      <c r="S646" s="342">
        <v>17190.400000000001</v>
      </c>
      <c r="T646" s="342">
        <f t="shared" si="110"/>
        <v>0</v>
      </c>
      <c r="U646" s="343">
        <v>0</v>
      </c>
      <c r="V646" s="341">
        <v>54260</v>
      </c>
      <c r="W646" s="342">
        <v>0</v>
      </c>
      <c r="X646" s="340" t="s">
        <v>574</v>
      </c>
      <c r="Y646" s="340">
        <v>0</v>
      </c>
      <c r="Z646" s="340">
        <v>148875</v>
      </c>
      <c r="AA646" s="340"/>
      <c r="AB646" s="340" t="s">
        <v>571</v>
      </c>
      <c r="AC646" s="340" t="s">
        <v>570</v>
      </c>
      <c r="AD646" s="341" t="s">
        <v>569</v>
      </c>
      <c r="AE646" s="340"/>
      <c r="AF646" s="341" t="s">
        <v>568</v>
      </c>
      <c r="AG646" s="340">
        <v>0</v>
      </c>
      <c r="AH646" s="340">
        <v>0</v>
      </c>
      <c r="AI646" s="377"/>
      <c r="AK646" s="493">
        <f t="shared" si="100"/>
        <v>5</v>
      </c>
      <c r="AL646" s="493">
        <f t="shared" si="101"/>
        <v>2004</v>
      </c>
      <c r="AM646" s="493">
        <f t="shared" si="102"/>
        <v>2016</v>
      </c>
      <c r="AN646" s="494">
        <f t="shared" si="103"/>
        <v>2016.4166666666667</v>
      </c>
      <c r="AO646" s="505">
        <f t="shared" si="104"/>
        <v>119.37777777777779</v>
      </c>
      <c r="AP646" s="505">
        <f t="shared" si="105"/>
        <v>1432.5333333333335</v>
      </c>
      <c r="AQ646" s="505">
        <f t="shared" si="106"/>
        <v>0</v>
      </c>
      <c r="AR646" s="505">
        <f t="shared" si="107"/>
        <v>17190.400000000001</v>
      </c>
      <c r="AS646" s="505">
        <f t="shared" si="108"/>
        <v>17190.400000000001</v>
      </c>
      <c r="AT646" s="506">
        <f t="shared" si="109"/>
        <v>0</v>
      </c>
    </row>
    <row r="647" spans="1:46">
      <c r="A647" s="341">
        <v>2112</v>
      </c>
      <c r="B647" s="345">
        <v>26025</v>
      </c>
      <c r="C647" s="341" t="s">
        <v>574</v>
      </c>
      <c r="D647" s="340" t="s">
        <v>670</v>
      </c>
      <c r="E647" s="341">
        <v>0</v>
      </c>
      <c r="F647" s="340">
        <v>2112</v>
      </c>
      <c r="G647" s="340"/>
      <c r="H647" s="340">
        <v>2004</v>
      </c>
      <c r="I647" s="340" t="s">
        <v>669</v>
      </c>
      <c r="J647" s="340" t="s">
        <v>668</v>
      </c>
      <c r="K647" s="340"/>
      <c r="L647" s="344">
        <v>38047</v>
      </c>
      <c r="M647" s="344">
        <v>38047</v>
      </c>
      <c r="N647" s="340">
        <v>42112008</v>
      </c>
      <c r="O647" s="341">
        <v>500</v>
      </c>
      <c r="P647" s="341">
        <v>14070</v>
      </c>
      <c r="Q647" s="342">
        <v>2165.12</v>
      </c>
      <c r="R647" s="341">
        <v>14076</v>
      </c>
      <c r="S647" s="342">
        <v>2165.12</v>
      </c>
      <c r="T647" s="342">
        <f t="shared" si="110"/>
        <v>0</v>
      </c>
      <c r="U647" s="343">
        <v>0</v>
      </c>
      <c r="V647" s="341">
        <v>51260</v>
      </c>
      <c r="W647" s="342">
        <v>0</v>
      </c>
      <c r="X647" s="340" t="s">
        <v>574</v>
      </c>
      <c r="Y647" s="340">
        <v>0</v>
      </c>
      <c r="Z647" s="340" t="s">
        <v>667</v>
      </c>
      <c r="AA647" s="340"/>
      <c r="AB647" s="340" t="s">
        <v>571</v>
      </c>
      <c r="AC647" s="340" t="s">
        <v>570</v>
      </c>
      <c r="AD647" s="341" t="s">
        <v>569</v>
      </c>
      <c r="AE647" s="340"/>
      <c r="AF647" s="341" t="s">
        <v>568</v>
      </c>
      <c r="AG647" s="340">
        <v>0</v>
      </c>
      <c r="AH647" s="340">
        <v>0</v>
      </c>
      <c r="AI647" s="377"/>
      <c r="AK647" s="493">
        <f t="shared" si="100"/>
        <v>3</v>
      </c>
      <c r="AL647" s="493">
        <f t="shared" si="101"/>
        <v>2004</v>
      </c>
      <c r="AM647" s="493">
        <f t="shared" si="102"/>
        <v>2009</v>
      </c>
      <c r="AN647" s="494">
        <f t="shared" si="103"/>
        <v>2009.25</v>
      </c>
      <c r="AO647" s="505">
        <f t="shared" si="104"/>
        <v>36.085333333333331</v>
      </c>
      <c r="AP647" s="505">
        <f t="shared" si="105"/>
        <v>433.024</v>
      </c>
      <c r="AQ647" s="505">
        <f t="shared" si="106"/>
        <v>0</v>
      </c>
      <c r="AR647" s="505">
        <f t="shared" si="107"/>
        <v>2165.12</v>
      </c>
      <c r="AS647" s="505">
        <f t="shared" si="108"/>
        <v>2165.12</v>
      </c>
      <c r="AT647" s="506">
        <f t="shared" si="109"/>
        <v>0</v>
      </c>
    </row>
    <row r="648" spans="1:46">
      <c r="A648" s="341">
        <v>2112</v>
      </c>
      <c r="B648" s="345">
        <v>25375</v>
      </c>
      <c r="C648" s="341" t="s">
        <v>574</v>
      </c>
      <c r="D648" s="340" t="s">
        <v>666</v>
      </c>
      <c r="E648" s="341">
        <v>162</v>
      </c>
      <c r="F648" s="340" t="s">
        <v>665</v>
      </c>
      <c r="G648" s="340"/>
      <c r="H648" s="340">
        <v>0</v>
      </c>
      <c r="I648" s="340" t="s">
        <v>661</v>
      </c>
      <c r="J648" s="340"/>
      <c r="K648" s="340"/>
      <c r="L648" s="344">
        <v>38128</v>
      </c>
      <c r="M648" s="344">
        <v>38128</v>
      </c>
      <c r="N648" s="340">
        <v>42112014</v>
      </c>
      <c r="O648" s="341">
        <v>700</v>
      </c>
      <c r="P648" s="341">
        <v>14050</v>
      </c>
      <c r="Q648" s="342">
        <v>6336.43</v>
      </c>
      <c r="R648" s="341">
        <v>14056</v>
      </c>
      <c r="S648" s="342">
        <v>6336.43</v>
      </c>
      <c r="T648" s="342">
        <f t="shared" si="110"/>
        <v>0</v>
      </c>
      <c r="U648" s="343">
        <v>0</v>
      </c>
      <c r="V648" s="341">
        <v>54260</v>
      </c>
      <c r="W648" s="342">
        <v>0</v>
      </c>
      <c r="X648" s="340" t="s">
        <v>574</v>
      </c>
      <c r="Y648" s="340">
        <v>0</v>
      </c>
      <c r="Z648" s="340" t="s">
        <v>664</v>
      </c>
      <c r="AA648" s="340"/>
      <c r="AB648" s="340" t="s">
        <v>571</v>
      </c>
      <c r="AC648" s="340" t="s">
        <v>570</v>
      </c>
      <c r="AD648" s="341" t="s">
        <v>569</v>
      </c>
      <c r="AE648" s="340"/>
      <c r="AF648" s="341" t="s">
        <v>568</v>
      </c>
      <c r="AG648" s="340">
        <v>0</v>
      </c>
      <c r="AH648" s="340">
        <v>0</v>
      </c>
      <c r="AI648" s="377"/>
      <c r="AK648" s="493">
        <f t="shared" si="100"/>
        <v>5</v>
      </c>
      <c r="AL648" s="493">
        <f t="shared" si="101"/>
        <v>2004</v>
      </c>
      <c r="AM648" s="493">
        <f t="shared" si="102"/>
        <v>2011</v>
      </c>
      <c r="AN648" s="494">
        <f t="shared" si="103"/>
        <v>2011.4166666666667</v>
      </c>
      <c r="AO648" s="505">
        <f t="shared" si="104"/>
        <v>75.433690476190478</v>
      </c>
      <c r="AP648" s="505">
        <f t="shared" si="105"/>
        <v>905.20428571428579</v>
      </c>
      <c r="AQ648" s="505">
        <f t="shared" si="106"/>
        <v>0</v>
      </c>
      <c r="AR648" s="505">
        <f t="shared" si="107"/>
        <v>6336.43</v>
      </c>
      <c r="AS648" s="505">
        <f t="shared" si="108"/>
        <v>6336.43</v>
      </c>
      <c r="AT648" s="506">
        <f t="shared" si="109"/>
        <v>0</v>
      </c>
    </row>
    <row r="649" spans="1:46">
      <c r="A649" s="341">
        <v>2112</v>
      </c>
      <c r="B649" s="345">
        <v>25374</v>
      </c>
      <c r="C649" s="341" t="s">
        <v>574</v>
      </c>
      <c r="D649" s="340" t="s">
        <v>663</v>
      </c>
      <c r="E649" s="341">
        <v>588</v>
      </c>
      <c r="F649" s="340" t="s">
        <v>662</v>
      </c>
      <c r="G649" s="340"/>
      <c r="H649" s="340">
        <v>0</v>
      </c>
      <c r="I649" s="340" t="s">
        <v>661</v>
      </c>
      <c r="J649" s="340"/>
      <c r="K649" s="340"/>
      <c r="L649" s="344">
        <v>38125</v>
      </c>
      <c r="M649" s="344">
        <v>38125</v>
      </c>
      <c r="N649" s="340">
        <v>42112014</v>
      </c>
      <c r="O649" s="341">
        <v>700</v>
      </c>
      <c r="P649" s="341">
        <v>14050</v>
      </c>
      <c r="Q649" s="342">
        <v>22998.89</v>
      </c>
      <c r="R649" s="341">
        <v>14056</v>
      </c>
      <c r="S649" s="342">
        <v>22998.89</v>
      </c>
      <c r="T649" s="342">
        <f t="shared" si="110"/>
        <v>0</v>
      </c>
      <c r="U649" s="343">
        <v>0</v>
      </c>
      <c r="V649" s="341">
        <v>54260</v>
      </c>
      <c r="W649" s="342">
        <v>0</v>
      </c>
      <c r="X649" s="340" t="s">
        <v>574</v>
      </c>
      <c r="Y649" s="340">
        <v>0</v>
      </c>
      <c r="Z649" s="340" t="s">
        <v>660</v>
      </c>
      <c r="AA649" s="340"/>
      <c r="AB649" s="340" t="s">
        <v>571</v>
      </c>
      <c r="AC649" s="340" t="s">
        <v>570</v>
      </c>
      <c r="AD649" s="341" t="s">
        <v>569</v>
      </c>
      <c r="AE649" s="340"/>
      <c r="AF649" s="341" t="s">
        <v>568</v>
      </c>
      <c r="AG649" s="340">
        <v>0</v>
      </c>
      <c r="AH649" s="340">
        <v>0</v>
      </c>
      <c r="AI649" s="377"/>
      <c r="AK649" s="493">
        <f t="shared" si="100"/>
        <v>5</v>
      </c>
      <c r="AL649" s="493">
        <f t="shared" si="101"/>
        <v>2004</v>
      </c>
      <c r="AM649" s="493">
        <f t="shared" si="102"/>
        <v>2011</v>
      </c>
      <c r="AN649" s="494">
        <f t="shared" si="103"/>
        <v>2011.4166666666667</v>
      </c>
      <c r="AO649" s="505">
        <f t="shared" si="104"/>
        <v>273.7963095238095</v>
      </c>
      <c r="AP649" s="505">
        <f t="shared" si="105"/>
        <v>3285.5557142857142</v>
      </c>
      <c r="AQ649" s="505">
        <f t="shared" si="106"/>
        <v>0</v>
      </c>
      <c r="AR649" s="505">
        <f t="shared" si="107"/>
        <v>22998.89</v>
      </c>
      <c r="AS649" s="505">
        <f t="shared" si="108"/>
        <v>22998.89</v>
      </c>
      <c r="AT649" s="506">
        <f t="shared" si="109"/>
        <v>0</v>
      </c>
    </row>
    <row r="650" spans="1:46">
      <c r="A650" s="341">
        <v>2112</v>
      </c>
      <c r="B650" s="345">
        <v>25026</v>
      </c>
      <c r="C650" s="341" t="s">
        <v>574</v>
      </c>
      <c r="D650" s="340" t="s">
        <v>659</v>
      </c>
      <c r="E650" s="341">
        <v>0</v>
      </c>
      <c r="F650" s="340">
        <v>2112</v>
      </c>
      <c r="G650" s="340"/>
      <c r="H650" s="340">
        <v>2004</v>
      </c>
      <c r="I650" s="340" t="s">
        <v>658</v>
      </c>
      <c r="J650" s="340" t="s">
        <v>657</v>
      </c>
      <c r="K650" s="340"/>
      <c r="L650" s="344">
        <v>38096</v>
      </c>
      <c r="M650" s="344">
        <v>38096</v>
      </c>
      <c r="N650" s="340">
        <v>42112007</v>
      </c>
      <c r="O650" s="341">
        <v>500</v>
      </c>
      <c r="P650" s="341">
        <v>14070</v>
      </c>
      <c r="Q650" s="342">
        <v>3007.11</v>
      </c>
      <c r="R650" s="341">
        <v>14076</v>
      </c>
      <c r="S650" s="342">
        <v>3007.11</v>
      </c>
      <c r="T650" s="342">
        <f t="shared" si="110"/>
        <v>0</v>
      </c>
      <c r="U650" s="343">
        <v>0</v>
      </c>
      <c r="V650" s="341">
        <v>51260</v>
      </c>
      <c r="W650" s="342">
        <v>0</v>
      </c>
      <c r="X650" s="340" t="s">
        <v>574</v>
      </c>
      <c r="Y650" s="340">
        <v>0</v>
      </c>
      <c r="Z650" s="340" t="s">
        <v>656</v>
      </c>
      <c r="AA650" s="340"/>
      <c r="AB650" s="340" t="s">
        <v>571</v>
      </c>
      <c r="AC650" s="340" t="s">
        <v>570</v>
      </c>
      <c r="AD650" s="341" t="s">
        <v>569</v>
      </c>
      <c r="AE650" s="340"/>
      <c r="AF650" s="341" t="s">
        <v>568</v>
      </c>
      <c r="AG650" s="340">
        <v>0</v>
      </c>
      <c r="AH650" s="340">
        <v>0</v>
      </c>
      <c r="AI650" s="377"/>
      <c r="AK650" s="493">
        <f t="shared" si="100"/>
        <v>4</v>
      </c>
      <c r="AL650" s="493">
        <f t="shared" si="101"/>
        <v>2004</v>
      </c>
      <c r="AM650" s="493">
        <f t="shared" si="102"/>
        <v>2009</v>
      </c>
      <c r="AN650" s="494">
        <f t="shared" si="103"/>
        <v>2009.3333333333333</v>
      </c>
      <c r="AO650" s="505">
        <f t="shared" si="104"/>
        <v>50.118500000000004</v>
      </c>
      <c r="AP650" s="505">
        <f t="shared" si="105"/>
        <v>601.42200000000003</v>
      </c>
      <c r="AQ650" s="505">
        <f t="shared" si="106"/>
        <v>0</v>
      </c>
      <c r="AR650" s="505">
        <f t="shared" si="107"/>
        <v>3007.11</v>
      </c>
      <c r="AS650" s="505">
        <f t="shared" si="108"/>
        <v>3007.11</v>
      </c>
      <c r="AT650" s="506">
        <f t="shared" si="109"/>
        <v>0</v>
      </c>
    </row>
    <row r="651" spans="1:46">
      <c r="A651" s="341">
        <v>2112</v>
      </c>
      <c r="B651" s="345">
        <v>24184</v>
      </c>
      <c r="C651" s="341"/>
      <c r="D651" s="340" t="s">
        <v>197</v>
      </c>
      <c r="E651" s="341">
        <v>0</v>
      </c>
      <c r="F651" s="340"/>
      <c r="G651" s="340"/>
      <c r="H651" s="340">
        <v>0</v>
      </c>
      <c r="I651" s="340" t="s">
        <v>655</v>
      </c>
      <c r="J651" s="340"/>
      <c r="K651" s="340"/>
      <c r="L651" s="344">
        <v>38017</v>
      </c>
      <c r="M651" s="344">
        <v>38017</v>
      </c>
      <c r="N651" s="340">
        <v>42112023</v>
      </c>
      <c r="O651" s="341">
        <v>500</v>
      </c>
      <c r="P651" s="341">
        <v>14110</v>
      </c>
      <c r="Q651" s="342">
        <v>960</v>
      </c>
      <c r="R651" s="341">
        <v>14116</v>
      </c>
      <c r="S651" s="342">
        <v>960</v>
      </c>
      <c r="T651" s="342">
        <f t="shared" si="110"/>
        <v>0</v>
      </c>
      <c r="U651" s="343">
        <v>0</v>
      </c>
      <c r="V651" s="341">
        <v>70260</v>
      </c>
      <c r="W651" s="342">
        <v>0</v>
      </c>
      <c r="X651" s="340" t="s">
        <v>570</v>
      </c>
      <c r="Y651" s="340">
        <v>0</v>
      </c>
      <c r="Z651" s="340">
        <v>401611</v>
      </c>
      <c r="AA651" s="340"/>
      <c r="AB651" s="340" t="s">
        <v>571</v>
      </c>
      <c r="AC651" s="340" t="s">
        <v>570</v>
      </c>
      <c r="AD651" s="341" t="s">
        <v>569</v>
      </c>
      <c r="AE651" s="340"/>
      <c r="AF651" s="341" t="s">
        <v>568</v>
      </c>
      <c r="AG651" s="340">
        <v>0</v>
      </c>
      <c r="AH651" s="340">
        <v>0</v>
      </c>
      <c r="AI651" s="377"/>
      <c r="AK651" s="493">
        <f t="shared" si="100"/>
        <v>1</v>
      </c>
      <c r="AL651" s="493">
        <f t="shared" si="101"/>
        <v>2004</v>
      </c>
      <c r="AM651" s="493">
        <f t="shared" si="102"/>
        <v>2009</v>
      </c>
      <c r="AN651" s="494">
        <f t="shared" si="103"/>
        <v>2009.0833333333333</v>
      </c>
      <c r="AO651" s="505">
        <f t="shared" si="104"/>
        <v>16</v>
      </c>
      <c r="AP651" s="505">
        <f t="shared" si="105"/>
        <v>192</v>
      </c>
      <c r="AQ651" s="505">
        <f t="shared" si="106"/>
        <v>0</v>
      </c>
      <c r="AR651" s="505">
        <f t="shared" si="107"/>
        <v>960</v>
      </c>
      <c r="AS651" s="505">
        <f t="shared" si="108"/>
        <v>960</v>
      </c>
      <c r="AT651" s="506">
        <f t="shared" si="109"/>
        <v>0</v>
      </c>
    </row>
    <row r="652" spans="1:46">
      <c r="A652" s="341">
        <v>2112</v>
      </c>
      <c r="B652" s="345">
        <v>24183</v>
      </c>
      <c r="C652" s="341"/>
      <c r="D652" s="340" t="s">
        <v>197</v>
      </c>
      <c r="E652" s="341">
        <v>0</v>
      </c>
      <c r="F652" s="340"/>
      <c r="G652" s="340"/>
      <c r="H652" s="340">
        <v>0</v>
      </c>
      <c r="I652" s="340" t="s">
        <v>655</v>
      </c>
      <c r="J652" s="340"/>
      <c r="K652" s="340"/>
      <c r="L652" s="344">
        <v>38002</v>
      </c>
      <c r="M652" s="344">
        <v>38002</v>
      </c>
      <c r="N652" s="340">
        <v>42112023</v>
      </c>
      <c r="O652" s="341">
        <v>500</v>
      </c>
      <c r="P652" s="341">
        <v>14110</v>
      </c>
      <c r="Q652" s="342">
        <v>2200</v>
      </c>
      <c r="R652" s="341">
        <v>14116</v>
      </c>
      <c r="S652" s="342">
        <v>2200</v>
      </c>
      <c r="T652" s="342">
        <f t="shared" si="110"/>
        <v>0</v>
      </c>
      <c r="U652" s="343">
        <v>0</v>
      </c>
      <c r="V652" s="341">
        <v>70260</v>
      </c>
      <c r="W652" s="342">
        <v>0</v>
      </c>
      <c r="X652" s="340" t="s">
        <v>570</v>
      </c>
      <c r="Y652" s="340">
        <v>0</v>
      </c>
      <c r="Z652" s="340">
        <v>401609</v>
      </c>
      <c r="AA652" s="340"/>
      <c r="AB652" s="340" t="s">
        <v>571</v>
      </c>
      <c r="AC652" s="340" t="s">
        <v>570</v>
      </c>
      <c r="AD652" s="341" t="s">
        <v>569</v>
      </c>
      <c r="AE652" s="340"/>
      <c r="AF652" s="341" t="s">
        <v>568</v>
      </c>
      <c r="AG652" s="340">
        <v>0</v>
      </c>
      <c r="AH652" s="340">
        <v>0</v>
      </c>
      <c r="AI652" s="377"/>
      <c r="AK652" s="493">
        <f t="shared" si="100"/>
        <v>1</v>
      </c>
      <c r="AL652" s="493">
        <f t="shared" si="101"/>
        <v>2004</v>
      </c>
      <c r="AM652" s="493">
        <f t="shared" si="102"/>
        <v>2009</v>
      </c>
      <c r="AN652" s="494">
        <f t="shared" si="103"/>
        <v>2009.0833333333333</v>
      </c>
      <c r="AO652" s="505">
        <f t="shared" si="104"/>
        <v>36.666666666666664</v>
      </c>
      <c r="AP652" s="505">
        <f t="shared" si="105"/>
        <v>440</v>
      </c>
      <c r="AQ652" s="505">
        <f t="shared" si="106"/>
        <v>0</v>
      </c>
      <c r="AR652" s="505">
        <f t="shared" si="107"/>
        <v>2200</v>
      </c>
      <c r="AS652" s="505">
        <f t="shared" si="108"/>
        <v>2200</v>
      </c>
      <c r="AT652" s="506">
        <f t="shared" si="109"/>
        <v>0</v>
      </c>
    </row>
    <row r="653" spans="1:46">
      <c r="A653" s="341">
        <v>2112</v>
      </c>
      <c r="B653" s="345">
        <v>24182</v>
      </c>
      <c r="C653" s="341"/>
      <c r="D653" s="340" t="s">
        <v>197</v>
      </c>
      <c r="E653" s="341">
        <v>0</v>
      </c>
      <c r="F653" s="340"/>
      <c r="G653" s="340"/>
      <c r="H653" s="340">
        <v>0</v>
      </c>
      <c r="I653" s="340" t="s">
        <v>655</v>
      </c>
      <c r="J653" s="340"/>
      <c r="K653" s="340"/>
      <c r="L653" s="344">
        <v>38017</v>
      </c>
      <c r="M653" s="344">
        <v>38017</v>
      </c>
      <c r="N653" s="340">
        <v>42112023</v>
      </c>
      <c r="O653" s="341">
        <v>500</v>
      </c>
      <c r="P653" s="341">
        <v>14110</v>
      </c>
      <c r="Q653" s="342">
        <v>640</v>
      </c>
      <c r="R653" s="341">
        <v>14116</v>
      </c>
      <c r="S653" s="342">
        <v>640</v>
      </c>
      <c r="T653" s="342">
        <f t="shared" si="110"/>
        <v>0</v>
      </c>
      <c r="U653" s="343">
        <v>0</v>
      </c>
      <c r="V653" s="341">
        <v>70260</v>
      </c>
      <c r="W653" s="342">
        <v>0</v>
      </c>
      <c r="X653" s="340" t="s">
        <v>570</v>
      </c>
      <c r="Y653" s="340">
        <v>0</v>
      </c>
      <c r="Z653" s="340">
        <v>401612</v>
      </c>
      <c r="AA653" s="340"/>
      <c r="AB653" s="340" t="s">
        <v>571</v>
      </c>
      <c r="AC653" s="340" t="s">
        <v>570</v>
      </c>
      <c r="AD653" s="341" t="s">
        <v>569</v>
      </c>
      <c r="AE653" s="340"/>
      <c r="AF653" s="341" t="s">
        <v>568</v>
      </c>
      <c r="AG653" s="340">
        <v>0</v>
      </c>
      <c r="AH653" s="340">
        <v>0</v>
      </c>
      <c r="AI653" s="377"/>
      <c r="AK653" s="493">
        <f t="shared" si="100"/>
        <v>1</v>
      </c>
      <c r="AL653" s="493">
        <f t="shared" si="101"/>
        <v>2004</v>
      </c>
      <c r="AM653" s="493">
        <f t="shared" si="102"/>
        <v>2009</v>
      </c>
      <c r="AN653" s="494">
        <f t="shared" si="103"/>
        <v>2009.0833333333333</v>
      </c>
      <c r="AO653" s="505">
        <f t="shared" si="104"/>
        <v>10.666666666666666</v>
      </c>
      <c r="AP653" s="505">
        <f t="shared" si="105"/>
        <v>128</v>
      </c>
      <c r="AQ653" s="505">
        <f t="shared" si="106"/>
        <v>0</v>
      </c>
      <c r="AR653" s="505">
        <f t="shared" si="107"/>
        <v>640</v>
      </c>
      <c r="AS653" s="505">
        <f t="shared" si="108"/>
        <v>640</v>
      </c>
      <c r="AT653" s="506">
        <f t="shared" si="109"/>
        <v>0</v>
      </c>
    </row>
    <row r="654" spans="1:46">
      <c r="A654" s="341">
        <v>2112</v>
      </c>
      <c r="B654" s="345">
        <v>23536</v>
      </c>
      <c r="C654" s="341"/>
      <c r="D654" s="340" t="s">
        <v>652</v>
      </c>
      <c r="E654" s="341">
        <v>0</v>
      </c>
      <c r="F654" s="340"/>
      <c r="G654" s="340"/>
      <c r="H654" s="340">
        <v>0</v>
      </c>
      <c r="I654" s="340" t="s">
        <v>654</v>
      </c>
      <c r="J654" s="340"/>
      <c r="K654" s="340"/>
      <c r="L654" s="344">
        <v>38001</v>
      </c>
      <c r="M654" s="344">
        <v>38001</v>
      </c>
      <c r="N654" s="340">
        <v>42112022</v>
      </c>
      <c r="O654" s="341">
        <v>500</v>
      </c>
      <c r="P654" s="341">
        <v>14090</v>
      </c>
      <c r="Q654" s="342">
        <v>5051.95</v>
      </c>
      <c r="R654" s="341">
        <v>14096</v>
      </c>
      <c r="S654" s="342">
        <v>5051.95</v>
      </c>
      <c r="T654" s="342">
        <f t="shared" si="110"/>
        <v>0</v>
      </c>
      <c r="U654" s="343">
        <v>0</v>
      </c>
      <c r="V654" s="341">
        <v>57260</v>
      </c>
      <c r="W654" s="342">
        <v>0</v>
      </c>
      <c r="X654" s="340" t="s">
        <v>574</v>
      </c>
      <c r="Y654" s="340"/>
      <c r="Z654" s="340" t="s">
        <v>653</v>
      </c>
      <c r="AA654" s="340"/>
      <c r="AB654" s="340" t="s">
        <v>571</v>
      </c>
      <c r="AC654" s="340" t="s">
        <v>570</v>
      </c>
      <c r="AD654" s="341" t="s">
        <v>569</v>
      </c>
      <c r="AE654" s="340"/>
      <c r="AF654" s="341" t="s">
        <v>568</v>
      </c>
      <c r="AG654" s="340">
        <v>0</v>
      </c>
      <c r="AH654" s="340">
        <v>0</v>
      </c>
      <c r="AI654" s="377"/>
      <c r="AK654" s="493">
        <f t="shared" ref="AK654:AK686" si="111">MONTH($L654)</f>
        <v>1</v>
      </c>
      <c r="AL654" s="493">
        <f t="shared" ref="AL654:AL686" si="112">YEAR($L654)</f>
        <v>2004</v>
      </c>
      <c r="AM654" s="493">
        <f t="shared" ref="AM654:AM686" si="113">$AL654+($O654/100)</f>
        <v>2009</v>
      </c>
      <c r="AN654" s="494">
        <f t="shared" ref="AN654:AN686" si="114">$AM654+($AK654/12)</f>
        <v>2009.0833333333333</v>
      </c>
      <c r="AO654" s="505">
        <f t="shared" ref="AO654:AO686" si="115">IFERROR($Q654/($O654/100)/12,0)</f>
        <v>84.19916666666667</v>
      </c>
      <c r="AP654" s="505">
        <f t="shared" ref="AP654:AP686" si="116">$AO654*12</f>
        <v>1010.3900000000001</v>
      </c>
      <c r="AQ654" s="505">
        <f t="shared" ref="AQ654:AQ686" si="117">+IF(AN654&lt;=$AI$9,0,AP654)</f>
        <v>0</v>
      </c>
      <c r="AR654" s="505">
        <f t="shared" ref="AR654:AR686" si="118">+IF(AN654&lt;=$AI$10,Q654,IF((AL654+(AK654/12))&gt;=$AI$10,0,((Q654-((AN654-$AI$10)*12)*AO654))))</f>
        <v>5051.95</v>
      </c>
      <c r="AS654" s="505">
        <f t="shared" ref="AS654:AS686" si="119">+IF(AN654&lt;$AI$9,Q654,AQ654+AR654)</f>
        <v>5051.95</v>
      </c>
      <c r="AT654" s="506">
        <f t="shared" ref="AT654:AT686" si="120">$Q654-$AS654</f>
        <v>0</v>
      </c>
    </row>
    <row r="655" spans="1:46">
      <c r="A655" s="341">
        <v>2112</v>
      </c>
      <c r="B655" s="345">
        <v>23440</v>
      </c>
      <c r="C655" s="341"/>
      <c r="D655" s="340" t="s">
        <v>652</v>
      </c>
      <c r="E655" s="341">
        <v>0</v>
      </c>
      <c r="F655" s="340"/>
      <c r="G655" s="340"/>
      <c r="H655" s="340">
        <v>0</v>
      </c>
      <c r="I655" s="340" t="s">
        <v>651</v>
      </c>
      <c r="J655" s="340"/>
      <c r="K655" s="340"/>
      <c r="L655" s="344">
        <v>37987</v>
      </c>
      <c r="M655" s="344">
        <v>37987</v>
      </c>
      <c r="N655" s="340">
        <v>42112022</v>
      </c>
      <c r="O655" s="341">
        <v>500</v>
      </c>
      <c r="P655" s="341">
        <v>14090</v>
      </c>
      <c r="Q655" s="342">
        <v>760</v>
      </c>
      <c r="R655" s="341">
        <v>14096</v>
      </c>
      <c r="S655" s="342">
        <v>760</v>
      </c>
      <c r="T655" s="342">
        <f t="shared" si="110"/>
        <v>0</v>
      </c>
      <c r="U655" s="343">
        <v>0</v>
      </c>
      <c r="V655" s="341">
        <v>57260</v>
      </c>
      <c r="W655" s="342">
        <v>0</v>
      </c>
      <c r="X655" s="340" t="s">
        <v>574</v>
      </c>
      <c r="Y655" s="340"/>
      <c r="Z655" s="340">
        <v>2036</v>
      </c>
      <c r="AA655" s="340"/>
      <c r="AB655" s="340" t="s">
        <v>571</v>
      </c>
      <c r="AC655" s="340" t="s">
        <v>570</v>
      </c>
      <c r="AD655" s="341" t="s">
        <v>569</v>
      </c>
      <c r="AE655" s="340"/>
      <c r="AF655" s="341" t="s">
        <v>568</v>
      </c>
      <c r="AG655" s="340">
        <v>0</v>
      </c>
      <c r="AH655" s="340">
        <v>0</v>
      </c>
      <c r="AI655" s="377"/>
      <c r="AK655" s="493">
        <f t="shared" si="111"/>
        <v>1</v>
      </c>
      <c r="AL655" s="493">
        <f t="shared" si="112"/>
        <v>2004</v>
      </c>
      <c r="AM655" s="493">
        <f t="shared" si="113"/>
        <v>2009</v>
      </c>
      <c r="AN655" s="494">
        <f t="shared" si="114"/>
        <v>2009.0833333333333</v>
      </c>
      <c r="AO655" s="505">
        <f t="shared" si="115"/>
        <v>12.666666666666666</v>
      </c>
      <c r="AP655" s="505">
        <f t="shared" si="116"/>
        <v>152</v>
      </c>
      <c r="AQ655" s="505">
        <f t="shared" si="117"/>
        <v>0</v>
      </c>
      <c r="AR655" s="505">
        <f t="shared" si="118"/>
        <v>760</v>
      </c>
      <c r="AS655" s="505">
        <f t="shared" si="119"/>
        <v>760</v>
      </c>
      <c r="AT655" s="506">
        <f t="shared" si="120"/>
        <v>0</v>
      </c>
    </row>
    <row r="656" spans="1:46">
      <c r="A656" s="341">
        <v>2112</v>
      </c>
      <c r="B656" s="345">
        <v>23391</v>
      </c>
      <c r="C656" s="341"/>
      <c r="D656" s="340" t="s">
        <v>650</v>
      </c>
      <c r="E656" s="341">
        <v>0</v>
      </c>
      <c r="F656" s="340"/>
      <c r="G656" s="340"/>
      <c r="H656" s="340">
        <v>0</v>
      </c>
      <c r="I656" s="340" t="s">
        <v>649</v>
      </c>
      <c r="J656" s="340"/>
      <c r="K656" s="340"/>
      <c r="L656" s="344">
        <v>37987</v>
      </c>
      <c r="M656" s="344">
        <v>37987</v>
      </c>
      <c r="N656" s="340">
        <v>42112023</v>
      </c>
      <c r="O656" s="341">
        <v>500</v>
      </c>
      <c r="P656" s="341">
        <v>14110</v>
      </c>
      <c r="Q656" s="342">
        <v>3391.76</v>
      </c>
      <c r="R656" s="341">
        <v>14116</v>
      </c>
      <c r="S656" s="342">
        <v>3391.76</v>
      </c>
      <c r="T656" s="342">
        <f t="shared" si="110"/>
        <v>0</v>
      </c>
      <c r="U656" s="343">
        <v>0</v>
      </c>
      <c r="V656" s="341">
        <v>70260</v>
      </c>
      <c r="W656" s="342">
        <v>0</v>
      </c>
      <c r="X656" s="340" t="s">
        <v>574</v>
      </c>
      <c r="Y656" s="340"/>
      <c r="Z656" s="340"/>
      <c r="AA656" s="340"/>
      <c r="AB656" s="340" t="s">
        <v>571</v>
      </c>
      <c r="AC656" s="340" t="s">
        <v>570</v>
      </c>
      <c r="AD656" s="341" t="s">
        <v>569</v>
      </c>
      <c r="AE656" s="340"/>
      <c r="AF656" s="341" t="s">
        <v>568</v>
      </c>
      <c r="AG656" s="340">
        <v>0</v>
      </c>
      <c r="AH656" s="340">
        <v>0</v>
      </c>
      <c r="AI656" s="377"/>
      <c r="AK656" s="493">
        <f t="shared" si="111"/>
        <v>1</v>
      </c>
      <c r="AL656" s="493">
        <f t="shared" si="112"/>
        <v>2004</v>
      </c>
      <c r="AM656" s="493">
        <f t="shared" si="113"/>
        <v>2009</v>
      </c>
      <c r="AN656" s="494">
        <f t="shared" si="114"/>
        <v>2009.0833333333333</v>
      </c>
      <c r="AO656" s="505">
        <f t="shared" si="115"/>
        <v>56.529333333333341</v>
      </c>
      <c r="AP656" s="505">
        <f t="shared" si="116"/>
        <v>678.35200000000009</v>
      </c>
      <c r="AQ656" s="505">
        <f t="shared" si="117"/>
        <v>0</v>
      </c>
      <c r="AR656" s="505">
        <f t="shared" si="118"/>
        <v>3391.76</v>
      </c>
      <c r="AS656" s="505">
        <f t="shared" si="119"/>
        <v>3391.76</v>
      </c>
      <c r="AT656" s="506">
        <f t="shared" si="120"/>
        <v>0</v>
      </c>
    </row>
    <row r="657" spans="1:47">
      <c r="A657" s="341">
        <v>2112</v>
      </c>
      <c r="B657" s="345">
        <v>22864</v>
      </c>
      <c r="C657" s="341" t="s">
        <v>574</v>
      </c>
      <c r="D657" s="340" t="s">
        <v>648</v>
      </c>
      <c r="E657" s="341">
        <v>0</v>
      </c>
      <c r="F657" s="340"/>
      <c r="G657" s="340"/>
      <c r="H657" s="340">
        <v>0</v>
      </c>
      <c r="I657" s="340"/>
      <c r="J657" s="340"/>
      <c r="K657" s="340" t="s">
        <v>588</v>
      </c>
      <c r="L657" s="344">
        <v>37986</v>
      </c>
      <c r="M657" s="344">
        <v>37986</v>
      </c>
      <c r="N657" s="340" t="s">
        <v>647</v>
      </c>
      <c r="O657" s="341">
        <v>300</v>
      </c>
      <c r="P657" s="341">
        <v>14050</v>
      </c>
      <c r="Q657" s="342">
        <v>1262.08</v>
      </c>
      <c r="R657" s="341">
        <v>14056</v>
      </c>
      <c r="S657" s="342">
        <v>1262.08</v>
      </c>
      <c r="T657" s="342">
        <f t="shared" si="110"/>
        <v>0</v>
      </c>
      <c r="U657" s="343">
        <v>0</v>
      </c>
      <c r="V657" s="341">
        <v>54260</v>
      </c>
      <c r="W657" s="342">
        <v>0</v>
      </c>
      <c r="X657" s="340" t="s">
        <v>574</v>
      </c>
      <c r="Y657" s="340"/>
      <c r="Z657" s="340">
        <v>144942</v>
      </c>
      <c r="AA657" s="340"/>
      <c r="AB657" s="340" t="s">
        <v>571</v>
      </c>
      <c r="AC657" s="340" t="s">
        <v>570</v>
      </c>
      <c r="AD657" s="341" t="s">
        <v>569</v>
      </c>
      <c r="AE657" s="340"/>
      <c r="AF657" s="341" t="s">
        <v>568</v>
      </c>
      <c r="AG657" s="340">
        <v>0</v>
      </c>
      <c r="AH657" s="340">
        <v>0</v>
      </c>
      <c r="AI657" s="377"/>
      <c r="AK657" s="493">
        <f t="shared" si="111"/>
        <v>12</v>
      </c>
      <c r="AL657" s="493">
        <f t="shared" si="112"/>
        <v>2003</v>
      </c>
      <c r="AM657" s="493">
        <f t="shared" si="113"/>
        <v>2006</v>
      </c>
      <c r="AN657" s="494">
        <f t="shared" si="114"/>
        <v>2007</v>
      </c>
      <c r="AO657" s="505">
        <f t="shared" si="115"/>
        <v>35.05777777777778</v>
      </c>
      <c r="AP657" s="505">
        <f t="shared" si="116"/>
        <v>420.69333333333338</v>
      </c>
      <c r="AQ657" s="505">
        <f t="shared" si="117"/>
        <v>0</v>
      </c>
      <c r="AR657" s="505">
        <f t="shared" si="118"/>
        <v>1262.08</v>
      </c>
      <c r="AS657" s="505">
        <f t="shared" si="119"/>
        <v>1262.08</v>
      </c>
      <c r="AT657" s="506">
        <f t="shared" si="120"/>
        <v>0</v>
      </c>
    </row>
    <row r="658" spans="1:47">
      <c r="A658" s="341">
        <v>2112</v>
      </c>
      <c r="B658" s="345">
        <v>22057</v>
      </c>
      <c r="C658" s="341" t="s">
        <v>574</v>
      </c>
      <c r="D658" s="340" t="s">
        <v>646</v>
      </c>
      <c r="E658" s="341">
        <v>0</v>
      </c>
      <c r="F658" s="340"/>
      <c r="G658" s="340"/>
      <c r="H658" s="340">
        <v>0</v>
      </c>
      <c r="I658" s="340"/>
      <c r="J658" s="340"/>
      <c r="K658" s="340"/>
      <c r="L658" s="344">
        <v>37926</v>
      </c>
      <c r="M658" s="344">
        <v>37926</v>
      </c>
      <c r="N658" s="340"/>
      <c r="O658" s="341">
        <v>0</v>
      </c>
      <c r="P658" s="341">
        <v>15260</v>
      </c>
      <c r="Q658" s="342">
        <v>325000</v>
      </c>
      <c r="R658" s="341">
        <v>15266</v>
      </c>
      <c r="S658" s="342">
        <v>0</v>
      </c>
      <c r="T658" s="342">
        <f t="shared" si="110"/>
        <v>325000</v>
      </c>
      <c r="U658" s="343">
        <v>0</v>
      </c>
      <c r="V658" s="341">
        <v>0</v>
      </c>
      <c r="W658" s="342">
        <v>0</v>
      </c>
      <c r="X658" s="340" t="s">
        <v>570</v>
      </c>
      <c r="Y658" s="340" t="s">
        <v>645</v>
      </c>
      <c r="Z658" s="340"/>
      <c r="AA658" s="340"/>
      <c r="AB658" s="340" t="s">
        <v>571</v>
      </c>
      <c r="AC658" s="340" t="s">
        <v>570</v>
      </c>
      <c r="AD658" s="341" t="s">
        <v>596</v>
      </c>
      <c r="AE658" s="340"/>
      <c r="AF658" s="341" t="s">
        <v>568</v>
      </c>
      <c r="AG658" s="340">
        <v>0</v>
      </c>
      <c r="AH658" s="340">
        <v>0</v>
      </c>
      <c r="AI658" s="377"/>
      <c r="AK658" s="493">
        <f t="shared" si="111"/>
        <v>11</v>
      </c>
      <c r="AL658" s="493">
        <f t="shared" si="112"/>
        <v>2003</v>
      </c>
      <c r="AM658" s="493">
        <f t="shared" si="113"/>
        <v>2003</v>
      </c>
      <c r="AN658" s="494">
        <f t="shared" si="114"/>
        <v>2003.9166666666667</v>
      </c>
      <c r="AO658" s="505">
        <f t="shared" si="115"/>
        <v>0</v>
      </c>
      <c r="AP658" s="505">
        <f t="shared" si="116"/>
        <v>0</v>
      </c>
      <c r="AQ658" s="505">
        <f t="shared" si="117"/>
        <v>0</v>
      </c>
      <c r="AR658" s="505">
        <f t="shared" si="118"/>
        <v>325000</v>
      </c>
      <c r="AS658" s="505">
        <f t="shared" si="119"/>
        <v>325000</v>
      </c>
      <c r="AT658" s="506">
        <f t="shared" si="120"/>
        <v>0</v>
      </c>
    </row>
    <row r="659" spans="1:47">
      <c r="A659" s="341">
        <v>2112</v>
      </c>
      <c r="B659" s="345">
        <v>20891</v>
      </c>
      <c r="C659" s="341" t="s">
        <v>574</v>
      </c>
      <c r="D659" s="340" t="s">
        <v>644</v>
      </c>
      <c r="E659" s="341">
        <v>250</v>
      </c>
      <c r="F659" s="340"/>
      <c r="G659" s="340"/>
      <c r="H659" s="340">
        <v>0</v>
      </c>
      <c r="I659" s="340" t="s">
        <v>618</v>
      </c>
      <c r="J659" s="340"/>
      <c r="K659" s="340"/>
      <c r="L659" s="344">
        <v>37865</v>
      </c>
      <c r="M659" s="344">
        <v>37865</v>
      </c>
      <c r="N659" s="340" t="s">
        <v>643</v>
      </c>
      <c r="O659" s="341">
        <v>700</v>
      </c>
      <c r="P659" s="341">
        <v>14050</v>
      </c>
      <c r="Q659" s="342">
        <v>11067.75</v>
      </c>
      <c r="R659" s="341">
        <v>14056</v>
      </c>
      <c r="S659" s="342">
        <v>11067.75</v>
      </c>
      <c r="T659" s="342">
        <f t="shared" si="110"/>
        <v>0</v>
      </c>
      <c r="U659" s="343">
        <v>0</v>
      </c>
      <c r="V659" s="341">
        <v>54260</v>
      </c>
      <c r="W659" s="342">
        <v>0</v>
      </c>
      <c r="X659" s="340" t="s">
        <v>574</v>
      </c>
      <c r="Y659" s="340"/>
      <c r="Z659" s="340" t="s">
        <v>641</v>
      </c>
      <c r="AA659" s="340"/>
      <c r="AB659" s="340" t="s">
        <v>571</v>
      </c>
      <c r="AC659" s="340" t="s">
        <v>570</v>
      </c>
      <c r="AD659" s="341" t="s">
        <v>569</v>
      </c>
      <c r="AE659" s="340"/>
      <c r="AF659" s="341" t="s">
        <v>568</v>
      </c>
      <c r="AG659" s="340">
        <v>0</v>
      </c>
      <c r="AH659" s="340">
        <v>0</v>
      </c>
      <c r="AI659" s="377"/>
      <c r="AK659" s="493">
        <f t="shared" si="111"/>
        <v>9</v>
      </c>
      <c r="AL659" s="493">
        <f t="shared" si="112"/>
        <v>2003</v>
      </c>
      <c r="AM659" s="493">
        <f t="shared" si="113"/>
        <v>2010</v>
      </c>
      <c r="AN659" s="494">
        <f t="shared" si="114"/>
        <v>2010.75</v>
      </c>
      <c r="AO659" s="505">
        <f t="shared" si="115"/>
        <v>131.75892857142858</v>
      </c>
      <c r="AP659" s="505">
        <f t="shared" si="116"/>
        <v>1581.1071428571431</v>
      </c>
      <c r="AQ659" s="505">
        <f t="shared" si="117"/>
        <v>0</v>
      </c>
      <c r="AR659" s="505">
        <f t="shared" si="118"/>
        <v>11067.75</v>
      </c>
      <c r="AS659" s="505">
        <f t="shared" si="119"/>
        <v>11067.75</v>
      </c>
      <c r="AT659" s="506">
        <f t="shared" si="120"/>
        <v>0</v>
      </c>
      <c r="AU659" s="293" t="s">
        <v>567</v>
      </c>
    </row>
    <row r="660" spans="1:47">
      <c r="A660" s="341">
        <v>2112</v>
      </c>
      <c r="B660" s="345">
        <v>20890</v>
      </c>
      <c r="C660" s="341" t="s">
        <v>574</v>
      </c>
      <c r="D660" s="340" t="s">
        <v>633</v>
      </c>
      <c r="E660" s="341">
        <v>300</v>
      </c>
      <c r="F660" s="340"/>
      <c r="G660" s="340"/>
      <c r="H660" s="340">
        <v>0</v>
      </c>
      <c r="I660" s="340" t="s">
        <v>618</v>
      </c>
      <c r="J660" s="340"/>
      <c r="K660" s="340"/>
      <c r="L660" s="344">
        <v>37865</v>
      </c>
      <c r="M660" s="344">
        <v>37865</v>
      </c>
      <c r="N660" s="340" t="s">
        <v>642</v>
      </c>
      <c r="O660" s="341">
        <v>700</v>
      </c>
      <c r="P660" s="341">
        <v>14050</v>
      </c>
      <c r="Q660" s="342">
        <v>9509.77</v>
      </c>
      <c r="R660" s="341">
        <v>14056</v>
      </c>
      <c r="S660" s="342">
        <v>9509.77</v>
      </c>
      <c r="T660" s="342">
        <f t="shared" si="110"/>
        <v>0</v>
      </c>
      <c r="U660" s="343">
        <v>0</v>
      </c>
      <c r="V660" s="341">
        <v>54260</v>
      </c>
      <c r="W660" s="342">
        <v>0</v>
      </c>
      <c r="X660" s="340" t="s">
        <v>574</v>
      </c>
      <c r="Y660" s="340"/>
      <c r="Z660" s="340" t="s">
        <v>641</v>
      </c>
      <c r="AA660" s="340"/>
      <c r="AB660" s="340" t="s">
        <v>571</v>
      </c>
      <c r="AC660" s="340" t="s">
        <v>570</v>
      </c>
      <c r="AD660" s="341" t="s">
        <v>569</v>
      </c>
      <c r="AE660" s="340"/>
      <c r="AF660" s="341" t="s">
        <v>568</v>
      </c>
      <c r="AG660" s="340">
        <v>0</v>
      </c>
      <c r="AH660" s="340">
        <v>0</v>
      </c>
      <c r="AI660" s="377"/>
      <c r="AK660" s="493">
        <f t="shared" si="111"/>
        <v>9</v>
      </c>
      <c r="AL660" s="493">
        <f t="shared" si="112"/>
        <v>2003</v>
      </c>
      <c r="AM660" s="493">
        <f t="shared" si="113"/>
        <v>2010</v>
      </c>
      <c r="AN660" s="494">
        <f t="shared" si="114"/>
        <v>2010.75</v>
      </c>
      <c r="AO660" s="505">
        <f t="shared" si="115"/>
        <v>113.21154761904762</v>
      </c>
      <c r="AP660" s="505">
        <f t="shared" si="116"/>
        <v>1358.5385714285715</v>
      </c>
      <c r="AQ660" s="505">
        <f t="shared" si="117"/>
        <v>0</v>
      </c>
      <c r="AR660" s="505">
        <f t="shared" si="118"/>
        <v>9509.77</v>
      </c>
      <c r="AS660" s="505">
        <f t="shared" si="119"/>
        <v>9509.77</v>
      </c>
      <c r="AT660" s="506">
        <f t="shared" si="120"/>
        <v>0</v>
      </c>
    </row>
    <row r="661" spans="1:47">
      <c r="A661" s="341">
        <v>2112</v>
      </c>
      <c r="B661" s="345">
        <v>20887</v>
      </c>
      <c r="C661" s="341" t="s">
        <v>574</v>
      </c>
      <c r="D661" s="340" t="s">
        <v>640</v>
      </c>
      <c r="E661" s="341">
        <v>48</v>
      </c>
      <c r="F661" s="340"/>
      <c r="G661" s="340"/>
      <c r="H661" s="340">
        <v>0</v>
      </c>
      <c r="I661" s="340" t="s">
        <v>639</v>
      </c>
      <c r="J661" s="340"/>
      <c r="K661" s="340" t="s">
        <v>578</v>
      </c>
      <c r="L661" s="344">
        <v>37834</v>
      </c>
      <c r="M661" s="344">
        <v>37834</v>
      </c>
      <c r="N661" s="340" t="s">
        <v>638</v>
      </c>
      <c r="O661" s="341">
        <v>1200</v>
      </c>
      <c r="P661" s="341">
        <v>14050</v>
      </c>
      <c r="Q661" s="342">
        <v>14105.71</v>
      </c>
      <c r="R661" s="341">
        <v>14056</v>
      </c>
      <c r="S661" s="342">
        <v>14105.71</v>
      </c>
      <c r="T661" s="342">
        <f t="shared" ref="T661:T686" si="121">Q661-S661</f>
        <v>0</v>
      </c>
      <c r="U661" s="343">
        <v>0</v>
      </c>
      <c r="V661" s="341">
        <v>54260</v>
      </c>
      <c r="W661" s="342">
        <v>0</v>
      </c>
      <c r="X661" s="340" t="s">
        <v>574</v>
      </c>
      <c r="Y661" s="340"/>
      <c r="Z661" s="340">
        <v>2642</v>
      </c>
      <c r="AA661" s="340"/>
      <c r="AB661" s="340" t="s">
        <v>571</v>
      </c>
      <c r="AC661" s="340" t="s">
        <v>570</v>
      </c>
      <c r="AD661" s="341" t="s">
        <v>569</v>
      </c>
      <c r="AE661" s="340"/>
      <c r="AF661" s="341" t="s">
        <v>568</v>
      </c>
      <c r="AG661" s="340">
        <v>0</v>
      </c>
      <c r="AH661" s="340">
        <v>0</v>
      </c>
      <c r="AI661" s="377"/>
      <c r="AK661" s="493">
        <f t="shared" si="111"/>
        <v>8</v>
      </c>
      <c r="AL661" s="493">
        <f t="shared" si="112"/>
        <v>2003</v>
      </c>
      <c r="AM661" s="493">
        <f t="shared" si="113"/>
        <v>2015</v>
      </c>
      <c r="AN661" s="494">
        <f t="shared" si="114"/>
        <v>2015.6666666666667</v>
      </c>
      <c r="AO661" s="505">
        <f t="shared" si="115"/>
        <v>97.956319444444432</v>
      </c>
      <c r="AP661" s="505">
        <f t="shared" si="116"/>
        <v>1175.4758333333332</v>
      </c>
      <c r="AQ661" s="505">
        <f t="shared" si="117"/>
        <v>0</v>
      </c>
      <c r="AR661" s="505">
        <f t="shared" si="118"/>
        <v>14105.71</v>
      </c>
      <c r="AS661" s="505">
        <f t="shared" si="119"/>
        <v>14105.71</v>
      </c>
      <c r="AT661" s="506">
        <f t="shared" si="120"/>
        <v>0</v>
      </c>
    </row>
    <row r="662" spans="1:47">
      <c r="A662" s="341">
        <v>2112</v>
      </c>
      <c r="B662" s="345">
        <v>20885</v>
      </c>
      <c r="C662" s="341" t="s">
        <v>574</v>
      </c>
      <c r="D662" s="340" t="s">
        <v>637</v>
      </c>
      <c r="E662" s="341">
        <v>2</v>
      </c>
      <c r="F662" s="340"/>
      <c r="G662" s="340"/>
      <c r="H662" s="340">
        <v>0</v>
      </c>
      <c r="I662" s="340" t="s">
        <v>614</v>
      </c>
      <c r="J662" s="340"/>
      <c r="K662" s="340" t="s">
        <v>636</v>
      </c>
      <c r="L662" s="344">
        <v>37834</v>
      </c>
      <c r="M662" s="344">
        <v>37834</v>
      </c>
      <c r="N662" s="340" t="s">
        <v>634</v>
      </c>
      <c r="O662" s="341">
        <v>500</v>
      </c>
      <c r="P662" s="341">
        <v>14050</v>
      </c>
      <c r="Q662" s="342">
        <v>866.19</v>
      </c>
      <c r="R662" s="341">
        <v>14056</v>
      </c>
      <c r="S662" s="342">
        <v>866.19</v>
      </c>
      <c r="T662" s="342">
        <f t="shared" si="121"/>
        <v>0</v>
      </c>
      <c r="U662" s="343">
        <v>0</v>
      </c>
      <c r="V662" s="341">
        <v>54260</v>
      </c>
      <c r="W662" s="342">
        <v>0</v>
      </c>
      <c r="X662" s="340" t="s">
        <v>574</v>
      </c>
      <c r="Y662" s="340"/>
      <c r="Z662" s="340">
        <v>140242</v>
      </c>
      <c r="AA662" s="340"/>
      <c r="AB662" s="340" t="s">
        <v>571</v>
      </c>
      <c r="AC662" s="340" t="s">
        <v>570</v>
      </c>
      <c r="AD662" s="341" t="s">
        <v>569</v>
      </c>
      <c r="AE662" s="340"/>
      <c r="AF662" s="341" t="s">
        <v>568</v>
      </c>
      <c r="AG662" s="340">
        <v>4</v>
      </c>
      <c r="AH662" s="340">
        <v>0</v>
      </c>
      <c r="AI662" s="377"/>
      <c r="AK662" s="493">
        <f t="shared" si="111"/>
        <v>8</v>
      </c>
      <c r="AL662" s="493">
        <f t="shared" si="112"/>
        <v>2003</v>
      </c>
      <c r="AM662" s="493">
        <f t="shared" si="113"/>
        <v>2008</v>
      </c>
      <c r="AN662" s="494">
        <f t="shared" si="114"/>
        <v>2008.6666666666667</v>
      </c>
      <c r="AO662" s="505">
        <f t="shared" si="115"/>
        <v>14.436500000000001</v>
      </c>
      <c r="AP662" s="505">
        <f t="shared" si="116"/>
        <v>173.238</v>
      </c>
      <c r="AQ662" s="505">
        <f t="shared" si="117"/>
        <v>0</v>
      </c>
      <c r="AR662" s="505">
        <f t="shared" si="118"/>
        <v>866.19</v>
      </c>
      <c r="AS662" s="505">
        <f t="shared" si="119"/>
        <v>866.19</v>
      </c>
      <c r="AT662" s="506">
        <f t="shared" si="120"/>
        <v>0</v>
      </c>
    </row>
    <row r="663" spans="1:47">
      <c r="A663" s="341">
        <v>2112</v>
      </c>
      <c r="B663" s="345">
        <v>20628</v>
      </c>
      <c r="C663" s="341" t="s">
        <v>574</v>
      </c>
      <c r="D663" s="340" t="s">
        <v>635</v>
      </c>
      <c r="E663" s="341">
        <v>0</v>
      </c>
      <c r="F663" s="340"/>
      <c r="G663" s="340"/>
      <c r="H663" s="340">
        <v>0</v>
      </c>
      <c r="I663" s="340" t="s">
        <v>614</v>
      </c>
      <c r="J663" s="340"/>
      <c r="K663" s="340" t="s">
        <v>588</v>
      </c>
      <c r="L663" s="344">
        <v>37802</v>
      </c>
      <c r="M663" s="344">
        <v>37802</v>
      </c>
      <c r="N663" s="340" t="s">
        <v>634</v>
      </c>
      <c r="O663" s="341">
        <v>1200</v>
      </c>
      <c r="P663" s="341">
        <v>14050</v>
      </c>
      <c r="Q663" s="342">
        <v>304.64</v>
      </c>
      <c r="R663" s="341">
        <v>14056</v>
      </c>
      <c r="S663" s="342">
        <v>304.64</v>
      </c>
      <c r="T663" s="342">
        <f t="shared" si="121"/>
        <v>0</v>
      </c>
      <c r="U663" s="343">
        <v>0</v>
      </c>
      <c r="V663" s="341">
        <v>54260</v>
      </c>
      <c r="W663" s="342">
        <v>0</v>
      </c>
      <c r="X663" s="340" t="s">
        <v>574</v>
      </c>
      <c r="Y663" s="340"/>
      <c r="Z663" s="340">
        <v>140020</v>
      </c>
      <c r="AA663" s="340"/>
      <c r="AB663" s="340" t="s">
        <v>571</v>
      </c>
      <c r="AC663" s="340" t="s">
        <v>570</v>
      </c>
      <c r="AD663" s="341" t="s">
        <v>569</v>
      </c>
      <c r="AE663" s="340"/>
      <c r="AF663" s="341" t="s">
        <v>568</v>
      </c>
      <c r="AG663" s="340">
        <v>0</v>
      </c>
      <c r="AH663" s="340">
        <v>0</v>
      </c>
      <c r="AI663" s="377"/>
      <c r="AK663" s="493">
        <f t="shared" si="111"/>
        <v>6</v>
      </c>
      <c r="AL663" s="493">
        <f t="shared" si="112"/>
        <v>2003</v>
      </c>
      <c r="AM663" s="493">
        <f t="shared" si="113"/>
        <v>2015</v>
      </c>
      <c r="AN663" s="494">
        <f t="shared" si="114"/>
        <v>2015.5</v>
      </c>
      <c r="AO663" s="505">
        <f t="shared" si="115"/>
        <v>2.1155555555555554</v>
      </c>
      <c r="AP663" s="505">
        <f t="shared" si="116"/>
        <v>25.386666666666663</v>
      </c>
      <c r="AQ663" s="505">
        <f t="shared" si="117"/>
        <v>0</v>
      </c>
      <c r="AR663" s="505">
        <f t="shared" si="118"/>
        <v>304.64</v>
      </c>
      <c r="AS663" s="505">
        <f t="shared" si="119"/>
        <v>304.64</v>
      </c>
      <c r="AT663" s="506">
        <f t="shared" si="120"/>
        <v>0</v>
      </c>
    </row>
    <row r="664" spans="1:47">
      <c r="A664" s="341">
        <v>2112</v>
      </c>
      <c r="B664" s="345">
        <v>19411</v>
      </c>
      <c r="C664" s="341" t="s">
        <v>574</v>
      </c>
      <c r="D664" s="340" t="s">
        <v>633</v>
      </c>
      <c r="E664" s="341">
        <v>125</v>
      </c>
      <c r="F664" s="340"/>
      <c r="G664" s="340"/>
      <c r="H664" s="340">
        <v>0</v>
      </c>
      <c r="I664" s="340" t="s">
        <v>630</v>
      </c>
      <c r="J664" s="340"/>
      <c r="K664" s="340"/>
      <c r="L664" s="344">
        <v>37711</v>
      </c>
      <c r="M664" s="344">
        <v>37711</v>
      </c>
      <c r="N664" s="340" t="s">
        <v>629</v>
      </c>
      <c r="O664" s="341">
        <v>700</v>
      </c>
      <c r="P664" s="341">
        <v>14050</v>
      </c>
      <c r="Q664" s="342">
        <v>3506.75</v>
      </c>
      <c r="R664" s="341">
        <v>14056</v>
      </c>
      <c r="S664" s="342">
        <v>3506.75</v>
      </c>
      <c r="T664" s="342">
        <f t="shared" si="121"/>
        <v>0</v>
      </c>
      <c r="U664" s="343">
        <v>0</v>
      </c>
      <c r="V664" s="341">
        <v>54260</v>
      </c>
      <c r="W664" s="342">
        <v>0</v>
      </c>
      <c r="X664" s="340" t="s">
        <v>574</v>
      </c>
      <c r="Y664" s="340"/>
      <c r="Z664" s="340" t="s">
        <v>632</v>
      </c>
      <c r="AA664" s="340"/>
      <c r="AB664" s="340" t="s">
        <v>571</v>
      </c>
      <c r="AC664" s="340" t="s">
        <v>570</v>
      </c>
      <c r="AD664" s="341" t="s">
        <v>569</v>
      </c>
      <c r="AE664" s="340"/>
      <c r="AF664" s="341" t="s">
        <v>568</v>
      </c>
      <c r="AG664" s="340">
        <v>0</v>
      </c>
      <c r="AH664" s="340">
        <v>0</v>
      </c>
      <c r="AI664" s="377"/>
      <c r="AK664" s="493">
        <f t="shared" si="111"/>
        <v>3</v>
      </c>
      <c r="AL664" s="493">
        <f t="shared" si="112"/>
        <v>2003</v>
      </c>
      <c r="AM664" s="493">
        <f t="shared" si="113"/>
        <v>2010</v>
      </c>
      <c r="AN664" s="494">
        <f t="shared" si="114"/>
        <v>2010.25</v>
      </c>
      <c r="AO664" s="505">
        <f t="shared" si="115"/>
        <v>41.74702380952381</v>
      </c>
      <c r="AP664" s="505">
        <f t="shared" si="116"/>
        <v>500.96428571428572</v>
      </c>
      <c r="AQ664" s="505">
        <f t="shared" si="117"/>
        <v>0</v>
      </c>
      <c r="AR664" s="505">
        <f t="shared" si="118"/>
        <v>3506.75</v>
      </c>
      <c r="AS664" s="505">
        <f t="shared" si="119"/>
        <v>3506.75</v>
      </c>
      <c r="AT664" s="506">
        <f t="shared" si="120"/>
        <v>0</v>
      </c>
    </row>
    <row r="665" spans="1:47">
      <c r="A665" s="341">
        <v>2112</v>
      </c>
      <c r="B665" s="345">
        <v>19410</v>
      </c>
      <c r="C665" s="341" t="s">
        <v>574</v>
      </c>
      <c r="D665" s="340" t="s">
        <v>631</v>
      </c>
      <c r="E665" s="341">
        <v>250</v>
      </c>
      <c r="F665" s="340"/>
      <c r="G665" s="340"/>
      <c r="H665" s="340">
        <v>0</v>
      </c>
      <c r="I665" s="340" t="s">
        <v>630</v>
      </c>
      <c r="J665" s="340"/>
      <c r="K665" s="340"/>
      <c r="L665" s="344">
        <v>37711</v>
      </c>
      <c r="M665" s="344">
        <v>37711</v>
      </c>
      <c r="N665" s="340" t="s">
        <v>629</v>
      </c>
      <c r="O665" s="341">
        <v>700</v>
      </c>
      <c r="P665" s="341">
        <v>14050</v>
      </c>
      <c r="Q665" s="342">
        <v>11615.25</v>
      </c>
      <c r="R665" s="341">
        <v>14056</v>
      </c>
      <c r="S665" s="342">
        <v>11615.25</v>
      </c>
      <c r="T665" s="342">
        <f t="shared" si="121"/>
        <v>0</v>
      </c>
      <c r="U665" s="343">
        <v>0</v>
      </c>
      <c r="V665" s="341">
        <v>54260</v>
      </c>
      <c r="W665" s="342">
        <v>0</v>
      </c>
      <c r="X665" s="340" t="s">
        <v>574</v>
      </c>
      <c r="Y665" s="340"/>
      <c r="Z665" s="340" t="s">
        <v>628</v>
      </c>
      <c r="AA665" s="340"/>
      <c r="AB665" s="340" t="s">
        <v>571</v>
      </c>
      <c r="AC665" s="340" t="s">
        <v>570</v>
      </c>
      <c r="AD665" s="341" t="s">
        <v>569</v>
      </c>
      <c r="AE665" s="340"/>
      <c r="AF665" s="341" t="s">
        <v>568</v>
      </c>
      <c r="AG665" s="340">
        <v>0</v>
      </c>
      <c r="AH665" s="340">
        <v>0</v>
      </c>
      <c r="AI665" s="377"/>
      <c r="AK665" s="493">
        <f t="shared" si="111"/>
        <v>3</v>
      </c>
      <c r="AL665" s="493">
        <f t="shared" si="112"/>
        <v>2003</v>
      </c>
      <c r="AM665" s="493">
        <f t="shared" si="113"/>
        <v>2010</v>
      </c>
      <c r="AN665" s="494">
        <f t="shared" si="114"/>
        <v>2010.25</v>
      </c>
      <c r="AO665" s="505">
        <f t="shared" si="115"/>
        <v>138.27678571428572</v>
      </c>
      <c r="AP665" s="505">
        <f t="shared" si="116"/>
        <v>1659.3214285714287</v>
      </c>
      <c r="AQ665" s="505">
        <f t="shared" si="117"/>
        <v>0</v>
      </c>
      <c r="AR665" s="505">
        <f t="shared" si="118"/>
        <v>11615.25</v>
      </c>
      <c r="AS665" s="505">
        <f t="shared" si="119"/>
        <v>11615.25</v>
      </c>
      <c r="AT665" s="506">
        <f t="shared" si="120"/>
        <v>0</v>
      </c>
    </row>
    <row r="666" spans="1:47">
      <c r="A666" s="341">
        <v>2112</v>
      </c>
      <c r="B666" s="345">
        <v>16548</v>
      </c>
      <c r="C666" s="341" t="s">
        <v>574</v>
      </c>
      <c r="D666" s="340" t="s">
        <v>627</v>
      </c>
      <c r="E666" s="341">
        <v>100</v>
      </c>
      <c r="F666" s="340" t="s">
        <v>626</v>
      </c>
      <c r="G666" s="340"/>
      <c r="H666" s="340">
        <v>0</v>
      </c>
      <c r="I666" s="340" t="s">
        <v>618</v>
      </c>
      <c r="J666" s="340"/>
      <c r="K666" s="340"/>
      <c r="L666" s="344">
        <v>37466</v>
      </c>
      <c r="M666" s="344">
        <v>37466</v>
      </c>
      <c r="N666" s="340" t="s">
        <v>625</v>
      </c>
      <c r="O666" s="341">
        <v>700</v>
      </c>
      <c r="P666" s="341">
        <v>14050</v>
      </c>
      <c r="Q666" s="342">
        <v>5130.3999999999996</v>
      </c>
      <c r="R666" s="341">
        <v>14056</v>
      </c>
      <c r="S666" s="342">
        <v>5130.3999999999996</v>
      </c>
      <c r="T666" s="342">
        <f t="shared" si="121"/>
        <v>0</v>
      </c>
      <c r="U666" s="343">
        <v>0</v>
      </c>
      <c r="V666" s="341">
        <v>54260</v>
      </c>
      <c r="W666" s="342">
        <v>0</v>
      </c>
      <c r="X666" s="340" t="s">
        <v>574</v>
      </c>
      <c r="Y666" s="340"/>
      <c r="Z666" s="340">
        <v>51809</v>
      </c>
      <c r="AA666" s="340"/>
      <c r="AB666" s="340" t="s">
        <v>571</v>
      </c>
      <c r="AC666" s="340" t="s">
        <v>570</v>
      </c>
      <c r="AD666" s="341" t="s">
        <v>569</v>
      </c>
      <c r="AE666" s="340"/>
      <c r="AF666" s="341" t="s">
        <v>568</v>
      </c>
      <c r="AG666" s="340">
        <v>0</v>
      </c>
      <c r="AH666" s="340">
        <v>0</v>
      </c>
      <c r="AI666" s="377"/>
      <c r="AK666" s="493">
        <f t="shared" si="111"/>
        <v>7</v>
      </c>
      <c r="AL666" s="493">
        <f t="shared" si="112"/>
        <v>2002</v>
      </c>
      <c r="AM666" s="493">
        <f t="shared" si="113"/>
        <v>2009</v>
      </c>
      <c r="AN666" s="494">
        <f t="shared" si="114"/>
        <v>2009.5833333333333</v>
      </c>
      <c r="AO666" s="505">
        <f t="shared" si="115"/>
        <v>61.076190476190476</v>
      </c>
      <c r="AP666" s="505">
        <f t="shared" si="116"/>
        <v>732.91428571428571</v>
      </c>
      <c r="AQ666" s="505">
        <f t="shared" si="117"/>
        <v>0</v>
      </c>
      <c r="AR666" s="505">
        <f t="shared" si="118"/>
        <v>5130.3999999999996</v>
      </c>
      <c r="AS666" s="505">
        <f t="shared" si="119"/>
        <v>5130.3999999999996</v>
      </c>
      <c r="AT666" s="506">
        <f t="shared" si="120"/>
        <v>0</v>
      </c>
    </row>
    <row r="667" spans="1:47">
      <c r="A667" s="341">
        <v>2112</v>
      </c>
      <c r="B667" s="345">
        <v>16090</v>
      </c>
      <c r="C667" s="341" t="s">
        <v>574</v>
      </c>
      <c r="D667" s="340" t="s">
        <v>624</v>
      </c>
      <c r="E667" s="341">
        <v>20</v>
      </c>
      <c r="F667" s="340" t="s">
        <v>623</v>
      </c>
      <c r="G667" s="340"/>
      <c r="H667" s="340">
        <v>0</v>
      </c>
      <c r="I667" s="340" t="s">
        <v>622</v>
      </c>
      <c r="J667" s="340"/>
      <c r="K667" s="340" t="s">
        <v>578</v>
      </c>
      <c r="L667" s="344">
        <v>37406</v>
      </c>
      <c r="M667" s="344">
        <v>37406</v>
      </c>
      <c r="N667" s="340" t="s">
        <v>621</v>
      </c>
      <c r="O667" s="341">
        <v>1200</v>
      </c>
      <c r="P667" s="341">
        <v>14050</v>
      </c>
      <c r="Q667" s="342">
        <v>6451.1</v>
      </c>
      <c r="R667" s="341">
        <v>14056</v>
      </c>
      <c r="S667" s="342">
        <v>6451.1</v>
      </c>
      <c r="T667" s="342">
        <f t="shared" si="121"/>
        <v>0</v>
      </c>
      <c r="U667" s="343">
        <v>0</v>
      </c>
      <c r="V667" s="341">
        <v>54260</v>
      </c>
      <c r="W667" s="342">
        <v>0</v>
      </c>
      <c r="X667" s="340" t="s">
        <v>574</v>
      </c>
      <c r="Y667" s="340"/>
      <c r="Z667" s="340">
        <v>39087</v>
      </c>
      <c r="AA667" s="340"/>
      <c r="AB667" s="340" t="s">
        <v>571</v>
      </c>
      <c r="AC667" s="340" t="s">
        <v>570</v>
      </c>
      <c r="AD667" s="341" t="s">
        <v>569</v>
      </c>
      <c r="AE667" s="340"/>
      <c r="AF667" s="341" t="s">
        <v>568</v>
      </c>
      <c r="AG667" s="340">
        <v>0</v>
      </c>
      <c r="AH667" s="340">
        <v>0</v>
      </c>
      <c r="AI667" s="377"/>
      <c r="AK667" s="493">
        <f t="shared" si="111"/>
        <v>5</v>
      </c>
      <c r="AL667" s="493">
        <f t="shared" si="112"/>
        <v>2002</v>
      </c>
      <c r="AM667" s="493">
        <f t="shared" si="113"/>
        <v>2014</v>
      </c>
      <c r="AN667" s="494">
        <f t="shared" si="114"/>
        <v>2014.4166666666667</v>
      </c>
      <c r="AO667" s="505">
        <f t="shared" si="115"/>
        <v>44.799305555555556</v>
      </c>
      <c r="AP667" s="505">
        <f t="shared" si="116"/>
        <v>537.5916666666667</v>
      </c>
      <c r="AQ667" s="505">
        <f t="shared" si="117"/>
        <v>0</v>
      </c>
      <c r="AR667" s="505">
        <f t="shared" si="118"/>
        <v>6451.1</v>
      </c>
      <c r="AS667" s="505">
        <f t="shared" si="119"/>
        <v>6451.1</v>
      </c>
      <c r="AT667" s="506">
        <f t="shared" si="120"/>
        <v>0</v>
      </c>
    </row>
    <row r="668" spans="1:47">
      <c r="A668" s="341">
        <v>2112</v>
      </c>
      <c r="B668" s="345">
        <v>16087</v>
      </c>
      <c r="C668" s="341" t="s">
        <v>574</v>
      </c>
      <c r="D668" s="340" t="s">
        <v>620</v>
      </c>
      <c r="E668" s="341">
        <v>225</v>
      </c>
      <c r="F668" s="340" t="s">
        <v>619</v>
      </c>
      <c r="G668" s="340"/>
      <c r="H668" s="340">
        <v>0</v>
      </c>
      <c r="I668" s="340" t="s">
        <v>618</v>
      </c>
      <c r="J668" s="340"/>
      <c r="K668" s="340"/>
      <c r="L668" s="344">
        <v>37466</v>
      </c>
      <c r="M668" s="344">
        <v>37466</v>
      </c>
      <c r="N668" s="340" t="s">
        <v>617</v>
      </c>
      <c r="O668" s="341">
        <v>700</v>
      </c>
      <c r="P668" s="341">
        <v>14050</v>
      </c>
      <c r="Q668" s="342">
        <v>9974.92</v>
      </c>
      <c r="R668" s="341">
        <v>14056</v>
      </c>
      <c r="S668" s="342">
        <v>9974.92</v>
      </c>
      <c r="T668" s="342">
        <f t="shared" si="121"/>
        <v>0</v>
      </c>
      <c r="U668" s="343">
        <v>0</v>
      </c>
      <c r="V668" s="341">
        <v>54260</v>
      </c>
      <c r="W668" s="342">
        <v>0</v>
      </c>
      <c r="X668" s="340" t="s">
        <v>574</v>
      </c>
      <c r="Y668" s="340"/>
      <c r="Z668" s="340" t="s">
        <v>616</v>
      </c>
      <c r="AA668" s="340"/>
      <c r="AB668" s="340" t="s">
        <v>571</v>
      </c>
      <c r="AC668" s="340" t="s">
        <v>570</v>
      </c>
      <c r="AD668" s="341" t="s">
        <v>569</v>
      </c>
      <c r="AE668" s="340"/>
      <c r="AF668" s="341" t="s">
        <v>568</v>
      </c>
      <c r="AG668" s="340">
        <v>0</v>
      </c>
      <c r="AH668" s="340">
        <v>0</v>
      </c>
      <c r="AI668" s="377"/>
      <c r="AK668" s="493">
        <f t="shared" si="111"/>
        <v>7</v>
      </c>
      <c r="AL668" s="493">
        <f t="shared" si="112"/>
        <v>2002</v>
      </c>
      <c r="AM668" s="493">
        <f t="shared" si="113"/>
        <v>2009</v>
      </c>
      <c r="AN668" s="494">
        <f t="shared" si="114"/>
        <v>2009.5833333333333</v>
      </c>
      <c r="AO668" s="505">
        <f t="shared" si="115"/>
        <v>118.74904761904763</v>
      </c>
      <c r="AP668" s="505">
        <f t="shared" si="116"/>
        <v>1424.9885714285715</v>
      </c>
      <c r="AQ668" s="505">
        <f t="shared" si="117"/>
        <v>0</v>
      </c>
      <c r="AR668" s="505">
        <f t="shared" si="118"/>
        <v>9974.92</v>
      </c>
      <c r="AS668" s="505">
        <f t="shared" si="119"/>
        <v>9974.92</v>
      </c>
      <c r="AT668" s="506">
        <f t="shared" si="120"/>
        <v>0</v>
      </c>
    </row>
    <row r="669" spans="1:47">
      <c r="A669" s="341">
        <v>2112</v>
      </c>
      <c r="B669" s="345">
        <v>11283</v>
      </c>
      <c r="C669" s="341" t="s">
        <v>574</v>
      </c>
      <c r="D669" s="340" t="s">
        <v>615</v>
      </c>
      <c r="E669" s="341">
        <v>17</v>
      </c>
      <c r="F669" s="340"/>
      <c r="G669" s="340"/>
      <c r="H669" s="340">
        <v>0</v>
      </c>
      <c r="I669" s="340" t="s">
        <v>614</v>
      </c>
      <c r="J669" s="340"/>
      <c r="K669" s="340" t="s">
        <v>578</v>
      </c>
      <c r="L669" s="344">
        <v>37085</v>
      </c>
      <c r="M669" s="344">
        <v>37085</v>
      </c>
      <c r="N669" s="340" t="s">
        <v>613</v>
      </c>
      <c r="O669" s="341">
        <v>1200</v>
      </c>
      <c r="P669" s="341">
        <v>14050</v>
      </c>
      <c r="Q669" s="342">
        <v>3713.42</v>
      </c>
      <c r="R669" s="341">
        <v>14056</v>
      </c>
      <c r="S669" s="342">
        <v>3713.42</v>
      </c>
      <c r="T669" s="342">
        <f t="shared" si="121"/>
        <v>0</v>
      </c>
      <c r="U669" s="343">
        <v>0</v>
      </c>
      <c r="V669" s="341">
        <v>54260</v>
      </c>
      <c r="W669" s="342">
        <v>0</v>
      </c>
      <c r="X669" s="340" t="s">
        <v>574</v>
      </c>
      <c r="Y669" s="340"/>
      <c r="Z669" s="340">
        <v>123497</v>
      </c>
      <c r="AA669" s="340"/>
      <c r="AB669" s="340" t="s">
        <v>571</v>
      </c>
      <c r="AC669" s="340" t="s">
        <v>570</v>
      </c>
      <c r="AD669" s="341" t="s">
        <v>569</v>
      </c>
      <c r="AE669" s="340"/>
      <c r="AF669" s="341" t="s">
        <v>568</v>
      </c>
      <c r="AG669" s="340">
        <v>2</v>
      </c>
      <c r="AH669" s="340">
        <v>0</v>
      </c>
      <c r="AI669" s="377"/>
      <c r="AK669" s="493">
        <f t="shared" si="111"/>
        <v>7</v>
      </c>
      <c r="AL669" s="493">
        <f t="shared" si="112"/>
        <v>2001</v>
      </c>
      <c r="AM669" s="493">
        <f t="shared" si="113"/>
        <v>2013</v>
      </c>
      <c r="AN669" s="494">
        <f t="shared" si="114"/>
        <v>2013.5833333333333</v>
      </c>
      <c r="AO669" s="505">
        <f t="shared" si="115"/>
        <v>25.787638888888889</v>
      </c>
      <c r="AP669" s="505">
        <f t="shared" si="116"/>
        <v>309.45166666666665</v>
      </c>
      <c r="AQ669" s="505">
        <f t="shared" si="117"/>
        <v>0</v>
      </c>
      <c r="AR669" s="505">
        <f t="shared" si="118"/>
        <v>3713.42</v>
      </c>
      <c r="AS669" s="505">
        <f t="shared" si="119"/>
        <v>3713.42</v>
      </c>
      <c r="AT669" s="506">
        <f t="shared" si="120"/>
        <v>0</v>
      </c>
    </row>
    <row r="670" spans="1:47">
      <c r="A670" s="341">
        <v>2112</v>
      </c>
      <c r="B670" s="345">
        <v>11281</v>
      </c>
      <c r="C670" s="341" t="s">
        <v>574</v>
      </c>
      <c r="D670" s="340" t="s">
        <v>612</v>
      </c>
      <c r="E670" s="341">
        <v>0</v>
      </c>
      <c r="F670" s="340" t="s">
        <v>608</v>
      </c>
      <c r="G670" s="340"/>
      <c r="H670" s="340">
        <v>0</v>
      </c>
      <c r="I670" s="340" t="s">
        <v>611</v>
      </c>
      <c r="J670" s="340"/>
      <c r="K670" s="340" t="s">
        <v>588</v>
      </c>
      <c r="L670" s="344">
        <v>37060</v>
      </c>
      <c r="M670" s="344">
        <v>37060</v>
      </c>
      <c r="N670" s="340" t="s">
        <v>606</v>
      </c>
      <c r="O670" s="341">
        <v>700</v>
      </c>
      <c r="P670" s="341">
        <v>14050</v>
      </c>
      <c r="Q670" s="342">
        <v>442.68</v>
      </c>
      <c r="R670" s="341">
        <v>14056</v>
      </c>
      <c r="S670" s="342">
        <v>442.68</v>
      </c>
      <c r="T670" s="342">
        <f t="shared" si="121"/>
        <v>0</v>
      </c>
      <c r="U670" s="343">
        <v>0</v>
      </c>
      <c r="V670" s="341">
        <v>54260</v>
      </c>
      <c r="W670" s="342">
        <v>0</v>
      </c>
      <c r="X670" s="340" t="s">
        <v>574</v>
      </c>
      <c r="Y670" s="340"/>
      <c r="Z670" s="340" t="s">
        <v>610</v>
      </c>
      <c r="AA670" s="340"/>
      <c r="AB670" s="340" t="s">
        <v>571</v>
      </c>
      <c r="AC670" s="340" t="s">
        <v>570</v>
      </c>
      <c r="AD670" s="341" t="s">
        <v>569</v>
      </c>
      <c r="AE670" s="340"/>
      <c r="AF670" s="341" t="s">
        <v>568</v>
      </c>
      <c r="AG670" s="340">
        <v>0</v>
      </c>
      <c r="AH670" s="340">
        <v>0</v>
      </c>
      <c r="AI670" s="377"/>
      <c r="AK670" s="493">
        <f t="shared" si="111"/>
        <v>6</v>
      </c>
      <c r="AL670" s="493">
        <f t="shared" si="112"/>
        <v>2001</v>
      </c>
      <c r="AM670" s="493">
        <f t="shared" si="113"/>
        <v>2008</v>
      </c>
      <c r="AN670" s="494">
        <f t="shared" si="114"/>
        <v>2008.5</v>
      </c>
      <c r="AO670" s="505">
        <f t="shared" si="115"/>
        <v>5.2700000000000005</v>
      </c>
      <c r="AP670" s="505">
        <f t="shared" si="116"/>
        <v>63.240000000000009</v>
      </c>
      <c r="AQ670" s="505">
        <f t="shared" si="117"/>
        <v>0</v>
      </c>
      <c r="AR670" s="505">
        <f t="shared" si="118"/>
        <v>442.68</v>
      </c>
      <c r="AS670" s="505">
        <f t="shared" si="119"/>
        <v>442.68</v>
      </c>
      <c r="AT670" s="506">
        <f t="shared" si="120"/>
        <v>0</v>
      </c>
    </row>
    <row r="671" spans="1:47">
      <c r="A671" s="341">
        <v>2112</v>
      </c>
      <c r="B671" s="345">
        <v>11018</v>
      </c>
      <c r="C671" s="341" t="s">
        <v>574</v>
      </c>
      <c r="D671" s="340" t="s">
        <v>609</v>
      </c>
      <c r="E671" s="341">
        <v>90</v>
      </c>
      <c r="F671" s="340" t="s">
        <v>608</v>
      </c>
      <c r="G671" s="340"/>
      <c r="H671" s="340">
        <v>0</v>
      </c>
      <c r="I671" s="340" t="s">
        <v>607</v>
      </c>
      <c r="J671" s="340"/>
      <c r="K671" s="340"/>
      <c r="L671" s="344">
        <v>37060</v>
      </c>
      <c r="M671" s="344">
        <v>37060</v>
      </c>
      <c r="N671" s="340" t="s">
        <v>606</v>
      </c>
      <c r="O671" s="341">
        <v>700</v>
      </c>
      <c r="P671" s="341">
        <v>14050</v>
      </c>
      <c r="Q671" s="342">
        <v>3564.23</v>
      </c>
      <c r="R671" s="341">
        <v>14056</v>
      </c>
      <c r="S671" s="342">
        <v>3564.23</v>
      </c>
      <c r="T671" s="342">
        <f t="shared" si="121"/>
        <v>0</v>
      </c>
      <c r="U671" s="343">
        <v>0</v>
      </c>
      <c r="V671" s="341">
        <v>54260</v>
      </c>
      <c r="W671" s="342">
        <v>0</v>
      </c>
      <c r="X671" s="340" t="s">
        <v>574</v>
      </c>
      <c r="Y671" s="340"/>
      <c r="Z671" s="340" t="s">
        <v>605</v>
      </c>
      <c r="AA671" s="340"/>
      <c r="AB671" s="340" t="s">
        <v>571</v>
      </c>
      <c r="AC671" s="340" t="s">
        <v>570</v>
      </c>
      <c r="AD671" s="341" t="s">
        <v>569</v>
      </c>
      <c r="AE671" s="340"/>
      <c r="AF671" s="341" t="s">
        <v>568</v>
      </c>
      <c r="AG671" s="340">
        <v>0</v>
      </c>
      <c r="AH671" s="340">
        <v>0</v>
      </c>
      <c r="AI671" s="377"/>
      <c r="AK671" s="493">
        <f t="shared" si="111"/>
        <v>6</v>
      </c>
      <c r="AL671" s="493">
        <f t="shared" si="112"/>
        <v>2001</v>
      </c>
      <c r="AM671" s="493">
        <f t="shared" si="113"/>
        <v>2008</v>
      </c>
      <c r="AN671" s="494">
        <f t="shared" si="114"/>
        <v>2008.5</v>
      </c>
      <c r="AO671" s="505">
        <f t="shared" si="115"/>
        <v>42.431309523809524</v>
      </c>
      <c r="AP671" s="505">
        <f t="shared" si="116"/>
        <v>509.17571428571432</v>
      </c>
      <c r="AQ671" s="505">
        <f t="shared" si="117"/>
        <v>0</v>
      </c>
      <c r="AR671" s="505">
        <f t="shared" si="118"/>
        <v>3564.23</v>
      </c>
      <c r="AS671" s="505">
        <f t="shared" si="119"/>
        <v>3564.23</v>
      </c>
      <c r="AT671" s="506">
        <f t="shared" si="120"/>
        <v>0</v>
      </c>
    </row>
    <row r="672" spans="1:47">
      <c r="A672" s="341">
        <v>2112</v>
      </c>
      <c r="B672" s="345">
        <v>8140</v>
      </c>
      <c r="C672" s="341" t="s">
        <v>574</v>
      </c>
      <c r="D672" s="340" t="s">
        <v>604</v>
      </c>
      <c r="E672" s="341">
        <v>15</v>
      </c>
      <c r="F672" s="340" t="s">
        <v>603</v>
      </c>
      <c r="G672" s="340"/>
      <c r="H672" s="340">
        <v>0</v>
      </c>
      <c r="I672" s="340" t="s">
        <v>602</v>
      </c>
      <c r="J672" s="340"/>
      <c r="K672" s="340" t="s">
        <v>578</v>
      </c>
      <c r="L672" s="344">
        <v>36676</v>
      </c>
      <c r="M672" s="344">
        <v>36676</v>
      </c>
      <c r="N672" s="340" t="s">
        <v>601</v>
      </c>
      <c r="O672" s="341">
        <v>1000</v>
      </c>
      <c r="P672" s="341">
        <v>14050</v>
      </c>
      <c r="Q672" s="342">
        <v>4786.29</v>
      </c>
      <c r="R672" s="341">
        <v>14056</v>
      </c>
      <c r="S672" s="342">
        <v>4786.29</v>
      </c>
      <c r="T672" s="342">
        <f t="shared" si="121"/>
        <v>0</v>
      </c>
      <c r="U672" s="343">
        <v>0</v>
      </c>
      <c r="V672" s="341">
        <v>54260</v>
      </c>
      <c r="W672" s="342">
        <v>0</v>
      </c>
      <c r="X672" s="340" t="s">
        <v>574</v>
      </c>
      <c r="Y672" s="340"/>
      <c r="Z672" s="340"/>
      <c r="AA672" s="340"/>
      <c r="AB672" s="340" t="s">
        <v>571</v>
      </c>
      <c r="AC672" s="340" t="s">
        <v>570</v>
      </c>
      <c r="AD672" s="341" t="s">
        <v>569</v>
      </c>
      <c r="AE672" s="340"/>
      <c r="AF672" s="341" t="s">
        <v>568</v>
      </c>
      <c r="AG672" s="340">
        <v>0</v>
      </c>
      <c r="AH672" s="340">
        <v>0</v>
      </c>
      <c r="AI672" s="377"/>
      <c r="AK672" s="493">
        <f t="shared" si="111"/>
        <v>5</v>
      </c>
      <c r="AL672" s="493">
        <f t="shared" si="112"/>
        <v>2000</v>
      </c>
      <c r="AM672" s="493">
        <f t="shared" si="113"/>
        <v>2010</v>
      </c>
      <c r="AN672" s="494">
        <f t="shared" si="114"/>
        <v>2010.4166666666667</v>
      </c>
      <c r="AO672" s="505">
        <f t="shared" si="115"/>
        <v>39.885750000000002</v>
      </c>
      <c r="AP672" s="505">
        <f t="shared" si="116"/>
        <v>478.62900000000002</v>
      </c>
      <c r="AQ672" s="505">
        <f t="shared" si="117"/>
        <v>0</v>
      </c>
      <c r="AR672" s="505">
        <f t="shared" si="118"/>
        <v>4786.29</v>
      </c>
      <c r="AS672" s="505">
        <f t="shared" si="119"/>
        <v>4786.29</v>
      </c>
      <c r="AT672" s="506">
        <f t="shared" si="120"/>
        <v>0</v>
      </c>
    </row>
    <row r="673" spans="1:46">
      <c r="A673" s="341">
        <v>2112</v>
      </c>
      <c r="B673" s="345">
        <v>6916</v>
      </c>
      <c r="C673" s="341"/>
      <c r="D673" s="340" t="s">
        <v>600</v>
      </c>
      <c r="E673" s="341">
        <v>0</v>
      </c>
      <c r="F673" s="340"/>
      <c r="G673" s="340"/>
      <c r="H673" s="340">
        <v>0</v>
      </c>
      <c r="I673" s="340"/>
      <c r="J673" s="340"/>
      <c r="K673" s="340"/>
      <c r="L673" s="344">
        <v>35765</v>
      </c>
      <c r="M673" s="344">
        <v>35765</v>
      </c>
      <c r="N673" s="340"/>
      <c r="O673" s="341">
        <v>700</v>
      </c>
      <c r="P673" s="341">
        <v>15260</v>
      </c>
      <c r="Q673" s="342">
        <v>1400000</v>
      </c>
      <c r="R673" s="341">
        <v>15266</v>
      </c>
      <c r="S673" s="342">
        <v>177916.67</v>
      </c>
      <c r="T673" s="342">
        <f t="shared" si="121"/>
        <v>1222083.33</v>
      </c>
      <c r="U673" s="343">
        <v>0</v>
      </c>
      <c r="V673" s="341">
        <v>70264</v>
      </c>
      <c r="W673" s="342">
        <v>0</v>
      </c>
      <c r="X673" s="340" t="s">
        <v>570</v>
      </c>
      <c r="Y673" s="340" t="s">
        <v>178</v>
      </c>
      <c r="Z673" s="340"/>
      <c r="AA673" s="340"/>
      <c r="AB673" s="340" t="s">
        <v>571</v>
      </c>
      <c r="AC673" s="340" t="s">
        <v>570</v>
      </c>
      <c r="AD673" s="341" t="s">
        <v>599</v>
      </c>
      <c r="AE673" s="346">
        <v>37621</v>
      </c>
      <c r="AF673" s="341" t="s">
        <v>568</v>
      </c>
      <c r="AG673" s="340">
        <v>0</v>
      </c>
      <c r="AH673" s="340">
        <v>177916.67</v>
      </c>
      <c r="AI673" s="377"/>
      <c r="AK673" s="493">
        <f t="shared" si="111"/>
        <v>12</v>
      </c>
      <c r="AL673" s="493">
        <f t="shared" si="112"/>
        <v>1997</v>
      </c>
      <c r="AM673" s="493">
        <f t="shared" si="113"/>
        <v>2004</v>
      </c>
      <c r="AN673" s="494">
        <f t="shared" si="114"/>
        <v>2005</v>
      </c>
      <c r="AO673" s="505">
        <f t="shared" si="115"/>
        <v>16666.666666666668</v>
      </c>
      <c r="AP673" s="505">
        <f t="shared" si="116"/>
        <v>200000</v>
      </c>
      <c r="AQ673" s="505">
        <f t="shared" si="117"/>
        <v>0</v>
      </c>
      <c r="AR673" s="505">
        <f t="shared" si="118"/>
        <v>1400000</v>
      </c>
      <c r="AS673" s="505">
        <f t="shared" si="119"/>
        <v>1400000</v>
      </c>
      <c r="AT673" s="506">
        <f t="shared" si="120"/>
        <v>0</v>
      </c>
    </row>
    <row r="674" spans="1:46">
      <c r="A674" s="341">
        <v>2112</v>
      </c>
      <c r="B674" s="345">
        <v>6915</v>
      </c>
      <c r="C674" s="341"/>
      <c r="D674" s="340" t="s">
        <v>598</v>
      </c>
      <c r="E674" s="341">
        <v>0</v>
      </c>
      <c r="F674" s="340"/>
      <c r="G674" s="340"/>
      <c r="H674" s="340">
        <v>0</v>
      </c>
      <c r="I674" s="340"/>
      <c r="J674" s="340"/>
      <c r="K674" s="340"/>
      <c r="L674" s="344">
        <v>35765</v>
      </c>
      <c r="M674" s="344">
        <v>35765</v>
      </c>
      <c r="N674" s="340"/>
      <c r="O674" s="341">
        <v>500</v>
      </c>
      <c r="P674" s="341">
        <v>15210</v>
      </c>
      <c r="Q674" s="342">
        <v>40000</v>
      </c>
      <c r="R674" s="341">
        <v>15216</v>
      </c>
      <c r="S674" s="342">
        <v>40000</v>
      </c>
      <c r="T674" s="342">
        <f t="shared" si="121"/>
        <v>0</v>
      </c>
      <c r="U674" s="343">
        <v>0</v>
      </c>
      <c r="V674" s="341">
        <v>70266</v>
      </c>
      <c r="W674" s="342">
        <v>0</v>
      </c>
      <c r="X674" s="340" t="s">
        <v>570</v>
      </c>
      <c r="Y674" s="340" t="s">
        <v>178</v>
      </c>
      <c r="Z674" s="340"/>
      <c r="AA674" s="340"/>
      <c r="AB674" s="340" t="s">
        <v>571</v>
      </c>
      <c r="AC674" s="340" t="s">
        <v>570</v>
      </c>
      <c r="AD674" s="341" t="s">
        <v>569</v>
      </c>
      <c r="AE674" s="340"/>
      <c r="AF674" s="341" t="s">
        <v>568</v>
      </c>
      <c r="AG674" s="340">
        <v>0</v>
      </c>
      <c r="AH674" s="340">
        <v>0</v>
      </c>
      <c r="AI674" s="377"/>
      <c r="AK674" s="493">
        <f t="shared" si="111"/>
        <v>12</v>
      </c>
      <c r="AL674" s="493">
        <f t="shared" si="112"/>
        <v>1997</v>
      </c>
      <c r="AM674" s="493">
        <f t="shared" si="113"/>
        <v>2002</v>
      </c>
      <c r="AN674" s="494">
        <f t="shared" si="114"/>
        <v>2003</v>
      </c>
      <c r="AO674" s="505">
        <f t="shared" si="115"/>
        <v>666.66666666666663</v>
      </c>
      <c r="AP674" s="505">
        <f t="shared" si="116"/>
        <v>8000</v>
      </c>
      <c r="AQ674" s="505">
        <f t="shared" si="117"/>
        <v>0</v>
      </c>
      <c r="AR674" s="505">
        <f t="shared" si="118"/>
        <v>40000</v>
      </c>
      <c r="AS674" s="505">
        <f t="shared" si="119"/>
        <v>40000</v>
      </c>
      <c r="AT674" s="506">
        <f t="shared" si="120"/>
        <v>0</v>
      </c>
    </row>
    <row r="675" spans="1:46">
      <c r="A675" s="341">
        <v>2112</v>
      </c>
      <c r="B675" s="345">
        <v>6914</v>
      </c>
      <c r="C675" s="341"/>
      <c r="D675" s="340" t="s">
        <v>597</v>
      </c>
      <c r="E675" s="341">
        <v>0</v>
      </c>
      <c r="F675" s="340"/>
      <c r="G675" s="340"/>
      <c r="H675" s="340">
        <v>0</v>
      </c>
      <c r="I675" s="340"/>
      <c r="J675" s="340"/>
      <c r="K675" s="340"/>
      <c r="L675" s="344">
        <v>35765</v>
      </c>
      <c r="M675" s="344">
        <v>35765</v>
      </c>
      <c r="N675" s="340"/>
      <c r="O675" s="341">
        <v>0</v>
      </c>
      <c r="P675" s="341">
        <v>15110</v>
      </c>
      <c r="Q675" s="342">
        <v>25000</v>
      </c>
      <c r="R675" s="341">
        <v>15120</v>
      </c>
      <c r="S675" s="342">
        <v>2552.08</v>
      </c>
      <c r="T675" s="342">
        <f t="shared" si="121"/>
        <v>22447.919999999998</v>
      </c>
      <c r="U675" s="343">
        <v>0</v>
      </c>
      <c r="V675" s="341">
        <v>70264</v>
      </c>
      <c r="W675" s="342">
        <v>0</v>
      </c>
      <c r="X675" s="340" t="s">
        <v>570</v>
      </c>
      <c r="Y675" s="340" t="s">
        <v>178</v>
      </c>
      <c r="Z675" s="340"/>
      <c r="AA675" s="340"/>
      <c r="AB675" s="340" t="s">
        <v>571</v>
      </c>
      <c r="AC675" s="340" t="s">
        <v>570</v>
      </c>
      <c r="AD675" s="341" t="s">
        <v>596</v>
      </c>
      <c r="AE675" s="346">
        <v>37256</v>
      </c>
      <c r="AF675" s="341" t="s">
        <v>568</v>
      </c>
      <c r="AG675" s="340">
        <v>0</v>
      </c>
      <c r="AH675" s="340">
        <v>2552.08</v>
      </c>
      <c r="AI675" s="377"/>
      <c r="AK675" s="493">
        <f t="shared" si="111"/>
        <v>12</v>
      </c>
      <c r="AL675" s="493">
        <f t="shared" si="112"/>
        <v>1997</v>
      </c>
      <c r="AM675" s="493">
        <f t="shared" si="113"/>
        <v>1997</v>
      </c>
      <c r="AN675" s="494">
        <f t="shared" si="114"/>
        <v>1998</v>
      </c>
      <c r="AO675" s="505">
        <f t="shared" si="115"/>
        <v>0</v>
      </c>
      <c r="AP675" s="505">
        <f t="shared" si="116"/>
        <v>0</v>
      </c>
      <c r="AQ675" s="505">
        <f t="shared" si="117"/>
        <v>0</v>
      </c>
      <c r="AR675" s="505">
        <f t="shared" si="118"/>
        <v>25000</v>
      </c>
      <c r="AS675" s="505">
        <f t="shared" si="119"/>
        <v>25000</v>
      </c>
      <c r="AT675" s="506">
        <f t="shared" si="120"/>
        <v>0</v>
      </c>
    </row>
    <row r="676" spans="1:46">
      <c r="A676" s="341">
        <v>2112</v>
      </c>
      <c r="B676" s="345">
        <v>6913</v>
      </c>
      <c r="C676" s="341"/>
      <c r="D676" s="340" t="s">
        <v>595</v>
      </c>
      <c r="E676" s="341">
        <v>0</v>
      </c>
      <c r="F676" s="340" t="s">
        <v>594</v>
      </c>
      <c r="G676" s="340"/>
      <c r="H676" s="340">
        <v>0</v>
      </c>
      <c r="I676" s="340" t="s">
        <v>593</v>
      </c>
      <c r="J676" s="340"/>
      <c r="K676" s="340"/>
      <c r="L676" s="344">
        <v>36580</v>
      </c>
      <c r="M676" s="344">
        <v>36580</v>
      </c>
      <c r="N676" s="340" t="s">
        <v>592</v>
      </c>
      <c r="O676" s="341">
        <v>300</v>
      </c>
      <c r="P676" s="341">
        <v>14110</v>
      </c>
      <c r="Q676" s="342">
        <v>1093.5899999999999</v>
      </c>
      <c r="R676" s="341">
        <v>14116</v>
      </c>
      <c r="S676" s="342">
        <v>1093.5899999999999</v>
      </c>
      <c r="T676" s="342">
        <f t="shared" si="121"/>
        <v>0</v>
      </c>
      <c r="U676" s="343">
        <v>0</v>
      </c>
      <c r="V676" s="341">
        <v>70260</v>
      </c>
      <c r="W676" s="342">
        <v>0</v>
      </c>
      <c r="X676" s="340" t="s">
        <v>574</v>
      </c>
      <c r="Y676" s="340"/>
      <c r="Z676" s="340"/>
      <c r="AA676" s="340"/>
      <c r="AB676" s="340" t="s">
        <v>571</v>
      </c>
      <c r="AC676" s="340" t="s">
        <v>570</v>
      </c>
      <c r="AD676" s="341" t="s">
        <v>569</v>
      </c>
      <c r="AE676" s="340"/>
      <c r="AF676" s="341" t="s">
        <v>568</v>
      </c>
      <c r="AG676" s="340">
        <v>0</v>
      </c>
      <c r="AH676" s="340">
        <v>0</v>
      </c>
      <c r="AI676" s="377"/>
      <c r="AK676" s="493">
        <f t="shared" si="111"/>
        <v>2</v>
      </c>
      <c r="AL676" s="493">
        <f t="shared" si="112"/>
        <v>2000</v>
      </c>
      <c r="AM676" s="493">
        <f t="shared" si="113"/>
        <v>2003</v>
      </c>
      <c r="AN676" s="494">
        <f t="shared" si="114"/>
        <v>2003.1666666666667</v>
      </c>
      <c r="AO676" s="505">
        <f t="shared" si="115"/>
        <v>30.377499999999998</v>
      </c>
      <c r="AP676" s="505">
        <f t="shared" si="116"/>
        <v>364.53</v>
      </c>
      <c r="AQ676" s="505">
        <f t="shared" si="117"/>
        <v>0</v>
      </c>
      <c r="AR676" s="505">
        <f t="shared" si="118"/>
        <v>1093.5899999999999</v>
      </c>
      <c r="AS676" s="505">
        <f t="shared" si="119"/>
        <v>1093.5899999999999</v>
      </c>
      <c r="AT676" s="506">
        <f t="shared" si="120"/>
        <v>0</v>
      </c>
    </row>
    <row r="677" spans="1:46">
      <c r="A677" s="341">
        <v>2112</v>
      </c>
      <c r="B677" s="345">
        <v>6912</v>
      </c>
      <c r="C677" s="341"/>
      <c r="D677" s="340" t="s">
        <v>591</v>
      </c>
      <c r="E677" s="341">
        <v>0</v>
      </c>
      <c r="F677" s="340"/>
      <c r="G677" s="340"/>
      <c r="H677" s="340">
        <v>0</v>
      </c>
      <c r="I677" s="340"/>
      <c r="J677" s="340"/>
      <c r="K677" s="340"/>
      <c r="L677" s="344">
        <v>35971</v>
      </c>
      <c r="M677" s="344">
        <v>35971</v>
      </c>
      <c r="N677" s="340"/>
      <c r="O677" s="341">
        <v>500</v>
      </c>
      <c r="P677" s="341">
        <v>14100</v>
      </c>
      <c r="Q677" s="342">
        <v>754.22</v>
      </c>
      <c r="R677" s="341">
        <v>14106</v>
      </c>
      <c r="S677" s="342">
        <v>754.22</v>
      </c>
      <c r="T677" s="342">
        <f t="shared" si="121"/>
        <v>0</v>
      </c>
      <c r="U677" s="343">
        <v>0</v>
      </c>
      <c r="V677" s="341">
        <v>70260</v>
      </c>
      <c r="W677" s="342">
        <v>0</v>
      </c>
      <c r="X677" s="340" t="s">
        <v>570</v>
      </c>
      <c r="Y677" s="340" t="s">
        <v>178</v>
      </c>
      <c r="Z677" s="340"/>
      <c r="AA677" s="340"/>
      <c r="AB677" s="340" t="s">
        <v>571</v>
      </c>
      <c r="AC677" s="340" t="s">
        <v>570</v>
      </c>
      <c r="AD677" s="341" t="s">
        <v>569</v>
      </c>
      <c r="AE677" s="340"/>
      <c r="AF677" s="341" t="s">
        <v>568</v>
      </c>
      <c r="AG677" s="340">
        <v>0</v>
      </c>
      <c r="AH677" s="340">
        <v>0</v>
      </c>
      <c r="AI677" s="377"/>
      <c r="AK677" s="493">
        <f t="shared" si="111"/>
        <v>6</v>
      </c>
      <c r="AL677" s="493">
        <f t="shared" si="112"/>
        <v>1998</v>
      </c>
      <c r="AM677" s="493">
        <f t="shared" si="113"/>
        <v>2003</v>
      </c>
      <c r="AN677" s="494">
        <f t="shared" si="114"/>
        <v>2003.5</v>
      </c>
      <c r="AO677" s="505">
        <f t="shared" si="115"/>
        <v>12.570333333333332</v>
      </c>
      <c r="AP677" s="505">
        <f t="shared" si="116"/>
        <v>150.84399999999999</v>
      </c>
      <c r="AQ677" s="505">
        <f t="shared" si="117"/>
        <v>0</v>
      </c>
      <c r="AR677" s="505">
        <f t="shared" si="118"/>
        <v>754.22</v>
      </c>
      <c r="AS677" s="505">
        <f t="shared" si="119"/>
        <v>754.22</v>
      </c>
      <c r="AT677" s="506">
        <f t="shared" si="120"/>
        <v>0</v>
      </c>
    </row>
    <row r="678" spans="1:46">
      <c r="A678" s="341">
        <v>2112</v>
      </c>
      <c r="B678" s="345">
        <v>6911</v>
      </c>
      <c r="C678" s="341"/>
      <c r="D678" s="340" t="s">
        <v>590</v>
      </c>
      <c r="E678" s="341">
        <v>0</v>
      </c>
      <c r="F678" s="340"/>
      <c r="G678" s="340"/>
      <c r="H678" s="340">
        <v>0</v>
      </c>
      <c r="I678" s="340"/>
      <c r="J678" s="340"/>
      <c r="K678" s="340"/>
      <c r="L678" s="344">
        <v>35765</v>
      </c>
      <c r="M678" s="344">
        <v>35765</v>
      </c>
      <c r="N678" s="340"/>
      <c r="O678" s="341">
        <v>300</v>
      </c>
      <c r="P678" s="341">
        <v>14100</v>
      </c>
      <c r="Q678" s="342">
        <v>15781</v>
      </c>
      <c r="R678" s="341">
        <v>14106</v>
      </c>
      <c r="S678" s="342">
        <v>15781</v>
      </c>
      <c r="T678" s="342">
        <f t="shared" si="121"/>
        <v>0</v>
      </c>
      <c r="U678" s="343">
        <v>0</v>
      </c>
      <c r="V678" s="341">
        <v>70257</v>
      </c>
      <c r="W678" s="342">
        <v>0</v>
      </c>
      <c r="X678" s="340" t="s">
        <v>570</v>
      </c>
      <c r="Y678" s="340" t="s">
        <v>178</v>
      </c>
      <c r="Z678" s="340"/>
      <c r="AA678" s="340"/>
      <c r="AB678" s="340" t="s">
        <v>571</v>
      </c>
      <c r="AC678" s="340" t="s">
        <v>570</v>
      </c>
      <c r="AD678" s="341" t="s">
        <v>569</v>
      </c>
      <c r="AE678" s="340"/>
      <c r="AF678" s="341" t="s">
        <v>568</v>
      </c>
      <c r="AG678" s="340">
        <v>0</v>
      </c>
      <c r="AH678" s="340">
        <v>0</v>
      </c>
      <c r="AI678" s="377"/>
      <c r="AK678" s="493">
        <f t="shared" si="111"/>
        <v>12</v>
      </c>
      <c r="AL678" s="493">
        <f t="shared" si="112"/>
        <v>1997</v>
      </c>
      <c r="AM678" s="493">
        <f t="shared" si="113"/>
        <v>2000</v>
      </c>
      <c r="AN678" s="494">
        <f t="shared" si="114"/>
        <v>2001</v>
      </c>
      <c r="AO678" s="505">
        <f t="shared" si="115"/>
        <v>438.36111111111109</v>
      </c>
      <c r="AP678" s="505">
        <f t="shared" si="116"/>
        <v>5260.333333333333</v>
      </c>
      <c r="AQ678" s="505">
        <f t="shared" si="117"/>
        <v>0</v>
      </c>
      <c r="AR678" s="505">
        <f t="shared" si="118"/>
        <v>15781</v>
      </c>
      <c r="AS678" s="505">
        <f t="shared" si="119"/>
        <v>15781</v>
      </c>
      <c r="AT678" s="506">
        <f t="shared" si="120"/>
        <v>0</v>
      </c>
    </row>
    <row r="679" spans="1:46">
      <c r="A679" s="341">
        <v>2112</v>
      </c>
      <c r="B679" s="345">
        <v>6906</v>
      </c>
      <c r="C679" s="341" t="s">
        <v>574</v>
      </c>
      <c r="D679" s="340" t="s">
        <v>589</v>
      </c>
      <c r="E679" s="341">
        <v>0</v>
      </c>
      <c r="F679" s="340"/>
      <c r="G679" s="340"/>
      <c r="H679" s="340">
        <v>0</v>
      </c>
      <c r="I679" s="340" t="s">
        <v>580</v>
      </c>
      <c r="J679" s="340"/>
      <c r="K679" s="340" t="s">
        <v>588</v>
      </c>
      <c r="L679" s="344">
        <v>36371</v>
      </c>
      <c r="M679" s="344">
        <v>36371</v>
      </c>
      <c r="N679" s="340" t="s">
        <v>587</v>
      </c>
      <c r="O679" s="341">
        <v>1200</v>
      </c>
      <c r="P679" s="341">
        <v>14050</v>
      </c>
      <c r="Q679" s="342">
        <v>2294.83</v>
      </c>
      <c r="R679" s="341">
        <v>14056</v>
      </c>
      <c r="S679" s="342">
        <v>2294.83</v>
      </c>
      <c r="T679" s="342">
        <f t="shared" si="121"/>
        <v>0</v>
      </c>
      <c r="U679" s="343">
        <v>0</v>
      </c>
      <c r="V679" s="341">
        <v>54260</v>
      </c>
      <c r="W679" s="342">
        <v>0</v>
      </c>
      <c r="X679" s="340" t="s">
        <v>574</v>
      </c>
      <c r="Y679" s="340"/>
      <c r="Z679" s="340"/>
      <c r="AA679" s="340"/>
      <c r="AB679" s="340" t="s">
        <v>571</v>
      </c>
      <c r="AC679" s="340" t="s">
        <v>570</v>
      </c>
      <c r="AD679" s="341" t="s">
        <v>569</v>
      </c>
      <c r="AE679" s="340"/>
      <c r="AF679" s="341" t="s">
        <v>568</v>
      </c>
      <c r="AG679" s="340">
        <v>0</v>
      </c>
      <c r="AH679" s="340">
        <v>0</v>
      </c>
      <c r="AI679" s="377"/>
      <c r="AK679" s="493">
        <f t="shared" si="111"/>
        <v>7</v>
      </c>
      <c r="AL679" s="493">
        <f t="shared" si="112"/>
        <v>1999</v>
      </c>
      <c r="AM679" s="493">
        <f t="shared" si="113"/>
        <v>2011</v>
      </c>
      <c r="AN679" s="494">
        <f t="shared" si="114"/>
        <v>2011.5833333333333</v>
      </c>
      <c r="AO679" s="505">
        <f t="shared" si="115"/>
        <v>15.936319444444443</v>
      </c>
      <c r="AP679" s="505">
        <f t="shared" si="116"/>
        <v>191.23583333333332</v>
      </c>
      <c r="AQ679" s="505">
        <f t="shared" si="117"/>
        <v>0</v>
      </c>
      <c r="AR679" s="505">
        <f t="shared" si="118"/>
        <v>2294.83</v>
      </c>
      <c r="AS679" s="505">
        <f t="shared" si="119"/>
        <v>2294.83</v>
      </c>
      <c r="AT679" s="506">
        <f t="shared" si="120"/>
        <v>0</v>
      </c>
    </row>
    <row r="680" spans="1:46">
      <c r="A680" s="341">
        <v>2112</v>
      </c>
      <c r="B680" s="345">
        <v>6904</v>
      </c>
      <c r="C680" s="341" t="s">
        <v>574</v>
      </c>
      <c r="D680" s="340" t="s">
        <v>583</v>
      </c>
      <c r="E680" s="341">
        <v>20</v>
      </c>
      <c r="F680" s="340"/>
      <c r="G680" s="340"/>
      <c r="H680" s="340">
        <v>0</v>
      </c>
      <c r="I680" s="340" t="s">
        <v>580</v>
      </c>
      <c r="J680" s="340"/>
      <c r="K680" s="340" t="s">
        <v>578</v>
      </c>
      <c r="L680" s="344">
        <v>36371</v>
      </c>
      <c r="M680" s="344">
        <v>36371</v>
      </c>
      <c r="N680" s="340" t="s">
        <v>587</v>
      </c>
      <c r="O680" s="341">
        <v>1200</v>
      </c>
      <c r="P680" s="341">
        <v>14050</v>
      </c>
      <c r="Q680" s="342">
        <v>5041.6000000000004</v>
      </c>
      <c r="R680" s="341">
        <v>14056</v>
      </c>
      <c r="S680" s="342">
        <v>5041.6000000000004</v>
      </c>
      <c r="T680" s="342">
        <f t="shared" si="121"/>
        <v>0</v>
      </c>
      <c r="U680" s="343">
        <v>0</v>
      </c>
      <c r="V680" s="341">
        <v>54260</v>
      </c>
      <c r="W680" s="342">
        <v>0</v>
      </c>
      <c r="X680" s="340" t="s">
        <v>586</v>
      </c>
      <c r="Y680" s="340"/>
      <c r="Z680" s="340"/>
      <c r="AA680" s="340"/>
      <c r="AB680" s="340" t="s">
        <v>571</v>
      </c>
      <c r="AC680" s="340" t="s">
        <v>570</v>
      </c>
      <c r="AD680" s="341" t="s">
        <v>569</v>
      </c>
      <c r="AE680" s="340"/>
      <c r="AF680" s="341" t="s">
        <v>568</v>
      </c>
      <c r="AG680" s="340">
        <v>0</v>
      </c>
      <c r="AH680" s="340">
        <v>0</v>
      </c>
      <c r="AI680" s="377"/>
      <c r="AK680" s="493">
        <f t="shared" si="111"/>
        <v>7</v>
      </c>
      <c r="AL680" s="493">
        <f t="shared" si="112"/>
        <v>1999</v>
      </c>
      <c r="AM680" s="493">
        <f t="shared" si="113"/>
        <v>2011</v>
      </c>
      <c r="AN680" s="494">
        <f t="shared" si="114"/>
        <v>2011.5833333333333</v>
      </c>
      <c r="AO680" s="505">
        <f t="shared" si="115"/>
        <v>35.011111111111113</v>
      </c>
      <c r="AP680" s="505">
        <f t="shared" si="116"/>
        <v>420.13333333333333</v>
      </c>
      <c r="AQ680" s="505">
        <f t="shared" si="117"/>
        <v>0</v>
      </c>
      <c r="AR680" s="505">
        <f t="shared" si="118"/>
        <v>5041.6000000000004</v>
      </c>
      <c r="AS680" s="505">
        <f t="shared" si="119"/>
        <v>5041.6000000000004</v>
      </c>
      <c r="AT680" s="506">
        <f t="shared" si="120"/>
        <v>0</v>
      </c>
    </row>
    <row r="681" spans="1:46">
      <c r="A681" s="341">
        <v>2112</v>
      </c>
      <c r="B681" s="345">
        <v>6903</v>
      </c>
      <c r="C681" s="341" t="s">
        <v>574</v>
      </c>
      <c r="D681" s="340" t="s">
        <v>585</v>
      </c>
      <c r="E681" s="341">
        <v>3000</v>
      </c>
      <c r="F681" s="340"/>
      <c r="G681" s="340"/>
      <c r="H681" s="340">
        <v>0</v>
      </c>
      <c r="I681" s="340" t="s">
        <v>584</v>
      </c>
      <c r="J681" s="340"/>
      <c r="K681" s="340"/>
      <c r="L681" s="344">
        <v>36161</v>
      </c>
      <c r="M681" s="344">
        <v>36161</v>
      </c>
      <c r="N681" s="340"/>
      <c r="O681" s="341">
        <v>500</v>
      </c>
      <c r="P681" s="341">
        <v>14050</v>
      </c>
      <c r="Q681" s="342">
        <v>100000</v>
      </c>
      <c r="R681" s="341">
        <v>14056</v>
      </c>
      <c r="S681" s="342">
        <v>100000</v>
      </c>
      <c r="T681" s="342">
        <f t="shared" si="121"/>
        <v>0</v>
      </c>
      <c r="U681" s="343">
        <v>0</v>
      </c>
      <c r="V681" s="341">
        <v>54260</v>
      </c>
      <c r="W681" s="342">
        <v>0</v>
      </c>
      <c r="X681" s="340" t="s">
        <v>574</v>
      </c>
      <c r="Y681" s="340"/>
      <c r="Z681" s="340"/>
      <c r="AA681" s="340"/>
      <c r="AB681" s="340" t="s">
        <v>571</v>
      </c>
      <c r="AC681" s="340" t="s">
        <v>570</v>
      </c>
      <c r="AD681" s="341" t="s">
        <v>569</v>
      </c>
      <c r="AE681" s="340"/>
      <c r="AF681" s="341" t="s">
        <v>568</v>
      </c>
      <c r="AG681" s="340">
        <v>0</v>
      </c>
      <c r="AH681" s="340">
        <v>0</v>
      </c>
      <c r="AI681" s="377"/>
      <c r="AK681" s="493">
        <f t="shared" si="111"/>
        <v>1</v>
      </c>
      <c r="AL681" s="493">
        <f t="shared" si="112"/>
        <v>1999</v>
      </c>
      <c r="AM681" s="493">
        <f t="shared" si="113"/>
        <v>2004</v>
      </c>
      <c r="AN681" s="494">
        <f t="shared" si="114"/>
        <v>2004.0833333333333</v>
      </c>
      <c r="AO681" s="505">
        <f t="shared" si="115"/>
        <v>1666.6666666666667</v>
      </c>
      <c r="AP681" s="505">
        <f t="shared" si="116"/>
        <v>20000</v>
      </c>
      <c r="AQ681" s="505">
        <f t="shared" si="117"/>
        <v>0</v>
      </c>
      <c r="AR681" s="505">
        <f t="shared" si="118"/>
        <v>100000</v>
      </c>
      <c r="AS681" s="505">
        <f t="shared" si="119"/>
        <v>100000</v>
      </c>
      <c r="AT681" s="506">
        <f t="shared" si="120"/>
        <v>0</v>
      </c>
    </row>
    <row r="682" spans="1:46">
      <c r="A682" s="341">
        <v>2112</v>
      </c>
      <c r="B682" s="345">
        <v>6902</v>
      </c>
      <c r="C682" s="341" t="s">
        <v>574</v>
      </c>
      <c r="D682" s="340" t="s">
        <v>583</v>
      </c>
      <c r="E682" s="341">
        <v>40</v>
      </c>
      <c r="F682" s="340" t="s">
        <v>582</v>
      </c>
      <c r="G682" s="340"/>
      <c r="H682" s="340">
        <v>0</v>
      </c>
      <c r="I682" s="340" t="s">
        <v>580</v>
      </c>
      <c r="J682" s="340"/>
      <c r="K682" s="340" t="s">
        <v>578</v>
      </c>
      <c r="L682" s="344">
        <v>36306</v>
      </c>
      <c r="M682" s="344">
        <v>36306</v>
      </c>
      <c r="N682" s="340" t="s">
        <v>581</v>
      </c>
      <c r="O682" s="341">
        <v>1200</v>
      </c>
      <c r="P682" s="341">
        <v>14050</v>
      </c>
      <c r="Q682" s="342">
        <v>12068.39</v>
      </c>
      <c r="R682" s="341">
        <v>14056</v>
      </c>
      <c r="S682" s="342">
        <v>12068.39</v>
      </c>
      <c r="T682" s="342">
        <f t="shared" si="121"/>
        <v>0</v>
      </c>
      <c r="U682" s="343">
        <v>0</v>
      </c>
      <c r="V682" s="341">
        <v>54260</v>
      </c>
      <c r="W682" s="342">
        <v>0</v>
      </c>
      <c r="X682" s="340" t="s">
        <v>574</v>
      </c>
      <c r="Y682" s="340"/>
      <c r="Z682" s="340"/>
      <c r="AA682" s="340"/>
      <c r="AB682" s="340" t="s">
        <v>571</v>
      </c>
      <c r="AC682" s="340" t="s">
        <v>570</v>
      </c>
      <c r="AD682" s="341" t="s">
        <v>569</v>
      </c>
      <c r="AE682" s="340"/>
      <c r="AF682" s="341" t="s">
        <v>568</v>
      </c>
      <c r="AG682" s="340">
        <v>0</v>
      </c>
      <c r="AH682" s="340">
        <v>0</v>
      </c>
      <c r="AI682" s="377"/>
      <c r="AK682" s="493">
        <f t="shared" si="111"/>
        <v>5</v>
      </c>
      <c r="AL682" s="493">
        <f t="shared" si="112"/>
        <v>1999</v>
      </c>
      <c r="AM682" s="493">
        <f t="shared" si="113"/>
        <v>2011</v>
      </c>
      <c r="AN682" s="494">
        <f t="shared" si="114"/>
        <v>2011.4166666666667</v>
      </c>
      <c r="AO682" s="505">
        <f t="shared" si="115"/>
        <v>83.808263888888888</v>
      </c>
      <c r="AP682" s="505">
        <f t="shared" si="116"/>
        <v>1005.6991666666667</v>
      </c>
      <c r="AQ682" s="505">
        <f t="shared" si="117"/>
        <v>0</v>
      </c>
      <c r="AR682" s="505">
        <f t="shared" si="118"/>
        <v>12068.39</v>
      </c>
      <c r="AS682" s="505">
        <f t="shared" si="119"/>
        <v>12068.39</v>
      </c>
      <c r="AT682" s="506">
        <f t="shared" si="120"/>
        <v>0</v>
      </c>
    </row>
    <row r="683" spans="1:46">
      <c r="A683" s="341">
        <v>2112</v>
      </c>
      <c r="B683" s="345">
        <v>6895</v>
      </c>
      <c r="C683" s="341" t="s">
        <v>574</v>
      </c>
      <c r="D683" s="340" t="s">
        <v>579</v>
      </c>
      <c r="E683" s="341">
        <v>12</v>
      </c>
      <c r="F683" s="340"/>
      <c r="G683" s="340"/>
      <c r="H683" s="340">
        <v>0</v>
      </c>
      <c r="I683" s="340"/>
      <c r="J683" s="340"/>
      <c r="K683" s="340" t="s">
        <v>578</v>
      </c>
      <c r="L683" s="344">
        <v>35899</v>
      </c>
      <c r="M683" s="344">
        <v>35899</v>
      </c>
      <c r="N683" s="340"/>
      <c r="O683" s="341">
        <v>1200</v>
      </c>
      <c r="P683" s="341">
        <v>14050</v>
      </c>
      <c r="Q683" s="342">
        <v>3291.8</v>
      </c>
      <c r="R683" s="341">
        <v>14056</v>
      </c>
      <c r="S683" s="342">
        <v>3291.8</v>
      </c>
      <c r="T683" s="342">
        <f t="shared" si="121"/>
        <v>0</v>
      </c>
      <c r="U683" s="343">
        <v>0</v>
      </c>
      <c r="V683" s="341">
        <v>54260</v>
      </c>
      <c r="W683" s="342">
        <v>0</v>
      </c>
      <c r="X683" s="340" t="s">
        <v>570</v>
      </c>
      <c r="Y683" s="340" t="s">
        <v>178</v>
      </c>
      <c r="Z683" s="340"/>
      <c r="AA683" s="340"/>
      <c r="AB683" s="340" t="s">
        <v>571</v>
      </c>
      <c r="AC683" s="340" t="s">
        <v>570</v>
      </c>
      <c r="AD683" s="341" t="s">
        <v>569</v>
      </c>
      <c r="AE683" s="346">
        <v>45077</v>
      </c>
      <c r="AF683" s="341" t="s">
        <v>568</v>
      </c>
      <c r="AG683" s="340">
        <v>5</v>
      </c>
      <c r="AH683" s="340">
        <v>3291.8</v>
      </c>
      <c r="AI683" s="377"/>
      <c r="AK683" s="493">
        <f t="shared" si="111"/>
        <v>4</v>
      </c>
      <c r="AL683" s="493">
        <f t="shared" si="112"/>
        <v>1998</v>
      </c>
      <c r="AM683" s="493">
        <f t="shared" si="113"/>
        <v>2010</v>
      </c>
      <c r="AN683" s="494">
        <f t="shared" si="114"/>
        <v>2010.3333333333333</v>
      </c>
      <c r="AO683" s="505">
        <f t="shared" si="115"/>
        <v>22.859722222222221</v>
      </c>
      <c r="AP683" s="505">
        <f t="shared" si="116"/>
        <v>274.31666666666666</v>
      </c>
      <c r="AQ683" s="505">
        <f t="shared" si="117"/>
        <v>0</v>
      </c>
      <c r="AR683" s="505">
        <f t="shared" si="118"/>
        <v>3291.8</v>
      </c>
      <c r="AS683" s="505">
        <f t="shared" si="119"/>
        <v>3291.8</v>
      </c>
      <c r="AT683" s="506">
        <f t="shared" si="120"/>
        <v>0</v>
      </c>
    </row>
    <row r="684" spans="1:46">
      <c r="A684" s="341">
        <v>2112</v>
      </c>
      <c r="B684" s="345">
        <v>6894</v>
      </c>
      <c r="C684" s="341" t="s">
        <v>574</v>
      </c>
      <c r="D684" s="340" t="s">
        <v>577</v>
      </c>
      <c r="E684" s="341">
        <v>1080</v>
      </c>
      <c r="F684" s="340"/>
      <c r="G684" s="340"/>
      <c r="H684" s="340">
        <v>0</v>
      </c>
      <c r="I684" s="340"/>
      <c r="J684" s="340"/>
      <c r="K684" s="340"/>
      <c r="L684" s="344">
        <v>35865</v>
      </c>
      <c r="M684" s="344">
        <v>35865</v>
      </c>
      <c r="N684" s="340"/>
      <c r="O684" s="341">
        <v>1200</v>
      </c>
      <c r="P684" s="341">
        <v>14050</v>
      </c>
      <c r="Q684" s="342">
        <v>37290.239999999998</v>
      </c>
      <c r="R684" s="341">
        <v>14056</v>
      </c>
      <c r="S684" s="342">
        <v>37290.239999999998</v>
      </c>
      <c r="T684" s="342">
        <f t="shared" si="121"/>
        <v>0</v>
      </c>
      <c r="U684" s="343">
        <v>0</v>
      </c>
      <c r="V684" s="341">
        <v>54260</v>
      </c>
      <c r="W684" s="342">
        <v>0</v>
      </c>
      <c r="X684" s="340" t="s">
        <v>570</v>
      </c>
      <c r="Y684" s="340" t="s">
        <v>178</v>
      </c>
      <c r="Z684" s="340"/>
      <c r="AA684" s="340"/>
      <c r="AB684" s="340" t="s">
        <v>571</v>
      </c>
      <c r="AC684" s="340" t="s">
        <v>570</v>
      </c>
      <c r="AD684" s="341" t="s">
        <v>569</v>
      </c>
      <c r="AE684" s="340"/>
      <c r="AF684" s="341" t="s">
        <v>568</v>
      </c>
      <c r="AG684" s="340">
        <v>0</v>
      </c>
      <c r="AH684" s="340">
        <v>0</v>
      </c>
      <c r="AK684" s="493">
        <f t="shared" si="111"/>
        <v>3</v>
      </c>
      <c r="AL684" s="493">
        <f t="shared" si="112"/>
        <v>1998</v>
      </c>
      <c r="AM684" s="493">
        <f t="shared" si="113"/>
        <v>2010</v>
      </c>
      <c r="AN684" s="494">
        <f t="shared" si="114"/>
        <v>2010.25</v>
      </c>
      <c r="AO684" s="505">
        <f t="shared" si="115"/>
        <v>258.95999999999998</v>
      </c>
      <c r="AP684" s="505">
        <f t="shared" si="116"/>
        <v>3107.5199999999995</v>
      </c>
      <c r="AQ684" s="505">
        <f t="shared" si="117"/>
        <v>0</v>
      </c>
      <c r="AR684" s="505">
        <f t="shared" si="118"/>
        <v>37290.239999999998</v>
      </c>
      <c r="AS684" s="505">
        <f t="shared" si="119"/>
        <v>37290.239999999998</v>
      </c>
      <c r="AT684" s="506">
        <f t="shared" si="120"/>
        <v>0</v>
      </c>
    </row>
    <row r="685" spans="1:46">
      <c r="A685" s="341">
        <v>2112</v>
      </c>
      <c r="B685" s="345">
        <v>6893</v>
      </c>
      <c r="C685" s="341" t="s">
        <v>574</v>
      </c>
      <c r="D685" s="340" t="s">
        <v>576</v>
      </c>
      <c r="E685" s="341">
        <v>4</v>
      </c>
      <c r="F685" s="340"/>
      <c r="G685" s="340"/>
      <c r="H685" s="340">
        <v>0</v>
      </c>
      <c r="I685" s="340"/>
      <c r="J685" s="340"/>
      <c r="K685" s="340" t="s">
        <v>575</v>
      </c>
      <c r="L685" s="344">
        <v>35852</v>
      </c>
      <c r="M685" s="344">
        <v>35852</v>
      </c>
      <c r="N685" s="340"/>
      <c r="O685" s="341">
        <v>1200</v>
      </c>
      <c r="P685" s="341">
        <v>14050</v>
      </c>
      <c r="Q685" s="342">
        <v>15868.15</v>
      </c>
      <c r="R685" s="341">
        <v>14056</v>
      </c>
      <c r="S685" s="342">
        <v>15868.15</v>
      </c>
      <c r="T685" s="342">
        <f t="shared" si="121"/>
        <v>0</v>
      </c>
      <c r="U685" s="343">
        <v>0</v>
      </c>
      <c r="V685" s="341">
        <v>54260</v>
      </c>
      <c r="W685" s="342">
        <v>0</v>
      </c>
      <c r="X685" s="340" t="s">
        <v>570</v>
      </c>
      <c r="Y685" s="340" t="s">
        <v>178</v>
      </c>
      <c r="Z685" s="340"/>
      <c r="AA685" s="340"/>
      <c r="AB685" s="340" t="s">
        <v>571</v>
      </c>
      <c r="AC685" s="340" t="s">
        <v>570</v>
      </c>
      <c r="AD685" s="341" t="s">
        <v>569</v>
      </c>
      <c r="AE685" s="340"/>
      <c r="AF685" s="341" t="s">
        <v>568</v>
      </c>
      <c r="AG685" s="340">
        <v>0</v>
      </c>
      <c r="AH685" s="340">
        <v>0</v>
      </c>
      <c r="AK685" s="493">
        <f t="shared" si="111"/>
        <v>2</v>
      </c>
      <c r="AL685" s="493">
        <f t="shared" si="112"/>
        <v>1998</v>
      </c>
      <c r="AM685" s="493">
        <f t="shared" si="113"/>
        <v>2010</v>
      </c>
      <c r="AN685" s="494">
        <f t="shared" si="114"/>
        <v>2010.1666666666667</v>
      </c>
      <c r="AO685" s="505">
        <f t="shared" si="115"/>
        <v>110.19548611111111</v>
      </c>
      <c r="AP685" s="505">
        <f t="shared" si="116"/>
        <v>1322.3458333333333</v>
      </c>
      <c r="AQ685" s="505">
        <f t="shared" si="117"/>
        <v>0</v>
      </c>
      <c r="AR685" s="505">
        <f t="shared" si="118"/>
        <v>15868.15</v>
      </c>
      <c r="AS685" s="505">
        <f t="shared" si="119"/>
        <v>15868.15</v>
      </c>
      <c r="AT685" s="506">
        <f t="shared" si="120"/>
        <v>0</v>
      </c>
    </row>
    <row r="686" spans="1:46">
      <c r="A686" s="341">
        <v>2112</v>
      </c>
      <c r="B686" s="345">
        <v>6869</v>
      </c>
      <c r="C686" s="341" t="s">
        <v>574</v>
      </c>
      <c r="D686" s="340" t="s">
        <v>573</v>
      </c>
      <c r="E686" s="341">
        <v>0</v>
      </c>
      <c r="F686" s="340">
        <v>2112</v>
      </c>
      <c r="G686" s="340"/>
      <c r="H686" s="340">
        <v>1992</v>
      </c>
      <c r="I686" s="340"/>
      <c r="J686" s="340"/>
      <c r="K686" s="340" t="s">
        <v>572</v>
      </c>
      <c r="L686" s="344">
        <v>35765</v>
      </c>
      <c r="M686" s="344">
        <v>35765</v>
      </c>
      <c r="N686" s="340"/>
      <c r="O686" s="341">
        <v>1000</v>
      </c>
      <c r="P686" s="341">
        <v>14040</v>
      </c>
      <c r="Q686" s="342">
        <v>1012.78</v>
      </c>
      <c r="R686" s="341">
        <v>14046</v>
      </c>
      <c r="S686" s="342">
        <v>1012.78</v>
      </c>
      <c r="T686" s="342">
        <f t="shared" si="121"/>
        <v>0</v>
      </c>
      <c r="U686" s="343">
        <v>0</v>
      </c>
      <c r="V686" s="341">
        <v>51260</v>
      </c>
      <c r="W686" s="342">
        <v>0</v>
      </c>
      <c r="X686" s="340" t="s">
        <v>570</v>
      </c>
      <c r="Y686" s="340" t="s">
        <v>178</v>
      </c>
      <c r="Z686" s="340"/>
      <c r="AA686" s="340"/>
      <c r="AB686" s="340" t="s">
        <v>571</v>
      </c>
      <c r="AC686" s="340" t="s">
        <v>570</v>
      </c>
      <c r="AD686" s="341" t="s">
        <v>569</v>
      </c>
      <c r="AE686" s="346">
        <v>36525</v>
      </c>
      <c r="AF686" s="341" t="s">
        <v>568</v>
      </c>
      <c r="AG686" s="340">
        <v>0</v>
      </c>
      <c r="AH686" s="340">
        <v>211</v>
      </c>
      <c r="AK686" s="493">
        <f t="shared" si="111"/>
        <v>12</v>
      </c>
      <c r="AL686" s="493">
        <f t="shared" si="112"/>
        <v>1997</v>
      </c>
      <c r="AM686" s="493">
        <f t="shared" si="113"/>
        <v>2007</v>
      </c>
      <c r="AN686" s="494">
        <f t="shared" si="114"/>
        <v>2008</v>
      </c>
      <c r="AO686" s="505">
        <f t="shared" si="115"/>
        <v>8.4398333333333326</v>
      </c>
      <c r="AP686" s="505">
        <f t="shared" si="116"/>
        <v>101.27799999999999</v>
      </c>
      <c r="AQ686" s="505">
        <f t="shared" si="117"/>
        <v>0</v>
      </c>
      <c r="AR686" s="505">
        <f t="shared" si="118"/>
        <v>1012.78</v>
      </c>
      <c r="AS686" s="505">
        <f t="shared" si="119"/>
        <v>1012.78</v>
      </c>
      <c r="AT686" s="506">
        <f t="shared" si="120"/>
        <v>0</v>
      </c>
    </row>
  </sheetData>
  <mergeCells count="1">
    <mergeCell ref="E9:H10"/>
  </mergeCells>
  <dataValidations count="1">
    <dataValidation type="list" allowBlank="1" showInputMessage="1" showErrorMessage="1" sqref="Q9" xr:uid="{00000000-0002-0000-0100-000000000000}">
      <formula1>"P,C,All"</formula1>
    </dataValidation>
  </dataValidations>
  <pageMargins left="0.7" right="0.7" top="0.75" bottom="0.75" header="0.3" footer="0.3"/>
  <pageSetup scale="10" fitToWidth="2" orientation="landscape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C34EC-AC68-431C-81C1-7D4AEB3106E6}">
  <sheetPr>
    <tabColor theme="6" tint="0.59999389629810485"/>
  </sheetPr>
  <dimension ref="A2:U34"/>
  <sheetViews>
    <sheetView tabSelected="1" topLeftCell="A7" workbookViewId="0">
      <selection activeCell="F37" sqref="F37"/>
    </sheetView>
  </sheetViews>
  <sheetFormatPr defaultColWidth="8.88671875" defaultRowHeight="15"/>
  <cols>
    <col min="1" max="1" width="10.77734375" style="531" bestFit="1" customWidth="1"/>
    <col min="2" max="2" width="35.5546875" style="531" bestFit="1" customWidth="1"/>
    <col min="3" max="3" width="7.6640625" style="531" bestFit="1" customWidth="1"/>
    <col min="4" max="4" width="5.88671875" style="531" bestFit="1" customWidth="1"/>
    <col min="5" max="5" width="5.44140625" style="531" bestFit="1" customWidth="1"/>
    <col min="6" max="6" width="6.44140625" style="531" bestFit="1" customWidth="1"/>
    <col min="7" max="7" width="6.21875" style="531" bestFit="1" customWidth="1"/>
    <col min="8" max="8" width="3.88671875" style="531" bestFit="1" customWidth="1"/>
    <col min="9" max="9" width="4.21875" style="531" bestFit="1" customWidth="1"/>
    <col min="10" max="10" width="6.77734375" style="531" bestFit="1" customWidth="1"/>
    <col min="11" max="11" width="15.21875" style="531" bestFit="1" customWidth="1"/>
    <col min="12" max="12" width="6.5546875" style="531" bestFit="1" customWidth="1"/>
    <col min="13" max="13" width="6" style="531" bestFit="1" customWidth="1"/>
    <col min="14" max="14" width="9.44140625" style="531" bestFit="1" customWidth="1"/>
    <col min="15" max="16" width="5.77734375" style="531" bestFit="1" customWidth="1"/>
    <col min="17" max="17" width="5.88671875" style="531" bestFit="1" customWidth="1"/>
    <col min="18" max="18" width="8.77734375" style="531" bestFit="1" customWidth="1"/>
    <col min="19" max="16384" width="8.88671875" style="531"/>
  </cols>
  <sheetData>
    <row r="2" spans="1:21">
      <c r="J2" s="324">
        <v>8</v>
      </c>
      <c r="K2" s="325" t="s">
        <v>1896</v>
      </c>
    </row>
    <row r="3" spans="1:21">
      <c r="J3" s="324">
        <v>7</v>
      </c>
      <c r="K3" s="325" t="s">
        <v>1897</v>
      </c>
      <c r="U3" s="551"/>
    </row>
    <row r="4" spans="1:21">
      <c r="J4" s="324">
        <v>2022</v>
      </c>
      <c r="K4" s="325" t="s">
        <v>1834</v>
      </c>
    </row>
    <row r="5" spans="1:21">
      <c r="J5" s="324">
        <v>2023</v>
      </c>
      <c r="K5" s="325" t="s">
        <v>11</v>
      </c>
    </row>
    <row r="6" spans="1:21">
      <c r="J6" s="514">
        <f>+J5+(J3/12)</f>
        <v>2023.5833333333333</v>
      </c>
      <c r="K6" s="325" t="s">
        <v>1898</v>
      </c>
    </row>
    <row r="7" spans="1:21">
      <c r="J7" s="514">
        <f>+J4+(J2/12)</f>
        <v>2022.6666666666667</v>
      </c>
      <c r="K7" s="328" t="s">
        <v>1899</v>
      </c>
    </row>
    <row r="8" spans="1:21"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</row>
    <row r="9" spans="1:21" ht="39">
      <c r="A9" s="548" t="s">
        <v>2276</v>
      </c>
      <c r="B9" s="548" t="s">
        <v>2277</v>
      </c>
      <c r="C9" s="549" t="s">
        <v>2278</v>
      </c>
      <c r="D9" s="549" t="s">
        <v>2279</v>
      </c>
      <c r="E9" s="549" t="s">
        <v>1779</v>
      </c>
      <c r="F9" s="549" t="s">
        <v>2280</v>
      </c>
      <c r="G9" s="549" t="s">
        <v>30</v>
      </c>
      <c r="H9" s="549" t="s">
        <v>2281</v>
      </c>
      <c r="I9" s="549" t="s">
        <v>2282</v>
      </c>
      <c r="J9" s="549" t="s">
        <v>2283</v>
      </c>
      <c r="K9" s="549" t="s">
        <v>2284</v>
      </c>
      <c r="L9" s="549" t="s">
        <v>2285</v>
      </c>
      <c r="M9" s="549" t="s">
        <v>2286</v>
      </c>
      <c r="N9" s="549" t="s">
        <v>2287</v>
      </c>
      <c r="O9" s="549" t="s">
        <v>2288</v>
      </c>
      <c r="P9" s="549" t="s">
        <v>2289</v>
      </c>
      <c r="Q9" s="549" t="s">
        <v>2290</v>
      </c>
      <c r="R9" s="549" t="s">
        <v>2256</v>
      </c>
    </row>
    <row r="10" spans="1:21">
      <c r="A10" s="553">
        <v>44342</v>
      </c>
      <c r="B10" s="554" t="s">
        <v>2291</v>
      </c>
      <c r="C10" s="555">
        <v>50000</v>
      </c>
      <c r="D10" s="542">
        <v>2021</v>
      </c>
      <c r="E10" s="542">
        <v>5</v>
      </c>
      <c r="F10" s="543">
        <v>0</v>
      </c>
      <c r="G10" s="544" t="s">
        <v>51</v>
      </c>
      <c r="H10" s="542">
        <v>10</v>
      </c>
      <c r="I10" s="544">
        <f>D10+H10</f>
        <v>2031</v>
      </c>
      <c r="J10" s="558">
        <f>+I10+(E10/12)</f>
        <v>2031.4166666666667</v>
      </c>
      <c r="K10" s="545">
        <f>C10</f>
        <v>50000</v>
      </c>
      <c r="L10" s="546">
        <f>K10-K10*F10</f>
        <v>50000</v>
      </c>
      <c r="M10" s="546">
        <f>L10/H10/12</f>
        <v>416.66666666666669</v>
      </c>
      <c r="N10" s="546">
        <f>M10*12</f>
        <v>5000</v>
      </c>
      <c r="O10" s="547">
        <f t="shared" ref="O10:O32" si="0">+IF(J10&lt;=$J$6,0,N10)</f>
        <v>5000</v>
      </c>
      <c r="P10" s="547">
        <f t="shared" ref="P10:P32" si="1">+IF($J10&lt;=$J$7,$K10,IF(($D10+($E10/12))&gt;=$J$7,0,((($L10-((($J10-$J$7)*12)*$M10))))))</f>
        <v>6250</v>
      </c>
      <c r="Q10" s="546">
        <f>+IF(J10&lt;=$J$6,L10,IF(O10=0,P10,P10+O10))</f>
        <v>11250</v>
      </c>
      <c r="R10" s="546">
        <f>+K10-Q10</f>
        <v>38750</v>
      </c>
      <c r="T10" s="552"/>
      <c r="U10" s="550"/>
    </row>
    <row r="11" spans="1:21">
      <c r="A11" s="553">
        <v>44362</v>
      </c>
      <c r="B11" s="554" t="s">
        <v>2292</v>
      </c>
      <c r="C11" s="555">
        <v>20553.32</v>
      </c>
      <c r="D11" s="542">
        <v>2021</v>
      </c>
      <c r="E11" s="542">
        <v>6</v>
      </c>
      <c r="F11" s="543">
        <v>0</v>
      </c>
      <c r="G11" s="544" t="s">
        <v>51</v>
      </c>
      <c r="H11" s="542">
        <v>10</v>
      </c>
      <c r="I11" s="544">
        <f t="shared" ref="I11:I32" si="2">D11+H11</f>
        <v>2031</v>
      </c>
      <c r="J11" s="558">
        <f t="shared" ref="J11:J32" si="3">+I11+(E11/12)</f>
        <v>2031.5</v>
      </c>
      <c r="K11" s="545">
        <f t="shared" ref="K11:K32" si="4">C11</f>
        <v>20553.32</v>
      </c>
      <c r="L11" s="546">
        <f t="shared" ref="L11:L32" si="5">K11-K11*F11</f>
        <v>20553.32</v>
      </c>
      <c r="M11" s="546">
        <f t="shared" ref="M11:M32" si="6">L11/H11/12</f>
        <v>171.27766666666665</v>
      </c>
      <c r="N11" s="546">
        <f t="shared" ref="N11:N32" si="7">M11*12</f>
        <v>2055.3319999999999</v>
      </c>
      <c r="O11" s="547">
        <f t="shared" si="0"/>
        <v>2055.3319999999999</v>
      </c>
      <c r="P11" s="547">
        <f t="shared" si="1"/>
        <v>2397.8873333334923</v>
      </c>
      <c r="Q11" s="546">
        <f t="shared" ref="Q11:Q32" si="8">+IF(J11&lt;=$J$6,L11,IF(O11=0,P11,P11+O11))</f>
        <v>4453.2193333334926</v>
      </c>
      <c r="R11" s="546">
        <f t="shared" ref="R11:R32" si="9">+K11-Q11</f>
        <v>16100.100666666507</v>
      </c>
      <c r="U11" s="550"/>
    </row>
    <row r="12" spans="1:21">
      <c r="A12" s="553">
        <v>44370</v>
      </c>
      <c r="B12" s="554" t="s">
        <v>2291</v>
      </c>
      <c r="C12" s="555">
        <v>20000</v>
      </c>
      <c r="D12" s="542">
        <v>2021</v>
      </c>
      <c r="E12" s="542">
        <v>6</v>
      </c>
      <c r="F12" s="543">
        <v>0</v>
      </c>
      <c r="G12" s="544" t="s">
        <v>51</v>
      </c>
      <c r="H12" s="542">
        <v>10</v>
      </c>
      <c r="I12" s="544">
        <f t="shared" si="2"/>
        <v>2031</v>
      </c>
      <c r="J12" s="558">
        <f t="shared" si="3"/>
        <v>2031.5</v>
      </c>
      <c r="K12" s="545">
        <f t="shared" si="4"/>
        <v>20000</v>
      </c>
      <c r="L12" s="546">
        <f t="shared" si="5"/>
        <v>20000</v>
      </c>
      <c r="M12" s="546">
        <f t="shared" si="6"/>
        <v>166.66666666666666</v>
      </c>
      <c r="N12" s="546">
        <f t="shared" si="7"/>
        <v>2000</v>
      </c>
      <c r="O12" s="547">
        <f t="shared" si="0"/>
        <v>2000</v>
      </c>
      <c r="P12" s="547">
        <f t="shared" si="1"/>
        <v>2333.3333333334849</v>
      </c>
      <c r="Q12" s="546">
        <f t="shared" si="8"/>
        <v>4333.3333333334849</v>
      </c>
      <c r="R12" s="546">
        <f t="shared" si="9"/>
        <v>15666.666666666515</v>
      </c>
      <c r="U12" s="550"/>
    </row>
    <row r="13" spans="1:21">
      <c r="A13" s="553">
        <v>44405</v>
      </c>
      <c r="B13" s="554" t="s">
        <v>2293</v>
      </c>
      <c r="C13" s="555">
        <v>40000</v>
      </c>
      <c r="D13" s="542">
        <v>2021</v>
      </c>
      <c r="E13" s="542">
        <v>7</v>
      </c>
      <c r="F13" s="543">
        <v>0</v>
      </c>
      <c r="G13" s="544" t="s">
        <v>51</v>
      </c>
      <c r="H13" s="542">
        <v>10</v>
      </c>
      <c r="I13" s="544">
        <f t="shared" si="2"/>
        <v>2031</v>
      </c>
      <c r="J13" s="558">
        <f t="shared" si="3"/>
        <v>2031.5833333333333</v>
      </c>
      <c r="K13" s="545">
        <f t="shared" si="4"/>
        <v>40000</v>
      </c>
      <c r="L13" s="546">
        <f t="shared" si="5"/>
        <v>40000</v>
      </c>
      <c r="M13" s="546">
        <f t="shared" si="6"/>
        <v>333.33333333333331</v>
      </c>
      <c r="N13" s="546">
        <f t="shared" si="7"/>
        <v>4000</v>
      </c>
      <c r="O13" s="547">
        <f t="shared" si="0"/>
        <v>4000</v>
      </c>
      <c r="P13" s="547">
        <f t="shared" si="1"/>
        <v>4333.3333333339397</v>
      </c>
      <c r="Q13" s="546">
        <f t="shared" si="8"/>
        <v>8333.3333333339397</v>
      </c>
      <c r="R13" s="546">
        <f t="shared" si="9"/>
        <v>31666.66666666606</v>
      </c>
      <c r="U13" s="550"/>
    </row>
    <row r="14" spans="1:21">
      <c r="A14" s="553">
        <v>44405</v>
      </c>
      <c r="B14" s="554" t="s">
        <v>2294</v>
      </c>
      <c r="C14" s="555">
        <v>30000</v>
      </c>
      <c r="D14" s="542">
        <v>2021</v>
      </c>
      <c r="E14" s="542">
        <v>7</v>
      </c>
      <c r="F14" s="543">
        <v>0</v>
      </c>
      <c r="G14" s="544" t="s">
        <v>51</v>
      </c>
      <c r="H14" s="542">
        <v>10</v>
      </c>
      <c r="I14" s="544">
        <f t="shared" si="2"/>
        <v>2031</v>
      </c>
      <c r="J14" s="558">
        <f t="shared" si="3"/>
        <v>2031.5833333333333</v>
      </c>
      <c r="K14" s="545">
        <f t="shared" si="4"/>
        <v>30000</v>
      </c>
      <c r="L14" s="546">
        <f t="shared" si="5"/>
        <v>30000</v>
      </c>
      <c r="M14" s="546">
        <f t="shared" si="6"/>
        <v>250</v>
      </c>
      <c r="N14" s="546">
        <f t="shared" si="7"/>
        <v>3000</v>
      </c>
      <c r="O14" s="547">
        <f t="shared" si="0"/>
        <v>3000</v>
      </c>
      <c r="P14" s="547">
        <f t="shared" si="1"/>
        <v>3250.0000000004547</v>
      </c>
      <c r="Q14" s="546">
        <f t="shared" si="8"/>
        <v>6250.0000000004547</v>
      </c>
      <c r="R14" s="546">
        <f t="shared" si="9"/>
        <v>23749.999999999545</v>
      </c>
      <c r="U14" s="550"/>
    </row>
    <row r="15" spans="1:21">
      <c r="A15" s="553">
        <v>44405</v>
      </c>
      <c r="B15" s="554" t="s">
        <v>2291</v>
      </c>
      <c r="C15" s="555">
        <v>16795.419999999998</v>
      </c>
      <c r="D15" s="542">
        <v>2021</v>
      </c>
      <c r="E15" s="542">
        <v>7</v>
      </c>
      <c r="F15" s="543">
        <v>0</v>
      </c>
      <c r="G15" s="544" t="s">
        <v>51</v>
      </c>
      <c r="H15" s="542">
        <v>10</v>
      </c>
      <c r="I15" s="544">
        <f t="shared" si="2"/>
        <v>2031</v>
      </c>
      <c r="J15" s="558">
        <f t="shared" si="3"/>
        <v>2031.5833333333333</v>
      </c>
      <c r="K15" s="545">
        <f t="shared" si="4"/>
        <v>16795.419999999998</v>
      </c>
      <c r="L15" s="546">
        <f t="shared" si="5"/>
        <v>16795.419999999998</v>
      </c>
      <c r="M15" s="546">
        <f t="shared" si="6"/>
        <v>139.96183333333332</v>
      </c>
      <c r="N15" s="546">
        <f t="shared" si="7"/>
        <v>1679.5419999999999</v>
      </c>
      <c r="O15" s="547">
        <f t="shared" si="0"/>
        <v>1679.5419999999999</v>
      </c>
      <c r="P15" s="547">
        <f t="shared" si="1"/>
        <v>1819.5038333335888</v>
      </c>
      <c r="Q15" s="546">
        <f t="shared" si="8"/>
        <v>3499.0458333335887</v>
      </c>
      <c r="R15" s="546">
        <f t="shared" si="9"/>
        <v>13296.37416666641</v>
      </c>
      <c r="U15" s="550"/>
    </row>
    <row r="16" spans="1:21">
      <c r="A16" s="553">
        <v>44405</v>
      </c>
      <c r="B16" s="554" t="s">
        <v>2294</v>
      </c>
      <c r="C16" s="555">
        <v>1629</v>
      </c>
      <c r="D16" s="542">
        <v>2021</v>
      </c>
      <c r="E16" s="542">
        <v>7</v>
      </c>
      <c r="F16" s="543">
        <v>0</v>
      </c>
      <c r="G16" s="544" t="s">
        <v>51</v>
      </c>
      <c r="H16" s="542">
        <v>10</v>
      </c>
      <c r="I16" s="544">
        <f t="shared" si="2"/>
        <v>2031</v>
      </c>
      <c r="J16" s="558">
        <f t="shared" si="3"/>
        <v>2031.5833333333333</v>
      </c>
      <c r="K16" s="545">
        <f t="shared" si="4"/>
        <v>1629</v>
      </c>
      <c r="L16" s="546">
        <f t="shared" si="5"/>
        <v>1629</v>
      </c>
      <c r="M16" s="546">
        <f t="shared" si="6"/>
        <v>13.575000000000001</v>
      </c>
      <c r="N16" s="546">
        <f t="shared" si="7"/>
        <v>162.9</v>
      </c>
      <c r="O16" s="547">
        <f t="shared" si="0"/>
        <v>162.9</v>
      </c>
      <c r="P16" s="547">
        <f t="shared" si="1"/>
        <v>176.47500000002447</v>
      </c>
      <c r="Q16" s="546">
        <f t="shared" si="8"/>
        <v>339.37500000002444</v>
      </c>
      <c r="R16" s="546">
        <f t="shared" si="9"/>
        <v>1289.6249999999754</v>
      </c>
      <c r="U16" s="550"/>
    </row>
    <row r="17" spans="1:21">
      <c r="A17" s="553">
        <v>44405</v>
      </c>
      <c r="B17" s="554" t="s">
        <v>2294</v>
      </c>
      <c r="C17" s="555">
        <v>515.85</v>
      </c>
      <c r="D17" s="542">
        <v>2021</v>
      </c>
      <c r="E17" s="542">
        <v>7</v>
      </c>
      <c r="F17" s="543">
        <v>0</v>
      </c>
      <c r="G17" s="544" t="s">
        <v>51</v>
      </c>
      <c r="H17" s="542">
        <v>10</v>
      </c>
      <c r="I17" s="544">
        <f t="shared" si="2"/>
        <v>2031</v>
      </c>
      <c r="J17" s="558">
        <f t="shared" si="3"/>
        <v>2031.5833333333333</v>
      </c>
      <c r="K17" s="545">
        <f t="shared" si="4"/>
        <v>515.85</v>
      </c>
      <c r="L17" s="546">
        <f t="shared" si="5"/>
        <v>515.85</v>
      </c>
      <c r="M17" s="546">
        <f t="shared" si="6"/>
        <v>4.2987500000000001</v>
      </c>
      <c r="N17" s="546">
        <f t="shared" si="7"/>
        <v>51.585000000000001</v>
      </c>
      <c r="O17" s="547">
        <f t="shared" si="0"/>
        <v>51.585000000000001</v>
      </c>
      <c r="P17" s="547">
        <f t="shared" si="1"/>
        <v>55.883750000007808</v>
      </c>
      <c r="Q17" s="546">
        <f t="shared" si="8"/>
        <v>107.46875000000782</v>
      </c>
      <c r="R17" s="546">
        <f t="shared" si="9"/>
        <v>408.38124999999218</v>
      </c>
      <c r="U17" s="550"/>
    </row>
    <row r="18" spans="1:21">
      <c r="A18" s="553">
        <v>44448</v>
      </c>
      <c r="B18" s="554" t="s">
        <v>2294</v>
      </c>
      <c r="C18" s="555">
        <v>37332</v>
      </c>
      <c r="D18" s="542">
        <v>2021</v>
      </c>
      <c r="E18" s="542">
        <v>9</v>
      </c>
      <c r="F18" s="543">
        <v>0</v>
      </c>
      <c r="G18" s="544" t="s">
        <v>51</v>
      </c>
      <c r="H18" s="542">
        <v>10</v>
      </c>
      <c r="I18" s="544">
        <f t="shared" si="2"/>
        <v>2031</v>
      </c>
      <c r="J18" s="558">
        <f t="shared" si="3"/>
        <v>2031.75</v>
      </c>
      <c r="K18" s="545">
        <f t="shared" si="4"/>
        <v>37332</v>
      </c>
      <c r="L18" s="546">
        <f t="shared" si="5"/>
        <v>37332</v>
      </c>
      <c r="M18" s="546">
        <f t="shared" si="6"/>
        <v>311.09999999999997</v>
      </c>
      <c r="N18" s="546">
        <f t="shared" si="7"/>
        <v>3733.2</v>
      </c>
      <c r="O18" s="547">
        <f t="shared" si="0"/>
        <v>3733.2</v>
      </c>
      <c r="P18" s="547">
        <f t="shared" si="1"/>
        <v>3422.1000000002896</v>
      </c>
      <c r="Q18" s="546">
        <f t="shared" si="8"/>
        <v>7155.3000000002894</v>
      </c>
      <c r="R18" s="546">
        <f t="shared" si="9"/>
        <v>30176.69999999971</v>
      </c>
      <c r="U18" s="550"/>
    </row>
    <row r="19" spans="1:21">
      <c r="A19" s="553">
        <v>44448</v>
      </c>
      <c r="B19" s="554" t="s">
        <v>2293</v>
      </c>
      <c r="C19" s="555">
        <v>35460.71</v>
      </c>
      <c r="D19" s="542">
        <v>2021</v>
      </c>
      <c r="E19" s="542">
        <v>9</v>
      </c>
      <c r="F19" s="543">
        <v>0</v>
      </c>
      <c r="G19" s="544" t="s">
        <v>51</v>
      </c>
      <c r="H19" s="542">
        <v>10</v>
      </c>
      <c r="I19" s="544">
        <f t="shared" si="2"/>
        <v>2031</v>
      </c>
      <c r="J19" s="558">
        <f t="shared" si="3"/>
        <v>2031.75</v>
      </c>
      <c r="K19" s="545">
        <f t="shared" si="4"/>
        <v>35460.71</v>
      </c>
      <c r="L19" s="546">
        <f t="shared" si="5"/>
        <v>35460.71</v>
      </c>
      <c r="M19" s="546">
        <f t="shared" si="6"/>
        <v>295.50591666666668</v>
      </c>
      <c r="N19" s="546">
        <f t="shared" si="7"/>
        <v>3546.0709999999999</v>
      </c>
      <c r="O19" s="547">
        <f t="shared" si="0"/>
        <v>3546.0709999999999</v>
      </c>
      <c r="P19" s="547">
        <f t="shared" si="1"/>
        <v>3250.5650833336003</v>
      </c>
      <c r="Q19" s="546">
        <f t="shared" si="8"/>
        <v>6796.6360833336003</v>
      </c>
      <c r="R19" s="546">
        <f t="shared" si="9"/>
        <v>28664.073916666399</v>
      </c>
      <c r="U19" s="550"/>
    </row>
    <row r="20" spans="1:21">
      <c r="A20" s="553">
        <v>44460</v>
      </c>
      <c r="B20" s="554" t="s">
        <v>2295</v>
      </c>
      <c r="C20" s="555">
        <v>9891.2800000000007</v>
      </c>
      <c r="D20" s="542">
        <v>2021</v>
      </c>
      <c r="E20" s="542">
        <v>9</v>
      </c>
      <c r="F20" s="543">
        <v>0</v>
      </c>
      <c r="G20" s="544" t="s">
        <v>51</v>
      </c>
      <c r="H20" s="542">
        <v>10</v>
      </c>
      <c r="I20" s="544">
        <f t="shared" si="2"/>
        <v>2031</v>
      </c>
      <c r="J20" s="558">
        <f t="shared" si="3"/>
        <v>2031.75</v>
      </c>
      <c r="K20" s="545">
        <f t="shared" si="4"/>
        <v>9891.2800000000007</v>
      </c>
      <c r="L20" s="546">
        <f t="shared" si="5"/>
        <v>9891.2800000000007</v>
      </c>
      <c r="M20" s="546">
        <f t="shared" si="6"/>
        <v>82.427333333333337</v>
      </c>
      <c r="N20" s="546">
        <f t="shared" si="7"/>
        <v>989.12800000000004</v>
      </c>
      <c r="O20" s="547">
        <f t="shared" si="0"/>
        <v>989.12800000000004</v>
      </c>
      <c r="P20" s="547">
        <f t="shared" si="1"/>
        <v>906.70066666674211</v>
      </c>
      <c r="Q20" s="546">
        <f t="shared" si="8"/>
        <v>1895.8286666667423</v>
      </c>
      <c r="R20" s="546">
        <f t="shared" si="9"/>
        <v>7995.4513333332579</v>
      </c>
      <c r="U20" s="550"/>
    </row>
    <row r="21" spans="1:21">
      <c r="A21" s="553">
        <v>44460</v>
      </c>
      <c r="B21" s="554" t="s">
        <v>2295</v>
      </c>
      <c r="C21" s="555">
        <v>3801</v>
      </c>
      <c r="D21" s="542">
        <v>2021</v>
      </c>
      <c r="E21" s="542">
        <v>9</v>
      </c>
      <c r="F21" s="543">
        <v>0</v>
      </c>
      <c r="G21" s="544" t="s">
        <v>51</v>
      </c>
      <c r="H21" s="542">
        <v>10</v>
      </c>
      <c r="I21" s="544">
        <f t="shared" si="2"/>
        <v>2031</v>
      </c>
      <c r="J21" s="558">
        <f t="shared" si="3"/>
        <v>2031.75</v>
      </c>
      <c r="K21" s="545">
        <f t="shared" si="4"/>
        <v>3801</v>
      </c>
      <c r="L21" s="546">
        <f t="shared" si="5"/>
        <v>3801</v>
      </c>
      <c r="M21" s="546">
        <f t="shared" si="6"/>
        <v>31.675000000000001</v>
      </c>
      <c r="N21" s="546">
        <f t="shared" si="7"/>
        <v>380.1</v>
      </c>
      <c r="O21" s="547">
        <f t="shared" si="0"/>
        <v>380.1</v>
      </c>
      <c r="P21" s="547">
        <f t="shared" si="1"/>
        <v>348.42500000002883</v>
      </c>
      <c r="Q21" s="546">
        <f t="shared" si="8"/>
        <v>728.52500000002885</v>
      </c>
      <c r="R21" s="546">
        <f t="shared" si="9"/>
        <v>3072.4749999999713</v>
      </c>
      <c r="U21" s="550"/>
    </row>
    <row r="22" spans="1:21">
      <c r="A22" s="553">
        <v>44460</v>
      </c>
      <c r="B22" s="554" t="s">
        <v>2295</v>
      </c>
      <c r="C22" s="555">
        <v>2776.75</v>
      </c>
      <c r="D22" s="542">
        <v>2021</v>
      </c>
      <c r="E22" s="542">
        <v>9</v>
      </c>
      <c r="F22" s="543">
        <v>0</v>
      </c>
      <c r="G22" s="544" t="s">
        <v>51</v>
      </c>
      <c r="H22" s="542">
        <v>10</v>
      </c>
      <c r="I22" s="544">
        <f t="shared" si="2"/>
        <v>2031</v>
      </c>
      <c r="J22" s="558">
        <f t="shared" si="3"/>
        <v>2031.75</v>
      </c>
      <c r="K22" s="545">
        <f t="shared" si="4"/>
        <v>2776.75</v>
      </c>
      <c r="L22" s="546">
        <f t="shared" si="5"/>
        <v>2776.75</v>
      </c>
      <c r="M22" s="546">
        <f t="shared" si="6"/>
        <v>23.139583333333334</v>
      </c>
      <c r="N22" s="546">
        <f t="shared" si="7"/>
        <v>277.67500000000001</v>
      </c>
      <c r="O22" s="547">
        <f t="shared" si="0"/>
        <v>277.67500000000001</v>
      </c>
      <c r="P22" s="547">
        <f t="shared" si="1"/>
        <v>254.53541666668752</v>
      </c>
      <c r="Q22" s="546">
        <f t="shared" si="8"/>
        <v>532.21041666668748</v>
      </c>
      <c r="R22" s="546">
        <f t="shared" si="9"/>
        <v>2244.5395833333123</v>
      </c>
      <c r="U22" s="550"/>
    </row>
    <row r="23" spans="1:21">
      <c r="A23" s="553">
        <v>44460</v>
      </c>
      <c r="B23" s="554" t="s">
        <v>2295</v>
      </c>
      <c r="C23" s="555">
        <v>2280.6</v>
      </c>
      <c r="D23" s="542">
        <v>2021</v>
      </c>
      <c r="E23" s="542">
        <v>9</v>
      </c>
      <c r="F23" s="543">
        <v>0</v>
      </c>
      <c r="G23" s="544" t="s">
        <v>51</v>
      </c>
      <c r="H23" s="542">
        <v>10</v>
      </c>
      <c r="I23" s="544">
        <f t="shared" si="2"/>
        <v>2031</v>
      </c>
      <c r="J23" s="558">
        <f t="shared" si="3"/>
        <v>2031.75</v>
      </c>
      <c r="K23" s="545">
        <f t="shared" si="4"/>
        <v>2280.6</v>
      </c>
      <c r="L23" s="546">
        <f t="shared" si="5"/>
        <v>2280.6</v>
      </c>
      <c r="M23" s="546">
        <f t="shared" si="6"/>
        <v>19.004999999999999</v>
      </c>
      <c r="N23" s="546">
        <f t="shared" si="7"/>
        <v>228.06</v>
      </c>
      <c r="O23" s="547">
        <f t="shared" si="0"/>
        <v>228.06</v>
      </c>
      <c r="P23" s="547">
        <f t="shared" si="1"/>
        <v>209.05500000001712</v>
      </c>
      <c r="Q23" s="546">
        <f t="shared" si="8"/>
        <v>437.11500000001712</v>
      </c>
      <c r="R23" s="546">
        <f t="shared" si="9"/>
        <v>1843.4849999999828</v>
      </c>
      <c r="U23" s="550"/>
    </row>
    <row r="24" spans="1:21">
      <c r="A24" s="553">
        <v>44460</v>
      </c>
      <c r="B24" s="554" t="s">
        <v>2295</v>
      </c>
      <c r="C24" s="555">
        <v>1248.9000000000001</v>
      </c>
      <c r="D24" s="542">
        <v>2021</v>
      </c>
      <c r="E24" s="542">
        <v>9</v>
      </c>
      <c r="F24" s="543">
        <v>0</v>
      </c>
      <c r="G24" s="544" t="s">
        <v>51</v>
      </c>
      <c r="H24" s="542">
        <v>10</v>
      </c>
      <c r="I24" s="544">
        <f t="shared" si="2"/>
        <v>2031</v>
      </c>
      <c r="J24" s="558">
        <f t="shared" si="3"/>
        <v>2031.75</v>
      </c>
      <c r="K24" s="545">
        <f t="shared" si="4"/>
        <v>1248.9000000000001</v>
      </c>
      <c r="L24" s="546">
        <f t="shared" si="5"/>
        <v>1248.9000000000001</v>
      </c>
      <c r="M24" s="546">
        <f t="shared" si="6"/>
        <v>10.407500000000001</v>
      </c>
      <c r="N24" s="546">
        <f t="shared" si="7"/>
        <v>124.89000000000001</v>
      </c>
      <c r="O24" s="547">
        <f t="shared" si="0"/>
        <v>124.89000000000001</v>
      </c>
      <c r="P24" s="547">
        <f t="shared" si="1"/>
        <v>114.4825000000094</v>
      </c>
      <c r="Q24" s="546">
        <f t="shared" si="8"/>
        <v>239.37250000000941</v>
      </c>
      <c r="R24" s="546">
        <f t="shared" si="9"/>
        <v>1009.5274999999907</v>
      </c>
      <c r="U24" s="550"/>
    </row>
    <row r="25" spans="1:21">
      <c r="A25" s="553">
        <v>44573</v>
      </c>
      <c r="B25" s="554" t="s">
        <v>2296</v>
      </c>
      <c r="C25" s="555">
        <v>1954.8</v>
      </c>
      <c r="D25" s="542">
        <v>2022</v>
      </c>
      <c r="E25" s="542">
        <v>1</v>
      </c>
      <c r="F25" s="543">
        <v>0</v>
      </c>
      <c r="G25" s="544" t="s">
        <v>51</v>
      </c>
      <c r="H25" s="542">
        <v>10</v>
      </c>
      <c r="I25" s="544">
        <f t="shared" si="2"/>
        <v>2032</v>
      </c>
      <c r="J25" s="558">
        <f t="shared" si="3"/>
        <v>2032.0833333333333</v>
      </c>
      <c r="K25" s="545">
        <f t="shared" si="4"/>
        <v>1954.8</v>
      </c>
      <c r="L25" s="546">
        <f t="shared" si="5"/>
        <v>1954.8</v>
      </c>
      <c r="M25" s="546">
        <f t="shared" si="6"/>
        <v>16.29</v>
      </c>
      <c r="N25" s="546">
        <f t="shared" si="7"/>
        <v>195.48</v>
      </c>
      <c r="O25" s="547">
        <f t="shared" si="0"/>
        <v>195.48</v>
      </c>
      <c r="P25" s="547">
        <f t="shared" si="1"/>
        <v>114.03000000002976</v>
      </c>
      <c r="Q25" s="546">
        <f t="shared" si="8"/>
        <v>309.51000000002978</v>
      </c>
      <c r="R25" s="546">
        <f t="shared" si="9"/>
        <v>1645.2899999999702</v>
      </c>
      <c r="U25" s="550"/>
    </row>
    <row r="26" spans="1:21">
      <c r="A26" s="553">
        <v>44579</v>
      </c>
      <c r="B26" s="554" t="s">
        <v>2297</v>
      </c>
      <c r="C26" s="555">
        <v>6543.15</v>
      </c>
      <c r="D26" s="542">
        <v>2022</v>
      </c>
      <c r="E26" s="542">
        <v>1</v>
      </c>
      <c r="F26" s="543">
        <v>0</v>
      </c>
      <c r="G26" s="544" t="s">
        <v>51</v>
      </c>
      <c r="H26" s="542">
        <v>10</v>
      </c>
      <c r="I26" s="544">
        <f t="shared" si="2"/>
        <v>2032</v>
      </c>
      <c r="J26" s="558">
        <f t="shared" si="3"/>
        <v>2032.0833333333333</v>
      </c>
      <c r="K26" s="545">
        <f t="shared" si="4"/>
        <v>6543.15</v>
      </c>
      <c r="L26" s="546">
        <f t="shared" si="5"/>
        <v>6543.15</v>
      </c>
      <c r="M26" s="546">
        <f t="shared" si="6"/>
        <v>54.526249999999997</v>
      </c>
      <c r="N26" s="546">
        <f t="shared" si="7"/>
        <v>654.31499999999994</v>
      </c>
      <c r="O26" s="547">
        <f t="shared" si="0"/>
        <v>654.31499999999994</v>
      </c>
      <c r="P26" s="547">
        <f t="shared" si="1"/>
        <v>381.68375000009928</v>
      </c>
      <c r="Q26" s="546">
        <f t="shared" si="8"/>
        <v>1035.9987500000993</v>
      </c>
      <c r="R26" s="546">
        <f t="shared" si="9"/>
        <v>5507.1512499999008</v>
      </c>
      <c r="U26" s="550"/>
    </row>
    <row r="27" spans="1:21">
      <c r="A27" s="553">
        <v>44616</v>
      </c>
      <c r="B27" s="554" t="s">
        <v>2298</v>
      </c>
      <c r="C27" s="555">
        <v>10534.2</v>
      </c>
      <c r="D27" s="542">
        <v>2022</v>
      </c>
      <c r="E27" s="542">
        <v>2</v>
      </c>
      <c r="F27" s="543">
        <v>0</v>
      </c>
      <c r="G27" s="544" t="s">
        <v>51</v>
      </c>
      <c r="H27" s="542">
        <v>10</v>
      </c>
      <c r="I27" s="544">
        <f t="shared" si="2"/>
        <v>2032</v>
      </c>
      <c r="J27" s="558">
        <f t="shared" si="3"/>
        <v>2032.1666666666667</v>
      </c>
      <c r="K27" s="545">
        <f t="shared" si="4"/>
        <v>10534.2</v>
      </c>
      <c r="L27" s="546">
        <f t="shared" si="5"/>
        <v>10534.2</v>
      </c>
      <c r="M27" s="546">
        <f t="shared" si="6"/>
        <v>87.785000000000011</v>
      </c>
      <c r="N27" s="546">
        <f t="shared" si="7"/>
        <v>1053.42</v>
      </c>
      <c r="O27" s="547">
        <f t="shared" si="0"/>
        <v>1053.42</v>
      </c>
      <c r="P27" s="547">
        <f t="shared" si="1"/>
        <v>526.70999999999913</v>
      </c>
      <c r="Q27" s="546">
        <f t="shared" si="8"/>
        <v>1580.1299999999992</v>
      </c>
      <c r="R27" s="546">
        <f t="shared" si="9"/>
        <v>8954.0700000000015</v>
      </c>
      <c r="U27" s="550"/>
    </row>
    <row r="28" spans="1:21">
      <c r="A28" s="553">
        <v>44616</v>
      </c>
      <c r="B28" s="554" t="s">
        <v>2299</v>
      </c>
      <c r="C28" s="555">
        <v>9475.35</v>
      </c>
      <c r="D28" s="542">
        <v>2022</v>
      </c>
      <c r="E28" s="542">
        <v>2</v>
      </c>
      <c r="F28" s="543">
        <v>0</v>
      </c>
      <c r="G28" s="544" t="s">
        <v>51</v>
      </c>
      <c r="H28" s="542">
        <v>10</v>
      </c>
      <c r="I28" s="544">
        <f t="shared" si="2"/>
        <v>2032</v>
      </c>
      <c r="J28" s="558">
        <f t="shared" si="3"/>
        <v>2032.1666666666667</v>
      </c>
      <c r="K28" s="545">
        <f t="shared" si="4"/>
        <v>9475.35</v>
      </c>
      <c r="L28" s="546">
        <f t="shared" si="5"/>
        <v>9475.35</v>
      </c>
      <c r="M28" s="546">
        <f t="shared" si="6"/>
        <v>78.961250000000007</v>
      </c>
      <c r="N28" s="546">
        <f t="shared" si="7"/>
        <v>947.53500000000008</v>
      </c>
      <c r="O28" s="547">
        <f t="shared" si="0"/>
        <v>947.53500000000008</v>
      </c>
      <c r="P28" s="547">
        <f t="shared" si="1"/>
        <v>473.76749999999993</v>
      </c>
      <c r="Q28" s="546">
        <f t="shared" si="8"/>
        <v>1421.3025</v>
      </c>
      <c r="R28" s="546">
        <f t="shared" si="9"/>
        <v>8054.0475000000006</v>
      </c>
      <c r="U28" s="550"/>
    </row>
    <row r="29" spans="1:21">
      <c r="A29" s="553">
        <v>44629</v>
      </c>
      <c r="B29" s="554" t="s">
        <v>2300</v>
      </c>
      <c r="C29" s="555">
        <v>1085</v>
      </c>
      <c r="D29" s="542">
        <v>2022</v>
      </c>
      <c r="E29" s="542">
        <v>3</v>
      </c>
      <c r="F29" s="543">
        <v>0</v>
      </c>
      <c r="G29" s="544" t="s">
        <v>51</v>
      </c>
      <c r="H29" s="542">
        <v>10</v>
      </c>
      <c r="I29" s="544">
        <f t="shared" si="2"/>
        <v>2032</v>
      </c>
      <c r="J29" s="558">
        <f t="shared" si="3"/>
        <v>2032.25</v>
      </c>
      <c r="K29" s="545">
        <f t="shared" si="4"/>
        <v>1085</v>
      </c>
      <c r="L29" s="546">
        <f t="shared" si="5"/>
        <v>1085</v>
      </c>
      <c r="M29" s="546">
        <f t="shared" si="6"/>
        <v>9.0416666666666661</v>
      </c>
      <c r="N29" s="546">
        <f t="shared" si="7"/>
        <v>108.5</v>
      </c>
      <c r="O29" s="547">
        <f t="shared" si="0"/>
        <v>108.5</v>
      </c>
      <c r="P29" s="547">
        <f t="shared" si="1"/>
        <v>45.20833333334167</v>
      </c>
      <c r="Q29" s="546">
        <f t="shared" si="8"/>
        <v>153.70833333334167</v>
      </c>
      <c r="R29" s="546">
        <f t="shared" si="9"/>
        <v>931.29166666665833</v>
      </c>
      <c r="U29" s="550"/>
    </row>
    <row r="30" spans="1:21">
      <c r="A30" s="553">
        <v>44764</v>
      </c>
      <c r="B30" s="554" t="s">
        <v>2301</v>
      </c>
      <c r="C30" s="555">
        <v>325.8</v>
      </c>
      <c r="D30" s="542">
        <v>2022</v>
      </c>
      <c r="E30" s="542">
        <v>7</v>
      </c>
      <c r="F30" s="543">
        <v>0</v>
      </c>
      <c r="G30" s="544" t="s">
        <v>51</v>
      </c>
      <c r="H30" s="542">
        <v>10</v>
      </c>
      <c r="I30" s="544">
        <f t="shared" si="2"/>
        <v>2032</v>
      </c>
      <c r="J30" s="558">
        <f t="shared" si="3"/>
        <v>2032.5833333333333</v>
      </c>
      <c r="K30" s="545">
        <f t="shared" si="4"/>
        <v>325.8</v>
      </c>
      <c r="L30" s="546">
        <f t="shared" si="5"/>
        <v>325.8</v>
      </c>
      <c r="M30" s="546">
        <f t="shared" si="6"/>
        <v>2.7149999999999999</v>
      </c>
      <c r="N30" s="546">
        <f t="shared" si="7"/>
        <v>32.58</v>
      </c>
      <c r="O30" s="547">
        <f t="shared" si="0"/>
        <v>32.58</v>
      </c>
      <c r="P30" s="547">
        <f t="shared" si="1"/>
        <v>2.7150000000049772</v>
      </c>
      <c r="Q30" s="546">
        <f t="shared" si="8"/>
        <v>35.295000000004976</v>
      </c>
      <c r="R30" s="546">
        <f t="shared" si="9"/>
        <v>290.50499999999505</v>
      </c>
      <c r="U30" s="550"/>
    </row>
    <row r="31" spans="1:21">
      <c r="A31" s="553">
        <v>44824</v>
      </c>
      <c r="B31" s="554" t="s">
        <v>2302</v>
      </c>
      <c r="C31" s="555">
        <v>9166.4</v>
      </c>
      <c r="D31" s="542">
        <v>2022</v>
      </c>
      <c r="E31" s="542">
        <v>9</v>
      </c>
      <c r="F31" s="543">
        <v>0</v>
      </c>
      <c r="G31" s="544" t="s">
        <v>51</v>
      </c>
      <c r="H31" s="542">
        <v>10</v>
      </c>
      <c r="I31" s="544">
        <f t="shared" si="2"/>
        <v>2032</v>
      </c>
      <c r="J31" s="558">
        <f t="shared" si="3"/>
        <v>2032.75</v>
      </c>
      <c r="K31" s="545">
        <f t="shared" si="4"/>
        <v>9166.4</v>
      </c>
      <c r="L31" s="546">
        <f t="shared" si="5"/>
        <v>9166.4</v>
      </c>
      <c r="M31" s="546">
        <f t="shared" si="6"/>
        <v>76.38666666666667</v>
      </c>
      <c r="N31" s="546">
        <f t="shared" si="7"/>
        <v>916.6400000000001</v>
      </c>
      <c r="O31" s="547">
        <f t="shared" si="0"/>
        <v>916.6400000000001</v>
      </c>
      <c r="P31" s="547">
        <f t="shared" si="1"/>
        <v>0</v>
      </c>
      <c r="Q31" s="546">
        <f t="shared" si="8"/>
        <v>916.6400000000001</v>
      </c>
      <c r="R31" s="546">
        <f t="shared" si="9"/>
        <v>8249.76</v>
      </c>
      <c r="U31" s="550"/>
    </row>
    <row r="32" spans="1:21">
      <c r="A32" s="553">
        <v>44876</v>
      </c>
      <c r="B32" s="554" t="s">
        <v>2303</v>
      </c>
      <c r="C32" s="555">
        <v>8159.02</v>
      </c>
      <c r="D32" s="542">
        <v>2022</v>
      </c>
      <c r="E32" s="542">
        <v>11</v>
      </c>
      <c r="F32" s="543">
        <v>0</v>
      </c>
      <c r="G32" s="544" t="s">
        <v>51</v>
      </c>
      <c r="H32" s="542">
        <v>10</v>
      </c>
      <c r="I32" s="544">
        <f t="shared" si="2"/>
        <v>2032</v>
      </c>
      <c r="J32" s="558">
        <f t="shared" si="3"/>
        <v>2032.9166666666667</v>
      </c>
      <c r="K32" s="545">
        <f t="shared" si="4"/>
        <v>8159.02</v>
      </c>
      <c r="L32" s="546">
        <f t="shared" si="5"/>
        <v>8159.02</v>
      </c>
      <c r="M32" s="546">
        <f t="shared" si="6"/>
        <v>67.991833333333332</v>
      </c>
      <c r="N32" s="546">
        <f t="shared" si="7"/>
        <v>815.90200000000004</v>
      </c>
      <c r="O32" s="547">
        <f t="shared" si="0"/>
        <v>815.90200000000004</v>
      </c>
      <c r="P32" s="547">
        <f t="shared" si="1"/>
        <v>0</v>
      </c>
      <c r="Q32" s="546">
        <f t="shared" si="8"/>
        <v>815.90200000000004</v>
      </c>
      <c r="R32" s="546">
        <f t="shared" si="9"/>
        <v>7343.1180000000004</v>
      </c>
      <c r="U32" s="550"/>
    </row>
    <row r="33" spans="1:21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U33" s="550"/>
    </row>
    <row r="34" spans="1:21">
      <c r="A34" s="534"/>
      <c r="B34" s="535" t="s">
        <v>2304</v>
      </c>
      <c r="C34" s="534"/>
      <c r="D34" s="534"/>
      <c r="E34" s="534"/>
      <c r="F34" s="534"/>
      <c r="G34" s="534"/>
      <c r="H34" s="534"/>
      <c r="I34" s="534"/>
      <c r="J34" s="534"/>
      <c r="K34" s="536">
        <f>SUM(K10:K32)</f>
        <v>319528.55000000005</v>
      </c>
      <c r="L34" s="536">
        <f t="shared" ref="L34:R34" si="10">SUM(L10:L32)</f>
        <v>319528.55000000005</v>
      </c>
      <c r="M34" s="536">
        <f t="shared" si="10"/>
        <v>2662.7379166666665</v>
      </c>
      <c r="N34" s="536">
        <f t="shared" si="10"/>
        <v>31952.854999999996</v>
      </c>
      <c r="O34" s="536">
        <f t="shared" si="10"/>
        <v>31952.854999999996</v>
      </c>
      <c r="P34" s="536">
        <f t="shared" si="10"/>
        <v>30666.394833335849</v>
      </c>
      <c r="Q34" s="536">
        <f t="shared" si="10"/>
        <v>62619.249833335845</v>
      </c>
      <c r="R34" s="536">
        <f t="shared" si="10"/>
        <v>256909.30016666418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B5AC-097D-44C9-9D08-5584388D4E00}">
  <sheetPr>
    <tabColor theme="6" tint="0.59999389629810485"/>
    <pageSetUpPr fitToPage="1"/>
  </sheetPr>
  <dimension ref="A1:BF65"/>
  <sheetViews>
    <sheetView showGridLines="0" tabSelected="1" topLeftCell="D22" zoomScaleNormal="100" workbookViewId="0">
      <pane xSplit="5" ySplit="7" topLeftCell="M48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8.88671875" defaultRowHeight="15" outlineLevelCol="1"/>
  <cols>
    <col min="1" max="2" width="8.88671875" style="381"/>
    <col min="3" max="3" width="9.44140625" style="381" customWidth="1"/>
    <col min="4" max="4" width="1.109375" style="381" customWidth="1"/>
    <col min="5" max="5" width="8.109375" style="381" customWidth="1"/>
    <col min="6" max="6" width="4.6640625" style="381" customWidth="1"/>
    <col min="7" max="7" width="4.21875" style="381" customWidth="1"/>
    <col min="8" max="8" width="21.5546875" style="381" customWidth="1"/>
    <col min="9" max="9" width="38.5546875" style="381" customWidth="1" outlineLevel="1"/>
    <col min="10" max="10" width="35.109375" style="381" customWidth="1" outlineLevel="1"/>
    <col min="11" max="11" width="2.21875" style="381" customWidth="1"/>
    <col min="12" max="12" width="27.44140625" style="381" customWidth="1"/>
    <col min="13" max="13" width="22.44140625" style="381" bestFit="1" customWidth="1"/>
    <col min="14" max="14" width="13.6640625" style="381" customWidth="1"/>
    <col min="15" max="15" width="26.33203125" style="381" customWidth="1"/>
    <col min="16" max="16" width="8.77734375" style="381" bestFit="1" customWidth="1"/>
    <col min="17" max="17" width="8.88671875" style="381"/>
    <col min="18" max="18" width="15.77734375" style="381" customWidth="1" outlineLevel="1"/>
    <col min="19" max="29" width="7.77734375" style="381" customWidth="1" outlineLevel="1"/>
    <col min="30" max="30" width="0.5546875" style="381" customWidth="1" outlineLevel="1"/>
    <col min="31" max="31" width="10.33203125" style="381" customWidth="1"/>
    <col min="32" max="32" width="0.6640625" style="381" customWidth="1"/>
    <col min="33" max="33" width="7.109375" style="381" customWidth="1" outlineLevel="1"/>
    <col min="34" max="34" width="32.77734375" style="381" customWidth="1" outlineLevel="1"/>
    <col min="35" max="35" width="36.109375" style="381" customWidth="1" outlineLevel="1"/>
    <col min="36" max="37" width="7.109375" style="381" customWidth="1" outlineLevel="1"/>
    <col min="38" max="38" width="2.109375" style="381" customWidth="1"/>
    <col min="39" max="39" width="20.77734375" style="381" customWidth="1"/>
    <col min="40" max="40" width="1.109375" style="381" customWidth="1"/>
    <col min="41" max="41" width="45.109375" style="381" customWidth="1"/>
    <col min="42" max="43" width="8.88671875" style="381"/>
    <col min="44" max="44" width="38.33203125" style="381" customWidth="1"/>
    <col min="45" max="45" width="5.33203125" style="381" customWidth="1"/>
    <col min="46" max="46" width="1.109375" style="381" customWidth="1"/>
    <col min="47" max="47" width="10.109375" style="381" bestFit="1" customWidth="1"/>
    <col min="48" max="48" width="6" style="381" customWidth="1"/>
    <col min="49" max="49" width="1" style="381" customWidth="1"/>
    <col min="50" max="50" width="16" style="381" customWidth="1"/>
    <col min="51" max="51" width="15.109375" style="381" bestFit="1" customWidth="1"/>
    <col min="52" max="52" width="5.33203125" style="381" customWidth="1"/>
    <col min="53" max="53" width="1.109375" style="381" customWidth="1"/>
    <col min="54" max="56" width="12" style="381" customWidth="1"/>
    <col min="57" max="57" width="8.21875" style="381" customWidth="1"/>
    <col min="58" max="16384" width="8.88671875" style="381"/>
  </cols>
  <sheetData>
    <row r="1" spans="1:58" s="380" customFormat="1">
      <c r="D1" s="380" t="s">
        <v>2144</v>
      </c>
      <c r="AT1" s="381"/>
      <c r="AW1" s="381"/>
      <c r="BA1" s="381"/>
    </row>
    <row r="2" spans="1:58">
      <c r="C2" s="382"/>
      <c r="D2" s="383"/>
      <c r="E2" s="382"/>
      <c r="F2" s="382"/>
      <c r="G2" s="382"/>
      <c r="H2" s="384"/>
      <c r="I2" s="384"/>
      <c r="J2" s="384"/>
      <c r="L2" s="382"/>
      <c r="M2" s="382"/>
      <c r="N2" s="382"/>
      <c r="O2" s="382"/>
      <c r="P2" s="382"/>
      <c r="Q2" s="382" t="s">
        <v>2145</v>
      </c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G2" s="382"/>
      <c r="AH2" s="382"/>
      <c r="AI2" s="382"/>
      <c r="AJ2" s="382"/>
      <c r="AK2" s="382"/>
      <c r="AM2" s="382"/>
      <c r="AO2" s="382"/>
    </row>
    <row r="3" spans="1:58">
      <c r="A3" s="381" t="s">
        <v>2146</v>
      </c>
      <c r="B3" s="381" t="s">
        <v>2147</v>
      </c>
      <c r="C3" s="382" t="s">
        <v>2148</v>
      </c>
      <c r="D3" s="383"/>
      <c r="E3" s="382" t="s">
        <v>2149</v>
      </c>
      <c r="F3" s="382" t="s">
        <v>2150</v>
      </c>
      <c r="G3" s="382" t="s">
        <v>2151</v>
      </c>
      <c r="H3" s="384" t="s">
        <v>2152</v>
      </c>
      <c r="I3" s="384" t="s">
        <v>2153</v>
      </c>
      <c r="J3" s="384" t="s">
        <v>2154</v>
      </c>
      <c r="L3" s="382" t="s">
        <v>2155</v>
      </c>
      <c r="M3" s="382" t="s">
        <v>2156</v>
      </c>
      <c r="N3" s="382" t="s">
        <v>2157</v>
      </c>
      <c r="O3" s="382" t="s">
        <v>2158</v>
      </c>
      <c r="P3" s="382" t="s">
        <v>2159</v>
      </c>
      <c r="Q3" s="382" t="s">
        <v>2160</v>
      </c>
      <c r="R3" s="382" t="s">
        <v>2161</v>
      </c>
      <c r="S3" s="382" t="s">
        <v>2162</v>
      </c>
      <c r="T3" s="382" t="s">
        <v>2163</v>
      </c>
      <c r="U3" s="382" t="s">
        <v>2164</v>
      </c>
      <c r="V3" s="382" t="s">
        <v>2165</v>
      </c>
      <c r="W3" s="382" t="s">
        <v>2166</v>
      </c>
      <c r="X3" s="382" t="s">
        <v>2167</v>
      </c>
      <c r="Y3" s="382" t="s">
        <v>2168</v>
      </c>
      <c r="Z3" s="382" t="s">
        <v>2169</v>
      </c>
      <c r="AA3" s="382" t="s">
        <v>2170</v>
      </c>
      <c r="AB3" s="382" t="s">
        <v>2171</v>
      </c>
      <c r="AC3" s="382" t="s">
        <v>2172</v>
      </c>
      <c r="AG3" s="382" t="s">
        <v>2173</v>
      </c>
      <c r="AH3" s="382"/>
      <c r="AI3" s="382" t="s">
        <v>2174</v>
      </c>
      <c r="AJ3" s="382" t="s">
        <v>2175</v>
      </c>
      <c r="AK3" s="382" t="s">
        <v>2176</v>
      </c>
      <c r="AM3" s="382" t="s">
        <v>2177</v>
      </c>
      <c r="AO3" s="382"/>
    </row>
    <row r="4" spans="1:58">
      <c r="C4" s="381" t="s">
        <v>2147</v>
      </c>
      <c r="D4" s="383"/>
      <c r="E4" s="382"/>
      <c r="F4" s="382"/>
      <c r="G4" s="382" t="s">
        <v>2151</v>
      </c>
      <c r="H4" s="384"/>
      <c r="I4" s="384"/>
      <c r="J4" s="384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G4" s="382"/>
      <c r="AH4" s="382"/>
      <c r="AI4" s="382"/>
      <c r="AJ4" s="382"/>
      <c r="AK4" s="382"/>
      <c r="AM4" s="382"/>
      <c r="AO4" s="382" t="s">
        <v>2178</v>
      </c>
    </row>
    <row r="5" spans="1:58" s="380" customFormat="1">
      <c r="D5" s="380" t="s">
        <v>2179</v>
      </c>
      <c r="AT5" s="381"/>
      <c r="AW5" s="381"/>
      <c r="BA5" s="381"/>
    </row>
    <row r="6" spans="1:58">
      <c r="A6" s="381" t="b">
        <f>IF(AND(C6&lt;&gt;"", B6&lt;&gt;C6),TRUE, FALSE)</f>
        <v>0</v>
      </c>
      <c r="B6" s="381" t="str">
        <f>IF(RIGHT("0000"&amp;F6,4)&amp;"-"&amp;G6 &lt;&gt; "0000-", RIGHT("0000"&amp;F6,4)&amp;"-"&amp;G6, "")</f>
        <v/>
      </c>
      <c r="C6" s="385"/>
      <c r="D6" s="386">
        <v>1</v>
      </c>
      <c r="E6" s="387"/>
      <c r="F6" s="388"/>
      <c r="G6" s="389"/>
      <c r="H6" s="390"/>
      <c r="I6" s="390"/>
      <c r="J6" s="390"/>
      <c r="K6" s="391"/>
      <c r="L6" s="392"/>
      <c r="M6" s="392"/>
      <c r="N6" s="393"/>
      <c r="O6" s="394"/>
      <c r="P6" s="394"/>
      <c r="Q6" s="395"/>
      <c r="R6" s="396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8"/>
      <c r="AD6" s="399"/>
      <c r="AE6" s="400">
        <f>SUM(R6:AC6)</f>
        <v>0</v>
      </c>
      <c r="AG6" s="393"/>
      <c r="AH6" s="401"/>
      <c r="AI6" s="402"/>
      <c r="AJ6" s="393"/>
      <c r="AK6" s="389"/>
      <c r="AL6" s="403"/>
      <c r="AM6" s="404"/>
      <c r="AN6" s="405" t="s">
        <v>54</v>
      </c>
      <c r="AO6" s="406"/>
      <c r="AP6" s="403"/>
      <c r="AQ6" s="407" t="str">
        <f>IF(Q6="", "", Q6)</f>
        <v/>
      </c>
      <c r="AR6" s="407" t="str">
        <f>IFERROR(VLOOKUP($AQ6,[6]TruckCenterReference!$C$23:$I32,3,FALSE), "")</f>
        <v/>
      </c>
      <c r="AS6" s="408" t="str">
        <f>IF(Q6&lt;&gt;"",IF(AR6&lt;&gt;H6,"Review","ok"), "")</f>
        <v/>
      </c>
      <c r="AT6" s="409"/>
      <c r="AU6" s="410" t="str">
        <f>IFERROR(VLOOKUP($AQ6,[6]TruckCenterReference!$C$23:$I32,4,FALSE), "")</f>
        <v/>
      </c>
      <c r="AV6" s="408" t="str">
        <f>IF(Q6="","", IF($AU6&lt;&gt;$P6, "Fix!", "ok"))</f>
        <v/>
      </c>
      <c r="AX6" s="407" t="str">
        <f>IFERROR(VLOOKUP(M6,SubtypeToTruckType,2,FALSE),"")</f>
        <v/>
      </c>
      <c r="AY6" s="411" t="str">
        <f>IFERROR(VLOOKUP($AQ6,[6]TruckCenterReference!$C$23:$I32,6,FALSE), "")</f>
        <v/>
      </c>
      <c r="AZ6" s="408" t="str">
        <f>IF(Q6&lt;&gt;"",IF(AX6&lt;&gt;AY6,"Fix!","ok"), "")</f>
        <v/>
      </c>
      <c r="BA6" s="409"/>
      <c r="BB6" s="410">
        <f>IFERROR(VLOOKUP($AQ6,[6]TruckCenterReference!$C$23:$I32,7,FALSE), 0)</f>
        <v>0</v>
      </c>
      <c r="BC6" s="410">
        <f>IFERROR(VLOOKUP($AQ6,[6]TruckCenterReference!$C$23:$K32,9,FALSE), 0)</f>
        <v>0</v>
      </c>
      <c r="BD6" s="410">
        <f>IFERROR(VLOOKUP($AQ6,[6]TruckCenterReference!$C$23:$K32,8,FALSE), 0)</f>
        <v>0</v>
      </c>
      <c r="BE6" s="412" t="str">
        <f>IF(BB6&lt;&gt;0,BB6-AE6-BD6,"")</f>
        <v/>
      </c>
      <c r="BF6" s="408" t="str">
        <f>IF(Q6="","",IF(ABS(BE6)&gt;100,IF(RIGHT(M6,4)="Body","Review","Fix!"),"ok"))</f>
        <v/>
      </c>
    </row>
    <row r="7" spans="1:58" s="380" customFormat="1">
      <c r="D7" s="380" t="s">
        <v>2180</v>
      </c>
      <c r="AT7" s="381"/>
      <c r="AW7" s="381"/>
      <c r="BA7" s="381"/>
    </row>
    <row r="8" spans="1:58" s="382" customFormat="1">
      <c r="C8" s="413"/>
      <c r="D8" s="413"/>
      <c r="E8" s="413"/>
      <c r="F8" s="414" t="s">
        <v>2181</v>
      </c>
      <c r="G8" s="413"/>
      <c r="H8" s="413"/>
      <c r="I8" s="413"/>
      <c r="J8" s="413"/>
      <c r="K8" s="413"/>
      <c r="L8" s="413" t="str">
        <f ca="1">_xll.jFreezePanes(I29,D22)</f>
        <v xml:space="preserve">&gt; jFreezePanes is ready. </v>
      </c>
      <c r="M8" s="413"/>
      <c r="N8" s="413"/>
      <c r="AT8" s="381"/>
      <c r="AW8" s="381"/>
      <c r="BA8" s="381"/>
    </row>
    <row r="9" spans="1:58" s="382" customFormat="1">
      <c r="C9" s="413"/>
      <c r="D9" s="413"/>
      <c r="E9" s="415" t="s">
        <v>2182</v>
      </c>
      <c r="F9" s="413" t="str">
        <f ca="1">_xll.ReportDefaults("Pull","Clear",_xll.PairGroup(_xll.Pair("",H18)))</f>
        <v>OK!: ReportDefaults Formula OK [jAction{}]</v>
      </c>
      <c r="G9" s="413"/>
      <c r="H9" s="413"/>
      <c r="I9" s="413"/>
      <c r="J9" s="413"/>
      <c r="K9" s="415" t="s">
        <v>2183</v>
      </c>
      <c r="L9" s="413" t="str">
        <f ca="1">_xll.ReportDrill(,"CCQueryDrill",_xll.PairGroup(_xll.Pair(K18,"SummaryLevel"),_xll.Pair(H24,"BudYear"),_xll.Pair(H23,"DistrictCell"),_xll.Pair(C30:C75,"PONumber"),_xll.Pair(F20:AO20)),"Drill to CC Query for Change History")</f>
        <v>OK!: ReportDrill 'Drill to CC Query for Change History' Formula OK [jAction{}]</v>
      </c>
      <c r="M9" s="413"/>
      <c r="N9" s="413"/>
      <c r="AT9" s="381"/>
      <c r="AW9" s="381"/>
      <c r="BA9" s="381"/>
    </row>
    <row r="10" spans="1:58" s="382" customFormat="1">
      <c r="C10" s="413"/>
      <c r="D10" s="413"/>
      <c r="E10" s="416" t="s">
        <v>2184</v>
      </c>
      <c r="F10" s="382" t="str">
        <f>_xll.ReportRun([6]AssetTypeList!C7,FALSE,"Pull")</f>
        <v>OK!: ReportRun Formula OK [jAction{}]</v>
      </c>
      <c r="H10" s="413"/>
      <c r="I10" s="413"/>
      <c r="J10" s="413"/>
      <c r="K10" s="415"/>
      <c r="L10" s="413"/>
      <c r="M10" s="413"/>
      <c r="N10" s="413"/>
      <c r="AT10" s="381"/>
      <c r="AW10" s="381"/>
      <c r="BA10" s="381"/>
    </row>
    <row r="11" spans="1:58" s="382" customFormat="1">
      <c r="C11" s="413"/>
      <c r="D11" s="413"/>
      <c r="E11" s="415" t="s">
        <v>2185</v>
      </c>
      <c r="F11" s="413" t="str">
        <f ca="1">_xll.ReportRange("BudgetCapitalDetailPull",30:53,C3:BE3,C6:BE6,_xll.Param(H23,H24,H18,N18,K19))</f>
        <v>OK!: ReportRange Formula OK [jAction{}]</v>
      </c>
      <c r="G11" s="413"/>
      <c r="H11" s="413"/>
      <c r="I11" s="413"/>
      <c r="M11" s="413"/>
      <c r="N11" s="413"/>
      <c r="AG11" s="382" t="s">
        <v>2173</v>
      </c>
      <c r="AH11" s="382" t="s">
        <v>2186</v>
      </c>
      <c r="AT11" s="381"/>
      <c r="AW11" s="381"/>
      <c r="BA11" s="381"/>
    </row>
    <row r="12" spans="1:58" s="382" customFormat="1">
      <c r="C12" s="413"/>
      <c r="D12" s="413"/>
      <c r="E12" s="415" t="s">
        <v>2187</v>
      </c>
      <c r="F12" s="417" t="str">
        <f ca="1">_xll.ReportFixed("BudCap1",AG30:AG53,AG11:AH11,_xll.Param(DetailBudYear, DetailDistrict))</f>
        <v>OK!: ReportFixed Formula OK [jAction{}]</v>
      </c>
      <c r="G12" s="413"/>
      <c r="H12" s="413"/>
      <c r="I12" s="417"/>
      <c r="M12" s="413"/>
      <c r="N12" s="413"/>
      <c r="AT12" s="381"/>
      <c r="AW12" s="381"/>
      <c r="BA12" s="381"/>
    </row>
    <row r="13" spans="1:58" s="382" customFormat="1">
      <c r="C13" s="413"/>
      <c r="D13" s="413"/>
      <c r="E13" s="415"/>
      <c r="F13" s="417" t="str">
        <f>_xll.ReportRun([6]TruckCenterReference!F16,,"Pull")</f>
        <v>OK!: ReportRun Formula OK [jAction{}]</v>
      </c>
      <c r="G13" s="413"/>
      <c r="H13" s="413"/>
      <c r="I13" s="417"/>
      <c r="M13" s="413"/>
      <c r="N13" s="413"/>
      <c r="AT13" s="381"/>
      <c r="AW13" s="381"/>
      <c r="BA13" s="381"/>
    </row>
    <row r="14" spans="1:58" s="382" customFormat="1">
      <c r="C14" s="413"/>
      <c r="D14" s="413"/>
      <c r="E14" s="418"/>
      <c r="F14" s="414" t="s">
        <v>2188</v>
      </c>
      <c r="G14" s="413"/>
      <c r="H14" s="413"/>
      <c r="I14" s="413"/>
      <c r="J14" s="413"/>
      <c r="K14" s="415"/>
      <c r="L14" s="413"/>
      <c r="M14" s="413"/>
      <c r="N14" s="413"/>
      <c r="AT14" s="381"/>
      <c r="AW14" s="381"/>
      <c r="BA14" s="381"/>
    </row>
    <row r="15" spans="1:58" s="382" customFormat="1">
      <c r="C15" s="413"/>
      <c r="D15" s="413"/>
      <c r="E15" s="415" t="s">
        <v>2189</v>
      </c>
      <c r="F15" s="413" t="str">
        <f ca="1">_xll.ReportSave("BudgetCapitalDetailSave",B30:B53,A3:AM3,C4:AO4,_xll.Param(H23,H24,H18,N18))</f>
        <v>OK!: ReportSave Formula OK [jAction{}]</v>
      </c>
      <c r="G15" s="413"/>
      <c r="H15" s="413"/>
      <c r="I15" s="413"/>
      <c r="J15" s="413"/>
      <c r="K15" s="413"/>
      <c r="L15" s="413"/>
      <c r="M15" s="413"/>
      <c r="N15" s="413"/>
      <c r="AT15" s="381"/>
      <c r="AW15" s="381"/>
      <c r="BA15" s="381"/>
    </row>
    <row r="16" spans="1:58" s="382" customFormat="1">
      <c r="AT16" s="381"/>
      <c r="AW16" s="381"/>
      <c r="BA16" s="381"/>
    </row>
    <row r="17" spans="1:58" s="380" customFormat="1">
      <c r="D17" s="380" t="s">
        <v>2190</v>
      </c>
      <c r="M17" s="419"/>
      <c r="AT17" s="381"/>
      <c r="AW17" s="381"/>
      <c r="BA17" s="381"/>
    </row>
    <row r="18" spans="1:58" s="383" customFormat="1">
      <c r="A18" s="420" t="s">
        <v>2191</v>
      </c>
      <c r="B18" s="421" t="b">
        <f>IFERROR(OR(A30:A53),FALSE)</f>
        <v>0</v>
      </c>
      <c r="G18" s="416" t="s">
        <v>2192</v>
      </c>
      <c r="H18" s="422" t="s">
        <v>2193</v>
      </c>
      <c r="J18" s="416" t="s">
        <v>2194</v>
      </c>
      <c r="K18" s="422" t="s">
        <v>2195</v>
      </c>
      <c r="L18" s="422"/>
      <c r="M18" s="416" t="s">
        <v>2196</v>
      </c>
      <c r="N18" s="422">
        <v>2</v>
      </c>
      <c r="AT18" s="381"/>
      <c r="AW18" s="381"/>
      <c r="BA18" s="381"/>
    </row>
    <row r="19" spans="1:58" s="383" customFormat="1">
      <c r="A19" s="420"/>
      <c r="B19" s="421" t="str">
        <f>IF(B18=TRUE,"Save","SkipRePull")</f>
        <v>SkipRePull</v>
      </c>
      <c r="I19" s="413"/>
      <c r="J19" s="415" t="s">
        <v>2197</v>
      </c>
      <c r="K19" s="422" t="s">
        <v>567</v>
      </c>
      <c r="L19" s="422"/>
      <c r="M19" s="416"/>
      <c r="N19" s="416"/>
      <c r="AT19" s="381"/>
      <c r="AW19" s="381"/>
      <c r="BA19" s="381"/>
    </row>
    <row r="20" spans="1:58" s="382" customFormat="1">
      <c r="F20" s="382" t="s">
        <v>2198</v>
      </c>
      <c r="G20" s="382" t="s">
        <v>2198</v>
      </c>
      <c r="H20" s="382" t="s">
        <v>2198</v>
      </c>
      <c r="I20" s="382" t="s">
        <v>2198</v>
      </c>
      <c r="J20" s="382" t="s">
        <v>2198</v>
      </c>
      <c r="K20" s="416"/>
      <c r="L20" s="382" t="s">
        <v>2198</v>
      </c>
      <c r="M20" s="382" t="s">
        <v>2198</v>
      </c>
      <c r="N20" s="382" t="s">
        <v>2198</v>
      </c>
      <c r="O20" s="382" t="s">
        <v>2198</v>
      </c>
      <c r="P20" s="382" t="s">
        <v>2198</v>
      </c>
      <c r="Q20" s="382" t="s">
        <v>2198</v>
      </c>
      <c r="R20" s="382" t="s">
        <v>2198</v>
      </c>
      <c r="S20" s="382" t="s">
        <v>2198</v>
      </c>
      <c r="T20" s="382" t="s">
        <v>2198</v>
      </c>
      <c r="U20" s="382" t="s">
        <v>2198</v>
      </c>
      <c r="V20" s="382" t="s">
        <v>2198</v>
      </c>
      <c r="W20" s="382" t="s">
        <v>2198</v>
      </c>
      <c r="X20" s="382" t="s">
        <v>2198</v>
      </c>
      <c r="Y20" s="382" t="s">
        <v>2198</v>
      </c>
      <c r="Z20" s="382" t="s">
        <v>2198</v>
      </c>
      <c r="AA20" s="382" t="s">
        <v>2198</v>
      </c>
      <c r="AB20" s="382" t="s">
        <v>2198</v>
      </c>
      <c r="AC20" s="382" t="s">
        <v>2198</v>
      </c>
      <c r="AE20" s="382" t="s">
        <v>2198</v>
      </c>
      <c r="AG20" s="382" t="s">
        <v>2198</v>
      </c>
      <c r="AJ20" s="382" t="s">
        <v>2198</v>
      </c>
      <c r="AK20" s="382" t="s">
        <v>2198</v>
      </c>
      <c r="AM20" s="382" t="s">
        <v>2198</v>
      </c>
      <c r="AO20" s="382" t="s">
        <v>2198</v>
      </c>
      <c r="AT20" s="381"/>
      <c r="AW20" s="381"/>
      <c r="BA20" s="381"/>
    </row>
    <row r="21" spans="1:58" s="380" customFormat="1">
      <c r="D21" s="380" t="s">
        <v>2199</v>
      </c>
      <c r="AT21" s="381"/>
      <c r="AW21" s="381"/>
      <c r="BA21" s="381"/>
    </row>
    <row r="22" spans="1:58">
      <c r="E22" s="423"/>
      <c r="F22" s="423"/>
      <c r="G22" s="423"/>
      <c r="H22" s="423"/>
      <c r="I22" s="423"/>
      <c r="J22" s="423"/>
      <c r="K22" s="423"/>
      <c r="L22" s="423"/>
      <c r="M22" s="423"/>
      <c r="N22" s="399"/>
      <c r="O22" s="399"/>
      <c r="P22" s="399"/>
      <c r="Q22" s="399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G22" s="399"/>
      <c r="AH22" s="399"/>
      <c r="AI22" s="399"/>
      <c r="AJ22" s="399"/>
      <c r="AK22" s="399"/>
      <c r="AM22" s="399"/>
    </row>
    <row r="23" spans="1:58" ht="15.75">
      <c r="E23" s="424"/>
      <c r="F23" s="425"/>
      <c r="G23" s="426" t="s">
        <v>2200</v>
      </c>
      <c r="H23" s="427" t="s">
        <v>1826</v>
      </c>
      <c r="I23" s="428" t="s">
        <v>2201</v>
      </c>
      <c r="K23" s="429"/>
      <c r="M23" s="430"/>
      <c r="N23" s="399"/>
      <c r="O23" s="399"/>
      <c r="P23" s="399"/>
      <c r="Q23" s="399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31"/>
      <c r="AG23" s="399"/>
      <c r="AH23" s="399"/>
      <c r="AI23" s="399"/>
      <c r="AJ23" s="399"/>
      <c r="AK23" s="399"/>
      <c r="AM23" s="399"/>
    </row>
    <row r="24" spans="1:58" ht="15.75">
      <c r="E24" s="432"/>
      <c r="F24" s="433"/>
      <c r="G24" s="434" t="s">
        <v>2202</v>
      </c>
      <c r="H24" s="435">
        <v>2023</v>
      </c>
      <c r="I24" s="436"/>
      <c r="J24" s="436"/>
      <c r="K24" s="429"/>
      <c r="L24" s="437"/>
      <c r="M24" s="430"/>
      <c r="N24" s="399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G24" s="399"/>
      <c r="AH24" s="399"/>
      <c r="AI24" s="399"/>
      <c r="AJ24" s="399"/>
      <c r="AK24" s="399"/>
      <c r="AM24" s="399"/>
    </row>
    <row r="25" spans="1:58">
      <c r="E25" s="438"/>
      <c r="F25" s="438"/>
      <c r="G25" s="438"/>
      <c r="H25" s="423"/>
      <c r="I25" s="423"/>
      <c r="J25" s="423"/>
      <c r="K25" s="423"/>
      <c r="L25" s="437" t="s">
        <v>2203</v>
      </c>
      <c r="M25" s="423"/>
      <c r="N25" s="399"/>
      <c r="O25" s="399"/>
      <c r="P25" s="399"/>
      <c r="Q25" s="399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G25" s="399"/>
      <c r="AH25" s="399"/>
      <c r="AI25" s="399"/>
      <c r="AJ25" s="399"/>
      <c r="AK25" s="399"/>
      <c r="AM25" s="399"/>
      <c r="AQ25" s="439" t="s">
        <v>2204</v>
      </c>
      <c r="AR25" s="439"/>
      <c r="AX25" s="439"/>
    </row>
    <row r="26" spans="1:58" ht="15.75">
      <c r="E26" s="440" t="s">
        <v>2205</v>
      </c>
      <c r="F26" s="441"/>
      <c r="G26" s="441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3"/>
      <c r="AQ26" s="444"/>
      <c r="AR26" s="444"/>
      <c r="AS26" s="444"/>
      <c r="AU26" s="444"/>
      <c r="AV26" s="444"/>
      <c r="AX26" s="444"/>
      <c r="AY26" s="444"/>
      <c r="AZ26" s="444"/>
      <c r="BB26" s="444"/>
      <c r="BC26" s="444"/>
      <c r="BD26" s="444"/>
      <c r="BE26" s="444"/>
      <c r="BF26" s="444"/>
    </row>
    <row r="27" spans="1:58">
      <c r="E27" s="445"/>
      <c r="F27" s="445"/>
      <c r="G27" s="445"/>
      <c r="H27" s="445"/>
      <c r="I27" s="445"/>
      <c r="J27" s="445"/>
      <c r="K27" s="445"/>
      <c r="L27" s="445"/>
      <c r="M27" s="445"/>
      <c r="N27" s="446"/>
      <c r="O27" s="446"/>
      <c r="P27" s="446"/>
      <c r="Q27" s="446"/>
      <c r="R27" s="447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399"/>
      <c r="AF27" s="448" t="s">
        <v>2206</v>
      </c>
      <c r="AG27" s="449"/>
      <c r="AH27" s="449"/>
      <c r="AI27" s="449"/>
      <c r="AJ27" s="449"/>
      <c r="AK27" s="449"/>
      <c r="AQ27" s="450"/>
      <c r="AR27" s="451" t="s">
        <v>2207</v>
      </c>
      <c r="AS27" s="452"/>
      <c r="AU27" s="452" t="s">
        <v>2208</v>
      </c>
      <c r="AV27" s="452"/>
      <c r="AX27" s="452" t="s">
        <v>2209</v>
      </c>
      <c r="AY27" s="452" t="s">
        <v>2209</v>
      </c>
      <c r="AZ27" s="452"/>
      <c r="BB27" s="452" t="s">
        <v>2210</v>
      </c>
      <c r="BC27" s="452"/>
      <c r="BD27" s="452"/>
      <c r="BE27" s="450"/>
      <c r="BF27" s="452"/>
    </row>
    <row r="28" spans="1:58" ht="27" thickBot="1">
      <c r="E28" s="453" t="s">
        <v>2211</v>
      </c>
      <c r="F28" s="454" t="s">
        <v>2212</v>
      </c>
      <c r="G28" s="454" t="s">
        <v>2213</v>
      </c>
      <c r="H28" s="455" t="s">
        <v>2214</v>
      </c>
      <c r="I28" s="455" t="s">
        <v>2215</v>
      </c>
      <c r="J28" s="455" t="s">
        <v>2216</v>
      </c>
      <c r="K28" s="454"/>
      <c r="L28" s="454" t="s">
        <v>2217</v>
      </c>
      <c r="M28" s="454" t="s">
        <v>2218</v>
      </c>
      <c r="N28" s="454" t="s">
        <v>2157</v>
      </c>
      <c r="O28" s="454" t="s">
        <v>2219</v>
      </c>
      <c r="P28" s="454" t="s">
        <v>2220</v>
      </c>
      <c r="Q28" s="454" t="s">
        <v>2221</v>
      </c>
      <c r="R28" s="456">
        <v>40209</v>
      </c>
      <c r="S28" s="457">
        <v>40237</v>
      </c>
      <c r="T28" s="458">
        <v>40268</v>
      </c>
      <c r="U28" s="456">
        <v>40298</v>
      </c>
      <c r="V28" s="457">
        <v>40329</v>
      </c>
      <c r="W28" s="458">
        <v>40359</v>
      </c>
      <c r="X28" s="456">
        <v>40390</v>
      </c>
      <c r="Y28" s="457">
        <v>40421</v>
      </c>
      <c r="Z28" s="458">
        <v>40451</v>
      </c>
      <c r="AA28" s="456">
        <v>40482</v>
      </c>
      <c r="AB28" s="457">
        <v>40512</v>
      </c>
      <c r="AC28" s="458">
        <v>40543</v>
      </c>
      <c r="AD28" s="446"/>
      <c r="AE28" s="459" t="s">
        <v>17</v>
      </c>
      <c r="AF28" s="460"/>
      <c r="AG28" s="454" t="s">
        <v>2222</v>
      </c>
      <c r="AH28" s="454" t="s">
        <v>2223</v>
      </c>
      <c r="AI28" s="454" t="s">
        <v>2224</v>
      </c>
      <c r="AJ28" s="454" t="s">
        <v>2225</v>
      </c>
      <c r="AK28" s="454" t="s">
        <v>1807</v>
      </c>
      <c r="AL28" s="461"/>
      <c r="AM28" s="454" t="s">
        <v>2226</v>
      </c>
      <c r="AN28" s="461"/>
      <c r="AO28" s="454" t="s">
        <v>2227</v>
      </c>
      <c r="AP28" s="461"/>
      <c r="AQ28" s="451" t="s">
        <v>1781</v>
      </c>
      <c r="AR28" s="451" t="s">
        <v>2228</v>
      </c>
      <c r="AS28" s="451" t="s">
        <v>2229</v>
      </c>
      <c r="AU28" s="451" t="s">
        <v>2230</v>
      </c>
      <c r="AV28" s="451" t="s">
        <v>2231</v>
      </c>
      <c r="AX28" s="451" t="s">
        <v>2232</v>
      </c>
      <c r="AY28" s="451" t="s">
        <v>2230</v>
      </c>
      <c r="AZ28" s="451" t="s">
        <v>2229</v>
      </c>
      <c r="BB28" s="451" t="s">
        <v>2230</v>
      </c>
      <c r="BC28" s="451" t="s">
        <v>2233</v>
      </c>
      <c r="BD28" s="451" t="s">
        <v>2234</v>
      </c>
      <c r="BE28" s="451" t="s">
        <v>2035</v>
      </c>
      <c r="BF28" s="451" t="s">
        <v>2231</v>
      </c>
    </row>
    <row r="29" spans="1:58">
      <c r="E29" s="423"/>
      <c r="F29" s="423"/>
      <c r="G29" s="423"/>
      <c r="H29" s="423"/>
      <c r="I29" s="423"/>
      <c r="J29" s="423"/>
      <c r="K29" s="423"/>
      <c r="L29" s="423"/>
      <c r="M29" s="423"/>
      <c r="N29" s="399"/>
      <c r="O29" s="399"/>
      <c r="P29" s="399"/>
      <c r="Q29" s="399"/>
      <c r="R29" s="462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463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464"/>
      <c r="AX29" s="464"/>
      <c r="BC29" s="465"/>
      <c r="BD29" s="465"/>
    </row>
    <row r="30" spans="1:58" ht="25.5">
      <c r="A30" s="381" t="b">
        <f t="shared" ref="A30:A52" si="0">IF(AND(C30&lt;&gt;"", B30&lt;&gt;C30),TRUE, FALSE)</f>
        <v>0</v>
      </c>
      <c r="B30" s="381" t="str">
        <f t="shared" ref="B30:B52" si="1">IF(RIGHT("0000"&amp;F30,4)&amp;"-"&amp;G30 &lt;&gt; "0000-", RIGHT("0000"&amp;F30,4)&amp;"-"&amp;G30, "")</f>
        <v>0001-1</v>
      </c>
      <c r="C30" s="385" t="s">
        <v>2235</v>
      </c>
      <c r="D30" s="386">
        <v>1</v>
      </c>
      <c r="E30" s="387"/>
      <c r="F30" s="388">
        <v>1</v>
      </c>
      <c r="G30" s="389">
        <v>1</v>
      </c>
      <c r="H30" s="390" t="s">
        <v>2236</v>
      </c>
      <c r="I30" s="390" t="s">
        <v>2236</v>
      </c>
      <c r="J30" s="390" t="s">
        <v>2236</v>
      </c>
      <c r="K30" s="391"/>
      <c r="L30" s="392" t="s">
        <v>2237</v>
      </c>
      <c r="M30" s="392" t="s">
        <v>2238</v>
      </c>
      <c r="N30" s="393">
        <v>10</v>
      </c>
      <c r="O30" s="394" t="s">
        <v>82</v>
      </c>
      <c r="P30" s="394" t="s">
        <v>2239</v>
      </c>
      <c r="Q30" s="395">
        <v>17150</v>
      </c>
      <c r="R30" s="396">
        <v>0</v>
      </c>
      <c r="S30" s="397">
        <v>0</v>
      </c>
      <c r="T30" s="397">
        <v>0</v>
      </c>
      <c r="U30" s="397">
        <v>0</v>
      </c>
      <c r="V30" s="397">
        <v>0</v>
      </c>
      <c r="W30" s="397">
        <v>0</v>
      </c>
      <c r="X30" s="397">
        <v>0</v>
      </c>
      <c r="Y30" s="397">
        <v>377522</v>
      </c>
      <c r="Z30" s="397">
        <v>0</v>
      </c>
      <c r="AA30" s="397">
        <v>0</v>
      </c>
      <c r="AB30" s="397">
        <v>0</v>
      </c>
      <c r="AC30" s="398">
        <v>0</v>
      </c>
      <c r="AD30" s="399"/>
      <c r="AE30" s="400">
        <f t="shared" ref="AE30:AE52" si="2">SUM(R30:AC30)</f>
        <v>377522</v>
      </c>
      <c r="AG30" s="393">
        <v>173772</v>
      </c>
      <c r="AH30" s="401" t="s">
        <v>1166</v>
      </c>
      <c r="AI30" s="402" t="s">
        <v>2240</v>
      </c>
      <c r="AJ30" s="393">
        <v>31</v>
      </c>
      <c r="AK30" s="389">
        <v>2005</v>
      </c>
      <c r="AL30" s="403"/>
      <c r="AM30" s="466" t="s">
        <v>1881</v>
      </c>
      <c r="AN30" s="405" t="s">
        <v>54</v>
      </c>
      <c r="AO30" s="406"/>
      <c r="AP30" s="403"/>
      <c r="AQ30" s="407">
        <f t="shared" ref="AQ30:AQ52" si="3">IF(Q30="", "", Q30)</f>
        <v>17150</v>
      </c>
      <c r="AR30" s="407" t="str">
        <f>IFERROR(VLOOKUP($AQ30,[6]TruckCenterReference!$C$23:$I56,3,FALSE), "")</f>
        <v/>
      </c>
      <c r="AS30" s="408" t="str">
        <f t="shared" ref="AS30:AS52" si="4">IF(Q30&lt;&gt;"",IF(AR30&lt;&gt;H30,"Review","ok"), "")</f>
        <v>Review</v>
      </c>
      <c r="AT30" s="409"/>
      <c r="AU30" s="410" t="str">
        <f>IFERROR(VLOOKUP($AQ30,[6]TruckCenterReference!$C$23:$I56,4,FALSE), "")</f>
        <v/>
      </c>
      <c r="AV30" s="408" t="str">
        <f t="shared" ref="AV30:AV52" si="5">IF(Q30="","", IF($AU30&lt;&gt;$P30, "Fix!", "ok"))</f>
        <v>Fix!</v>
      </c>
      <c r="AX30" s="407" t="str">
        <f t="shared" ref="AX30:AX52" si="6">IFERROR(VLOOKUP(M30,SubtypeToTruckType,2,FALSE),"")</f>
        <v>Rear Loader</v>
      </c>
      <c r="AY30" s="411" t="str">
        <f>IFERROR(VLOOKUP($AQ30,[6]TruckCenterReference!$C$23:$I56,6,FALSE), "")</f>
        <v/>
      </c>
      <c r="AZ30" s="408" t="str">
        <f t="shared" ref="AZ30:AZ52" si="7">IF(Q30&lt;&gt;"",IF(AX30&lt;&gt;AY30,"Fix!","ok"), "")</f>
        <v>Fix!</v>
      </c>
      <c r="BA30" s="409"/>
      <c r="BB30" s="410">
        <f>IFERROR(VLOOKUP($AQ30,[6]TruckCenterReference!$C$23:$I56,7,FALSE), 0)</f>
        <v>0</v>
      </c>
      <c r="BC30" s="410">
        <f>IFERROR(VLOOKUP($AQ30,[6]TruckCenterReference!$C$23:$K56,9,FALSE), 0)</f>
        <v>0</v>
      </c>
      <c r="BD30" s="410">
        <f>IFERROR(VLOOKUP($AQ30,[6]TruckCenterReference!$C$23:$K56,8,FALSE), 0)</f>
        <v>0</v>
      </c>
      <c r="BE30" s="412" t="str">
        <f t="shared" ref="BE30:BE52" si="8">IF(BB30&lt;&gt;0,BB30-AE30-BD30,"")</f>
        <v/>
      </c>
      <c r="BF30" s="408" t="e">
        <f t="shared" ref="BF30:BF52" si="9">IF(Q30="","",IF(ABS(BE30)&gt;100,IF(RIGHT(M30,4)="Body","Review","Fix!"),"ok"))</f>
        <v>#VALUE!</v>
      </c>
    </row>
    <row r="31" spans="1:58" ht="25.5">
      <c r="A31" s="381" t="b">
        <f t="shared" si="0"/>
        <v>0</v>
      </c>
      <c r="B31" s="381" t="str">
        <f t="shared" si="1"/>
        <v>0003-1</v>
      </c>
      <c r="C31" s="385" t="s">
        <v>2241</v>
      </c>
      <c r="D31" s="386">
        <v>1</v>
      </c>
      <c r="E31" s="387"/>
      <c r="F31" s="388">
        <v>3</v>
      </c>
      <c r="G31" s="389">
        <v>1</v>
      </c>
      <c r="H31" s="390" t="s">
        <v>2242</v>
      </c>
      <c r="I31" s="390" t="s">
        <v>2242</v>
      </c>
      <c r="J31" s="390" t="s">
        <v>2243</v>
      </c>
      <c r="K31" s="391"/>
      <c r="L31" s="392" t="s">
        <v>2237</v>
      </c>
      <c r="M31" s="392" t="s">
        <v>875</v>
      </c>
      <c r="N31" s="393">
        <v>10</v>
      </c>
      <c r="O31" s="394" t="s">
        <v>82</v>
      </c>
      <c r="P31" s="394" t="s">
        <v>2239</v>
      </c>
      <c r="Q31" s="395">
        <v>17151</v>
      </c>
      <c r="R31" s="396">
        <v>0</v>
      </c>
      <c r="S31" s="397">
        <v>0</v>
      </c>
      <c r="T31" s="397">
        <v>0</v>
      </c>
      <c r="U31" s="397">
        <v>0</v>
      </c>
      <c r="V31" s="397">
        <v>0</v>
      </c>
      <c r="W31" s="397">
        <v>0</v>
      </c>
      <c r="X31" s="397">
        <v>0</v>
      </c>
      <c r="Y31" s="397">
        <v>0</v>
      </c>
      <c r="Z31" s="397">
        <v>391448</v>
      </c>
      <c r="AA31" s="397">
        <v>0</v>
      </c>
      <c r="AB31" s="397">
        <v>0</v>
      </c>
      <c r="AC31" s="398">
        <v>0</v>
      </c>
      <c r="AD31" s="399"/>
      <c r="AE31" s="400">
        <f t="shared" si="2"/>
        <v>391448</v>
      </c>
      <c r="AG31" s="393">
        <v>173834</v>
      </c>
      <c r="AH31" s="401" t="s">
        <v>1304</v>
      </c>
      <c r="AI31" s="402" t="s">
        <v>2244</v>
      </c>
      <c r="AJ31" s="393"/>
      <c r="AK31" s="389">
        <v>2010</v>
      </c>
      <c r="AL31" s="403"/>
      <c r="AM31" s="466" t="s">
        <v>1884</v>
      </c>
      <c r="AN31" s="405" t="s">
        <v>54</v>
      </c>
      <c r="AO31" s="406"/>
      <c r="AP31" s="403"/>
      <c r="AQ31" s="407">
        <f t="shared" si="3"/>
        <v>17151</v>
      </c>
      <c r="AR31" s="407" t="str">
        <f>IFERROR(VLOOKUP($AQ31,[6]TruckCenterReference!$C$23:$I57,3,FALSE), "")</f>
        <v/>
      </c>
      <c r="AS31" s="408" t="str">
        <f t="shared" si="4"/>
        <v>Review</v>
      </c>
      <c r="AT31" s="409"/>
      <c r="AU31" s="410" t="str">
        <f>IFERROR(VLOOKUP($AQ31,[6]TruckCenterReference!$C$23:$I57,4,FALSE), "")</f>
        <v/>
      </c>
      <c r="AV31" s="408" t="str">
        <f t="shared" si="5"/>
        <v>Fix!</v>
      </c>
      <c r="AX31" s="407" t="str">
        <f t="shared" si="6"/>
        <v>Recycle</v>
      </c>
      <c r="AY31" s="411" t="str">
        <f>IFERROR(VLOOKUP($AQ31,[6]TruckCenterReference!$C$23:$I57,6,FALSE), "")</f>
        <v/>
      </c>
      <c r="AZ31" s="408" t="str">
        <f t="shared" si="7"/>
        <v>Fix!</v>
      </c>
      <c r="BA31" s="409"/>
      <c r="BB31" s="410">
        <f>IFERROR(VLOOKUP($AQ31,[6]TruckCenterReference!$C$23:$I57,7,FALSE), 0)</f>
        <v>0</v>
      </c>
      <c r="BC31" s="410">
        <f>IFERROR(VLOOKUP($AQ31,[6]TruckCenterReference!$C$23:$K57,9,FALSE), 0)</f>
        <v>0</v>
      </c>
      <c r="BD31" s="410">
        <f>IFERROR(VLOOKUP($AQ31,[6]TruckCenterReference!$C$23:$K57,8,FALSE), 0)</f>
        <v>0</v>
      </c>
      <c r="BE31" s="412" t="str">
        <f t="shared" si="8"/>
        <v/>
      </c>
      <c r="BF31" s="408" t="e">
        <f t="shared" si="9"/>
        <v>#VALUE!</v>
      </c>
    </row>
    <row r="32" spans="1:58">
      <c r="A32" s="381" t="b">
        <f t="shared" si="0"/>
        <v>0</v>
      </c>
      <c r="B32" s="381" t="str">
        <f t="shared" si="1"/>
        <v>0006-1</v>
      </c>
      <c r="C32" s="385" t="s">
        <v>2245</v>
      </c>
      <c r="D32" s="386">
        <v>1</v>
      </c>
      <c r="E32" s="387"/>
      <c r="F32" s="388">
        <v>6</v>
      </c>
      <c r="G32" s="389">
        <v>1</v>
      </c>
      <c r="H32" s="390" t="s">
        <v>2246</v>
      </c>
      <c r="I32" s="390" t="s">
        <v>2246</v>
      </c>
      <c r="J32" s="390" t="s">
        <v>2246</v>
      </c>
      <c r="K32" s="391"/>
      <c r="L32" s="392" t="s">
        <v>513</v>
      </c>
      <c r="M32" s="392" t="s">
        <v>2247</v>
      </c>
      <c r="N32" s="393">
        <v>7</v>
      </c>
      <c r="O32" s="394" t="s">
        <v>82</v>
      </c>
      <c r="P32" s="394" t="s">
        <v>2239</v>
      </c>
      <c r="Q32" s="395"/>
      <c r="R32" s="396">
        <v>0</v>
      </c>
      <c r="S32" s="397">
        <v>37500</v>
      </c>
      <c r="T32" s="397">
        <v>35000</v>
      </c>
      <c r="U32" s="397">
        <v>0</v>
      </c>
      <c r="V32" s="397">
        <v>60000</v>
      </c>
      <c r="W32" s="397">
        <v>35000</v>
      </c>
      <c r="X32" s="397">
        <v>0</v>
      </c>
      <c r="Y32" s="397">
        <v>37500</v>
      </c>
      <c r="Z32" s="397">
        <v>0</v>
      </c>
      <c r="AA32" s="397">
        <v>0</v>
      </c>
      <c r="AB32" s="397">
        <v>35000</v>
      </c>
      <c r="AC32" s="398">
        <v>0</v>
      </c>
      <c r="AD32" s="399"/>
      <c r="AE32" s="400">
        <f t="shared" si="2"/>
        <v>240000</v>
      </c>
      <c r="AG32" s="393"/>
      <c r="AH32" s="401"/>
      <c r="AI32" s="402"/>
      <c r="AJ32" s="393"/>
      <c r="AK32" s="389"/>
      <c r="AL32" s="403"/>
      <c r="AM32" s="466" t="s">
        <v>513</v>
      </c>
      <c r="AN32" s="405" t="s">
        <v>54</v>
      </c>
      <c r="AO32" s="406"/>
      <c r="AP32" s="403"/>
      <c r="AQ32" s="407" t="str">
        <f t="shared" si="3"/>
        <v/>
      </c>
      <c r="AR32" s="407" t="str">
        <f>IFERROR(VLOOKUP($AQ32,[6]TruckCenterReference!$C$23:$I58,3,FALSE), "")</f>
        <v/>
      </c>
      <c r="AS32" s="408" t="str">
        <f t="shared" si="4"/>
        <v/>
      </c>
      <c r="AT32" s="409"/>
      <c r="AU32" s="410" t="str">
        <f>IFERROR(VLOOKUP($AQ32,[6]TruckCenterReference!$C$23:$I58,4,FALSE), "")</f>
        <v/>
      </c>
      <c r="AV32" s="408" t="str">
        <f t="shared" si="5"/>
        <v/>
      </c>
      <c r="AX32" s="407" t="str">
        <f t="shared" si="6"/>
        <v/>
      </c>
      <c r="AY32" s="411" t="str">
        <f>IFERROR(VLOOKUP($AQ32,[6]TruckCenterReference!$C$23:$I58,6,FALSE), "")</f>
        <v/>
      </c>
      <c r="AZ32" s="408" t="str">
        <f t="shared" si="7"/>
        <v/>
      </c>
      <c r="BA32" s="409"/>
      <c r="BB32" s="410">
        <f>IFERROR(VLOOKUP($AQ32,[6]TruckCenterReference!$C$23:$I58,7,FALSE), 0)</f>
        <v>0</v>
      </c>
      <c r="BC32" s="410">
        <f>IFERROR(VLOOKUP($AQ32,[6]TruckCenterReference!$C$23:$K58,9,FALSE), 0)</f>
        <v>0</v>
      </c>
      <c r="BD32" s="410">
        <f>IFERROR(VLOOKUP($AQ32,[6]TruckCenterReference!$C$23:$K58,8,FALSE), 0)</f>
        <v>0</v>
      </c>
      <c r="BE32" s="412" t="str">
        <f t="shared" si="8"/>
        <v/>
      </c>
      <c r="BF32" s="408" t="str">
        <f t="shared" si="9"/>
        <v/>
      </c>
    </row>
    <row r="33" spans="1:58">
      <c r="A33" s="381" t="b">
        <f t="shared" si="0"/>
        <v>0</v>
      </c>
      <c r="B33" s="381" t="str">
        <f t="shared" si="1"/>
        <v/>
      </c>
      <c r="C33" s="385" t="s">
        <v>2248</v>
      </c>
      <c r="D33" s="386">
        <v>1</v>
      </c>
      <c r="E33" s="387"/>
      <c r="F33" s="388"/>
      <c r="G33" s="389"/>
      <c r="H33" s="390" t="s">
        <v>2248</v>
      </c>
      <c r="I33" s="390" t="s">
        <v>2248</v>
      </c>
      <c r="J33" s="390" t="s">
        <v>2248</v>
      </c>
      <c r="K33" s="391"/>
      <c r="L33" s="392" t="s">
        <v>2248</v>
      </c>
      <c r="M33" s="392" t="s">
        <v>2248</v>
      </c>
      <c r="N33" s="393"/>
      <c r="O33" s="394" t="s">
        <v>2248</v>
      </c>
      <c r="P33" s="394" t="s">
        <v>2248</v>
      </c>
      <c r="Q33" s="395"/>
      <c r="R33" s="396">
        <v>0</v>
      </c>
      <c r="S33" s="397">
        <v>0</v>
      </c>
      <c r="T33" s="397">
        <v>0</v>
      </c>
      <c r="U33" s="397">
        <v>0</v>
      </c>
      <c r="V33" s="397">
        <v>0</v>
      </c>
      <c r="W33" s="397">
        <v>0</v>
      </c>
      <c r="X33" s="397">
        <v>0</v>
      </c>
      <c r="Y33" s="397">
        <v>0</v>
      </c>
      <c r="Z33" s="397">
        <v>0</v>
      </c>
      <c r="AA33" s="397">
        <v>0</v>
      </c>
      <c r="AB33" s="397">
        <v>0</v>
      </c>
      <c r="AC33" s="398">
        <v>0</v>
      </c>
      <c r="AD33" s="399"/>
      <c r="AE33" s="400">
        <f t="shared" si="2"/>
        <v>0</v>
      </c>
      <c r="AG33" s="393"/>
      <c r="AH33" s="401"/>
      <c r="AI33" s="402" t="s">
        <v>2248</v>
      </c>
      <c r="AJ33" s="393"/>
      <c r="AK33" s="389"/>
      <c r="AL33" s="403"/>
      <c r="AM33" s="404"/>
      <c r="AN33" s="405" t="s">
        <v>54</v>
      </c>
      <c r="AO33" s="406"/>
      <c r="AP33" s="403"/>
      <c r="AQ33" s="407" t="str">
        <f t="shared" si="3"/>
        <v/>
      </c>
      <c r="AR33" s="407" t="str">
        <f>IFERROR(VLOOKUP($AQ33,[6]TruckCenterReference!$C$23:$I59,3,FALSE), "")</f>
        <v/>
      </c>
      <c r="AS33" s="408" t="str">
        <f t="shared" si="4"/>
        <v/>
      </c>
      <c r="AT33" s="409"/>
      <c r="AU33" s="410" t="str">
        <f>IFERROR(VLOOKUP($AQ33,[6]TruckCenterReference!$C$23:$I59,4,FALSE), "")</f>
        <v/>
      </c>
      <c r="AV33" s="408" t="str">
        <f t="shared" si="5"/>
        <v/>
      </c>
      <c r="AX33" s="407" t="str">
        <f t="shared" si="6"/>
        <v/>
      </c>
      <c r="AY33" s="411" t="str">
        <f>IFERROR(VLOOKUP($AQ33,[6]TruckCenterReference!$C$23:$I59,6,FALSE), "")</f>
        <v/>
      </c>
      <c r="AZ33" s="408" t="str">
        <f t="shared" si="7"/>
        <v/>
      </c>
      <c r="BA33" s="409"/>
      <c r="BB33" s="410">
        <f>IFERROR(VLOOKUP($AQ33,[6]TruckCenterReference!$C$23:$I59,7,FALSE), 0)</f>
        <v>0</v>
      </c>
      <c r="BC33" s="410">
        <f>IFERROR(VLOOKUP($AQ33,[6]TruckCenterReference!$C$23:$K59,9,FALSE), 0)</f>
        <v>0</v>
      </c>
      <c r="BD33" s="410">
        <f>IFERROR(VLOOKUP($AQ33,[6]TruckCenterReference!$C$23:$K59,8,FALSE), 0)</f>
        <v>0</v>
      </c>
      <c r="BE33" s="412" t="str">
        <f t="shared" si="8"/>
        <v/>
      </c>
      <c r="BF33" s="408" t="str">
        <f t="shared" si="9"/>
        <v/>
      </c>
    </row>
    <row r="34" spans="1:58">
      <c r="A34" s="381" t="b">
        <f t="shared" si="0"/>
        <v>0</v>
      </c>
      <c r="B34" s="381" t="str">
        <f t="shared" si="1"/>
        <v/>
      </c>
      <c r="C34" s="385" t="s">
        <v>2248</v>
      </c>
      <c r="D34" s="386">
        <v>1</v>
      </c>
      <c r="E34" s="387"/>
      <c r="F34" s="388"/>
      <c r="G34" s="389"/>
      <c r="H34" s="390" t="s">
        <v>2248</v>
      </c>
      <c r="I34" s="390" t="s">
        <v>2248</v>
      </c>
      <c r="J34" s="390" t="s">
        <v>2248</v>
      </c>
      <c r="K34" s="391"/>
      <c r="L34" s="392" t="s">
        <v>2248</v>
      </c>
      <c r="M34" s="392" t="s">
        <v>2248</v>
      </c>
      <c r="N34" s="393"/>
      <c r="O34" s="394" t="s">
        <v>2248</v>
      </c>
      <c r="P34" s="394" t="s">
        <v>2248</v>
      </c>
      <c r="Q34" s="395"/>
      <c r="R34" s="396">
        <v>0</v>
      </c>
      <c r="S34" s="397">
        <v>0</v>
      </c>
      <c r="T34" s="397">
        <v>0</v>
      </c>
      <c r="U34" s="397">
        <v>0</v>
      </c>
      <c r="V34" s="397">
        <v>0</v>
      </c>
      <c r="W34" s="397">
        <v>0</v>
      </c>
      <c r="X34" s="397">
        <v>0</v>
      </c>
      <c r="Y34" s="397">
        <v>0</v>
      </c>
      <c r="Z34" s="397">
        <v>0</v>
      </c>
      <c r="AA34" s="397">
        <v>0</v>
      </c>
      <c r="AB34" s="397">
        <v>0</v>
      </c>
      <c r="AC34" s="398">
        <v>0</v>
      </c>
      <c r="AD34" s="399"/>
      <c r="AE34" s="400">
        <f t="shared" si="2"/>
        <v>0</v>
      </c>
      <c r="AG34" s="393"/>
      <c r="AH34" s="401"/>
      <c r="AI34" s="402" t="s">
        <v>2248</v>
      </c>
      <c r="AJ34" s="393"/>
      <c r="AK34" s="389"/>
      <c r="AL34" s="403"/>
      <c r="AM34" s="404"/>
      <c r="AN34" s="405" t="s">
        <v>54</v>
      </c>
      <c r="AO34" s="406"/>
      <c r="AP34" s="403"/>
      <c r="AQ34" s="407" t="str">
        <f t="shared" si="3"/>
        <v/>
      </c>
      <c r="AR34" s="407" t="str">
        <f>IFERROR(VLOOKUP($AQ34,[6]TruckCenterReference!$C$23:$I60,3,FALSE), "")</f>
        <v/>
      </c>
      <c r="AS34" s="408" t="str">
        <f t="shared" si="4"/>
        <v/>
      </c>
      <c r="AT34" s="409"/>
      <c r="AU34" s="410" t="str">
        <f>IFERROR(VLOOKUP($AQ34,[6]TruckCenterReference!$C$23:$I60,4,FALSE), "")</f>
        <v/>
      </c>
      <c r="AV34" s="408" t="str">
        <f t="shared" si="5"/>
        <v/>
      </c>
      <c r="AX34" s="407" t="str">
        <f t="shared" si="6"/>
        <v/>
      </c>
      <c r="AY34" s="411" t="str">
        <f>IFERROR(VLOOKUP($AQ34,[6]TruckCenterReference!$C$23:$I60,6,FALSE), "")</f>
        <v/>
      </c>
      <c r="AZ34" s="408" t="str">
        <f t="shared" si="7"/>
        <v/>
      </c>
      <c r="BA34" s="409"/>
      <c r="BB34" s="410">
        <f>IFERROR(VLOOKUP($AQ34,[6]TruckCenterReference!$C$23:$I60,7,FALSE), 0)</f>
        <v>0</v>
      </c>
      <c r="BC34" s="410">
        <f>IFERROR(VLOOKUP($AQ34,[6]TruckCenterReference!$C$23:$K60,9,FALSE), 0)</f>
        <v>0</v>
      </c>
      <c r="BD34" s="410">
        <f>IFERROR(VLOOKUP($AQ34,[6]TruckCenterReference!$C$23:$K60,8,FALSE), 0)</f>
        <v>0</v>
      </c>
      <c r="BE34" s="412" t="str">
        <f t="shared" si="8"/>
        <v/>
      </c>
      <c r="BF34" s="408" t="str">
        <f t="shared" si="9"/>
        <v/>
      </c>
    </row>
    <row r="35" spans="1:58">
      <c r="A35" s="381" t="b">
        <f t="shared" si="0"/>
        <v>0</v>
      </c>
      <c r="B35" s="381" t="str">
        <f t="shared" si="1"/>
        <v/>
      </c>
      <c r="C35" s="385" t="s">
        <v>2248</v>
      </c>
      <c r="D35" s="386">
        <v>1</v>
      </c>
      <c r="E35" s="387"/>
      <c r="F35" s="388"/>
      <c r="G35" s="389"/>
      <c r="H35" s="390" t="s">
        <v>2248</v>
      </c>
      <c r="I35" s="390" t="s">
        <v>2248</v>
      </c>
      <c r="J35" s="390" t="s">
        <v>2248</v>
      </c>
      <c r="K35" s="391"/>
      <c r="L35" s="392" t="s">
        <v>2248</v>
      </c>
      <c r="M35" s="392" t="s">
        <v>2248</v>
      </c>
      <c r="N35" s="393"/>
      <c r="O35" s="394" t="s">
        <v>2248</v>
      </c>
      <c r="P35" s="394" t="s">
        <v>2248</v>
      </c>
      <c r="Q35" s="395"/>
      <c r="R35" s="396">
        <v>0</v>
      </c>
      <c r="S35" s="397">
        <v>0</v>
      </c>
      <c r="T35" s="397">
        <v>0</v>
      </c>
      <c r="U35" s="397">
        <v>0</v>
      </c>
      <c r="V35" s="397">
        <v>0</v>
      </c>
      <c r="W35" s="397">
        <v>0</v>
      </c>
      <c r="X35" s="397">
        <v>0</v>
      </c>
      <c r="Y35" s="397">
        <v>0</v>
      </c>
      <c r="Z35" s="397">
        <v>0</v>
      </c>
      <c r="AA35" s="397">
        <v>0</v>
      </c>
      <c r="AB35" s="397">
        <v>0</v>
      </c>
      <c r="AC35" s="398">
        <v>0</v>
      </c>
      <c r="AD35" s="399"/>
      <c r="AE35" s="400">
        <f t="shared" si="2"/>
        <v>0</v>
      </c>
      <c r="AG35" s="393"/>
      <c r="AH35" s="401"/>
      <c r="AI35" s="402" t="s">
        <v>2248</v>
      </c>
      <c r="AJ35" s="393"/>
      <c r="AK35" s="389"/>
      <c r="AL35" s="403"/>
      <c r="AM35" s="404"/>
      <c r="AN35" s="405" t="s">
        <v>54</v>
      </c>
      <c r="AO35" s="406"/>
      <c r="AP35" s="403"/>
      <c r="AQ35" s="407" t="str">
        <f t="shared" si="3"/>
        <v/>
      </c>
      <c r="AR35" s="407" t="str">
        <f>IFERROR(VLOOKUP($AQ35,[6]TruckCenterReference!$C$23:$I61,3,FALSE), "")</f>
        <v/>
      </c>
      <c r="AS35" s="408" t="str">
        <f t="shared" si="4"/>
        <v/>
      </c>
      <c r="AT35" s="409"/>
      <c r="AU35" s="410" t="str">
        <f>IFERROR(VLOOKUP($AQ35,[6]TruckCenterReference!$C$23:$I61,4,FALSE), "")</f>
        <v/>
      </c>
      <c r="AV35" s="408" t="str">
        <f t="shared" si="5"/>
        <v/>
      </c>
      <c r="AX35" s="407" t="str">
        <f t="shared" si="6"/>
        <v/>
      </c>
      <c r="AY35" s="411" t="str">
        <f>IFERROR(VLOOKUP($AQ35,[6]TruckCenterReference!$C$23:$I61,6,FALSE), "")</f>
        <v/>
      </c>
      <c r="AZ35" s="408" t="str">
        <f t="shared" si="7"/>
        <v/>
      </c>
      <c r="BA35" s="409"/>
      <c r="BB35" s="410">
        <f>IFERROR(VLOOKUP($AQ35,[6]TruckCenterReference!$C$23:$I61,7,FALSE), 0)</f>
        <v>0</v>
      </c>
      <c r="BC35" s="410">
        <f>IFERROR(VLOOKUP($AQ35,[6]TruckCenterReference!$C$23:$K61,9,FALSE), 0)</f>
        <v>0</v>
      </c>
      <c r="BD35" s="410">
        <f>IFERROR(VLOOKUP($AQ35,[6]TruckCenterReference!$C$23:$K61,8,FALSE), 0)</f>
        <v>0</v>
      </c>
      <c r="BE35" s="412" t="str">
        <f t="shared" si="8"/>
        <v/>
      </c>
      <c r="BF35" s="408" t="str">
        <f t="shared" si="9"/>
        <v/>
      </c>
    </row>
    <row r="36" spans="1:58">
      <c r="A36" s="381" t="b">
        <f t="shared" si="0"/>
        <v>0</v>
      </c>
      <c r="B36" s="381" t="str">
        <f t="shared" si="1"/>
        <v/>
      </c>
      <c r="C36" s="385" t="s">
        <v>2248</v>
      </c>
      <c r="D36" s="386">
        <v>1</v>
      </c>
      <c r="E36" s="387"/>
      <c r="F36" s="388"/>
      <c r="G36" s="389"/>
      <c r="H36" s="390" t="s">
        <v>2248</v>
      </c>
      <c r="I36" s="390" t="s">
        <v>2248</v>
      </c>
      <c r="J36" s="390" t="s">
        <v>2248</v>
      </c>
      <c r="K36" s="391"/>
      <c r="L36" s="392" t="s">
        <v>2248</v>
      </c>
      <c r="M36" s="392" t="s">
        <v>2248</v>
      </c>
      <c r="N36" s="393"/>
      <c r="O36" s="394" t="s">
        <v>2248</v>
      </c>
      <c r="P36" s="394" t="s">
        <v>2248</v>
      </c>
      <c r="Q36" s="395"/>
      <c r="R36" s="396">
        <v>0</v>
      </c>
      <c r="S36" s="397">
        <v>0</v>
      </c>
      <c r="T36" s="397">
        <v>0</v>
      </c>
      <c r="U36" s="397">
        <v>0</v>
      </c>
      <c r="V36" s="397">
        <v>0</v>
      </c>
      <c r="W36" s="397">
        <v>0</v>
      </c>
      <c r="X36" s="397">
        <v>0</v>
      </c>
      <c r="Y36" s="397">
        <v>0</v>
      </c>
      <c r="Z36" s="397">
        <v>0</v>
      </c>
      <c r="AA36" s="397">
        <v>0</v>
      </c>
      <c r="AB36" s="397">
        <v>0</v>
      </c>
      <c r="AC36" s="398">
        <v>0</v>
      </c>
      <c r="AD36" s="399"/>
      <c r="AE36" s="400">
        <f t="shared" si="2"/>
        <v>0</v>
      </c>
      <c r="AG36" s="393"/>
      <c r="AH36" s="401"/>
      <c r="AI36" s="402" t="s">
        <v>2248</v>
      </c>
      <c r="AJ36" s="393"/>
      <c r="AK36" s="389"/>
      <c r="AL36" s="403"/>
      <c r="AM36" s="404"/>
      <c r="AN36" s="405" t="s">
        <v>54</v>
      </c>
      <c r="AO36" s="406"/>
      <c r="AP36" s="403"/>
      <c r="AQ36" s="407" t="str">
        <f t="shared" si="3"/>
        <v/>
      </c>
      <c r="AR36" s="407" t="str">
        <f>IFERROR(VLOOKUP($AQ36,[6]TruckCenterReference!$C$23:$I62,3,FALSE), "")</f>
        <v/>
      </c>
      <c r="AS36" s="408" t="str">
        <f t="shared" si="4"/>
        <v/>
      </c>
      <c r="AT36" s="409"/>
      <c r="AU36" s="410" t="str">
        <f>IFERROR(VLOOKUP($AQ36,[6]TruckCenterReference!$C$23:$I62,4,FALSE), "")</f>
        <v/>
      </c>
      <c r="AV36" s="408" t="str">
        <f t="shared" si="5"/>
        <v/>
      </c>
      <c r="AX36" s="407" t="str">
        <f t="shared" si="6"/>
        <v/>
      </c>
      <c r="AY36" s="411" t="str">
        <f>IFERROR(VLOOKUP($AQ36,[6]TruckCenterReference!$C$23:$I62,6,FALSE), "")</f>
        <v/>
      </c>
      <c r="AZ36" s="408" t="str">
        <f t="shared" si="7"/>
        <v/>
      </c>
      <c r="BA36" s="409"/>
      <c r="BB36" s="410">
        <f>IFERROR(VLOOKUP($AQ36,[6]TruckCenterReference!$C$23:$I62,7,FALSE), 0)</f>
        <v>0</v>
      </c>
      <c r="BC36" s="410">
        <f>IFERROR(VLOOKUP($AQ36,[6]TruckCenterReference!$C$23:$K62,9,FALSE), 0)</f>
        <v>0</v>
      </c>
      <c r="BD36" s="410">
        <f>IFERROR(VLOOKUP($AQ36,[6]TruckCenterReference!$C$23:$K62,8,FALSE), 0)</f>
        <v>0</v>
      </c>
      <c r="BE36" s="412" t="str">
        <f t="shared" si="8"/>
        <v/>
      </c>
      <c r="BF36" s="408" t="str">
        <f t="shared" si="9"/>
        <v/>
      </c>
    </row>
    <row r="37" spans="1:58">
      <c r="A37" s="381" t="b">
        <f t="shared" si="0"/>
        <v>0</v>
      </c>
      <c r="B37" s="381" t="str">
        <f t="shared" si="1"/>
        <v/>
      </c>
      <c r="C37" s="385" t="s">
        <v>2248</v>
      </c>
      <c r="D37" s="386">
        <v>1</v>
      </c>
      <c r="E37" s="387"/>
      <c r="F37" s="388"/>
      <c r="G37" s="389"/>
      <c r="H37" s="390" t="s">
        <v>2248</v>
      </c>
      <c r="I37" s="390" t="s">
        <v>2248</v>
      </c>
      <c r="J37" s="390" t="s">
        <v>2248</v>
      </c>
      <c r="K37" s="391"/>
      <c r="L37" s="392" t="s">
        <v>2248</v>
      </c>
      <c r="M37" s="392" t="s">
        <v>2248</v>
      </c>
      <c r="N37" s="393"/>
      <c r="O37" s="394" t="s">
        <v>2248</v>
      </c>
      <c r="P37" s="394" t="s">
        <v>2248</v>
      </c>
      <c r="Q37" s="395"/>
      <c r="R37" s="396">
        <v>0</v>
      </c>
      <c r="S37" s="397">
        <v>0</v>
      </c>
      <c r="T37" s="397">
        <v>0</v>
      </c>
      <c r="U37" s="397">
        <v>0</v>
      </c>
      <c r="V37" s="397">
        <v>0</v>
      </c>
      <c r="W37" s="397">
        <v>0</v>
      </c>
      <c r="X37" s="397">
        <v>0</v>
      </c>
      <c r="Y37" s="397">
        <v>0</v>
      </c>
      <c r="Z37" s="397">
        <v>0</v>
      </c>
      <c r="AA37" s="397">
        <v>0</v>
      </c>
      <c r="AB37" s="397">
        <v>0</v>
      </c>
      <c r="AC37" s="398">
        <v>0</v>
      </c>
      <c r="AD37" s="399"/>
      <c r="AE37" s="400">
        <f t="shared" si="2"/>
        <v>0</v>
      </c>
      <c r="AG37" s="393"/>
      <c r="AH37" s="401"/>
      <c r="AI37" s="402" t="s">
        <v>2248</v>
      </c>
      <c r="AJ37" s="393"/>
      <c r="AK37" s="389"/>
      <c r="AL37" s="403"/>
      <c r="AM37" s="404"/>
      <c r="AN37" s="405" t="s">
        <v>54</v>
      </c>
      <c r="AO37" s="406"/>
      <c r="AP37" s="403"/>
      <c r="AQ37" s="407" t="str">
        <f t="shared" si="3"/>
        <v/>
      </c>
      <c r="AR37" s="407" t="str">
        <f>IFERROR(VLOOKUP($AQ37,[6]TruckCenterReference!$C$23:$I63,3,FALSE), "")</f>
        <v/>
      </c>
      <c r="AS37" s="408" t="str">
        <f t="shared" si="4"/>
        <v/>
      </c>
      <c r="AT37" s="409"/>
      <c r="AU37" s="410" t="str">
        <f>IFERROR(VLOOKUP($AQ37,[6]TruckCenterReference!$C$23:$I63,4,FALSE), "")</f>
        <v/>
      </c>
      <c r="AV37" s="408" t="str">
        <f t="shared" si="5"/>
        <v/>
      </c>
      <c r="AX37" s="407" t="str">
        <f t="shared" si="6"/>
        <v/>
      </c>
      <c r="AY37" s="411" t="str">
        <f>IFERROR(VLOOKUP($AQ37,[6]TruckCenterReference!$C$23:$I63,6,FALSE), "")</f>
        <v/>
      </c>
      <c r="AZ37" s="408" t="str">
        <f t="shared" si="7"/>
        <v/>
      </c>
      <c r="BA37" s="409"/>
      <c r="BB37" s="410">
        <f>IFERROR(VLOOKUP($AQ37,[6]TruckCenterReference!$C$23:$I63,7,FALSE), 0)</f>
        <v>0</v>
      </c>
      <c r="BC37" s="410">
        <f>IFERROR(VLOOKUP($AQ37,[6]TruckCenterReference!$C$23:$K63,9,FALSE), 0)</f>
        <v>0</v>
      </c>
      <c r="BD37" s="410">
        <f>IFERROR(VLOOKUP($AQ37,[6]TruckCenterReference!$C$23:$K63,8,FALSE), 0)</f>
        <v>0</v>
      </c>
      <c r="BE37" s="412" t="str">
        <f t="shared" si="8"/>
        <v/>
      </c>
      <c r="BF37" s="408" t="str">
        <f t="shared" si="9"/>
        <v/>
      </c>
    </row>
    <row r="38" spans="1:58">
      <c r="A38" s="381" t="b">
        <f t="shared" si="0"/>
        <v>0</v>
      </c>
      <c r="B38" s="381" t="str">
        <f t="shared" si="1"/>
        <v/>
      </c>
      <c r="C38" s="385" t="s">
        <v>2248</v>
      </c>
      <c r="D38" s="386">
        <v>1</v>
      </c>
      <c r="E38" s="387"/>
      <c r="F38" s="388"/>
      <c r="G38" s="389"/>
      <c r="H38" s="390" t="s">
        <v>2248</v>
      </c>
      <c r="I38" s="390" t="s">
        <v>2248</v>
      </c>
      <c r="J38" s="390" t="s">
        <v>2248</v>
      </c>
      <c r="K38" s="391"/>
      <c r="L38" s="392" t="s">
        <v>2248</v>
      </c>
      <c r="M38" s="392" t="s">
        <v>2248</v>
      </c>
      <c r="N38" s="393"/>
      <c r="O38" s="394" t="s">
        <v>2248</v>
      </c>
      <c r="P38" s="394" t="s">
        <v>2248</v>
      </c>
      <c r="Q38" s="395"/>
      <c r="R38" s="396">
        <v>0</v>
      </c>
      <c r="S38" s="397">
        <v>0</v>
      </c>
      <c r="T38" s="397">
        <v>0</v>
      </c>
      <c r="U38" s="397">
        <v>0</v>
      </c>
      <c r="V38" s="397">
        <v>0</v>
      </c>
      <c r="W38" s="397">
        <v>0</v>
      </c>
      <c r="X38" s="397">
        <v>0</v>
      </c>
      <c r="Y38" s="397">
        <v>0</v>
      </c>
      <c r="Z38" s="397">
        <v>0</v>
      </c>
      <c r="AA38" s="397">
        <v>0</v>
      </c>
      <c r="AB38" s="397">
        <v>0</v>
      </c>
      <c r="AC38" s="398">
        <v>0</v>
      </c>
      <c r="AD38" s="399"/>
      <c r="AE38" s="400">
        <f t="shared" si="2"/>
        <v>0</v>
      </c>
      <c r="AG38" s="393"/>
      <c r="AH38" s="401"/>
      <c r="AI38" s="402" t="s">
        <v>2248</v>
      </c>
      <c r="AJ38" s="393"/>
      <c r="AK38" s="389"/>
      <c r="AL38" s="403"/>
      <c r="AM38" s="404"/>
      <c r="AN38" s="405" t="s">
        <v>54</v>
      </c>
      <c r="AO38" s="406"/>
      <c r="AP38" s="403"/>
      <c r="AQ38" s="407" t="str">
        <f t="shared" si="3"/>
        <v/>
      </c>
      <c r="AR38" s="407" t="str">
        <f>IFERROR(VLOOKUP($AQ38,[6]TruckCenterReference!$C$23:$I64,3,FALSE), "")</f>
        <v/>
      </c>
      <c r="AS38" s="408" t="str">
        <f t="shared" si="4"/>
        <v/>
      </c>
      <c r="AT38" s="409"/>
      <c r="AU38" s="410" t="str">
        <f>IFERROR(VLOOKUP($AQ38,[6]TruckCenterReference!$C$23:$I64,4,FALSE), "")</f>
        <v/>
      </c>
      <c r="AV38" s="408" t="str">
        <f t="shared" si="5"/>
        <v/>
      </c>
      <c r="AX38" s="407" t="str">
        <f t="shared" si="6"/>
        <v/>
      </c>
      <c r="AY38" s="411" t="str">
        <f>IFERROR(VLOOKUP($AQ38,[6]TruckCenterReference!$C$23:$I64,6,FALSE), "")</f>
        <v/>
      </c>
      <c r="AZ38" s="408" t="str">
        <f t="shared" si="7"/>
        <v/>
      </c>
      <c r="BA38" s="409"/>
      <c r="BB38" s="410">
        <f>IFERROR(VLOOKUP($AQ38,[6]TruckCenterReference!$C$23:$I64,7,FALSE), 0)</f>
        <v>0</v>
      </c>
      <c r="BC38" s="410">
        <f>IFERROR(VLOOKUP($AQ38,[6]TruckCenterReference!$C$23:$K64,9,FALSE), 0)</f>
        <v>0</v>
      </c>
      <c r="BD38" s="410">
        <f>IFERROR(VLOOKUP($AQ38,[6]TruckCenterReference!$C$23:$K64,8,FALSE), 0)</f>
        <v>0</v>
      </c>
      <c r="BE38" s="412" t="str">
        <f t="shared" si="8"/>
        <v/>
      </c>
      <c r="BF38" s="408" t="str">
        <f t="shared" si="9"/>
        <v/>
      </c>
    </row>
    <row r="39" spans="1:58">
      <c r="A39" s="381" t="b">
        <f t="shared" si="0"/>
        <v>0</v>
      </c>
      <c r="B39" s="381" t="str">
        <f t="shared" si="1"/>
        <v/>
      </c>
      <c r="C39" s="385" t="s">
        <v>2248</v>
      </c>
      <c r="D39" s="386">
        <v>1</v>
      </c>
      <c r="E39" s="387"/>
      <c r="F39" s="388"/>
      <c r="G39" s="389"/>
      <c r="H39" s="390" t="s">
        <v>2248</v>
      </c>
      <c r="I39" s="390" t="s">
        <v>2248</v>
      </c>
      <c r="J39" s="390" t="s">
        <v>2248</v>
      </c>
      <c r="K39" s="391"/>
      <c r="L39" s="392" t="s">
        <v>2248</v>
      </c>
      <c r="M39" s="392" t="s">
        <v>2248</v>
      </c>
      <c r="N39" s="393"/>
      <c r="O39" s="394" t="s">
        <v>2248</v>
      </c>
      <c r="P39" s="394" t="s">
        <v>2248</v>
      </c>
      <c r="Q39" s="395"/>
      <c r="R39" s="396">
        <v>0</v>
      </c>
      <c r="S39" s="397">
        <v>0</v>
      </c>
      <c r="T39" s="397">
        <v>0</v>
      </c>
      <c r="U39" s="397">
        <v>0</v>
      </c>
      <c r="V39" s="397">
        <v>0</v>
      </c>
      <c r="W39" s="397">
        <v>0</v>
      </c>
      <c r="X39" s="397">
        <v>0</v>
      </c>
      <c r="Y39" s="397">
        <v>0</v>
      </c>
      <c r="Z39" s="397">
        <v>0</v>
      </c>
      <c r="AA39" s="397">
        <v>0</v>
      </c>
      <c r="AB39" s="397">
        <v>0</v>
      </c>
      <c r="AC39" s="398">
        <v>0</v>
      </c>
      <c r="AD39" s="399"/>
      <c r="AE39" s="400">
        <f t="shared" si="2"/>
        <v>0</v>
      </c>
      <c r="AG39" s="393"/>
      <c r="AH39" s="401"/>
      <c r="AI39" s="402" t="s">
        <v>2248</v>
      </c>
      <c r="AJ39" s="393"/>
      <c r="AK39" s="389"/>
      <c r="AL39" s="403"/>
      <c r="AM39" s="404"/>
      <c r="AN39" s="405" t="s">
        <v>54</v>
      </c>
      <c r="AO39" s="406"/>
      <c r="AP39" s="403"/>
      <c r="AQ39" s="407" t="str">
        <f t="shared" si="3"/>
        <v/>
      </c>
      <c r="AR39" s="407" t="str">
        <f>IFERROR(VLOOKUP($AQ39,[6]TruckCenterReference!$C$23:$I65,3,FALSE), "")</f>
        <v/>
      </c>
      <c r="AS39" s="408" t="str">
        <f t="shared" si="4"/>
        <v/>
      </c>
      <c r="AT39" s="409"/>
      <c r="AU39" s="410" t="str">
        <f>IFERROR(VLOOKUP($AQ39,[6]TruckCenterReference!$C$23:$I65,4,FALSE), "")</f>
        <v/>
      </c>
      <c r="AV39" s="408" t="str">
        <f t="shared" si="5"/>
        <v/>
      </c>
      <c r="AX39" s="407" t="str">
        <f t="shared" si="6"/>
        <v/>
      </c>
      <c r="AY39" s="411" t="str">
        <f>IFERROR(VLOOKUP($AQ39,[6]TruckCenterReference!$C$23:$I65,6,FALSE), "")</f>
        <v/>
      </c>
      <c r="AZ39" s="408" t="str">
        <f t="shared" si="7"/>
        <v/>
      </c>
      <c r="BA39" s="409"/>
      <c r="BB39" s="410">
        <f>IFERROR(VLOOKUP($AQ39,[6]TruckCenterReference!$C$23:$I65,7,FALSE), 0)</f>
        <v>0</v>
      </c>
      <c r="BC39" s="410">
        <f>IFERROR(VLOOKUP($AQ39,[6]TruckCenterReference!$C$23:$K65,9,FALSE), 0)</f>
        <v>0</v>
      </c>
      <c r="BD39" s="410">
        <f>IFERROR(VLOOKUP($AQ39,[6]TruckCenterReference!$C$23:$K65,8,FALSE), 0)</f>
        <v>0</v>
      </c>
      <c r="BE39" s="412" t="str">
        <f t="shared" si="8"/>
        <v/>
      </c>
      <c r="BF39" s="408" t="str">
        <f t="shared" si="9"/>
        <v/>
      </c>
    </row>
    <row r="40" spans="1:58">
      <c r="A40" s="381" t="b">
        <f t="shared" si="0"/>
        <v>0</v>
      </c>
      <c r="B40" s="381" t="str">
        <f t="shared" si="1"/>
        <v/>
      </c>
      <c r="C40" s="385" t="s">
        <v>2248</v>
      </c>
      <c r="D40" s="386">
        <v>1</v>
      </c>
      <c r="E40" s="387"/>
      <c r="F40" s="388"/>
      <c r="G40" s="389"/>
      <c r="H40" s="390" t="s">
        <v>2248</v>
      </c>
      <c r="I40" s="390" t="s">
        <v>2248</v>
      </c>
      <c r="J40" s="390" t="s">
        <v>2248</v>
      </c>
      <c r="K40" s="391"/>
      <c r="L40" s="392" t="s">
        <v>2248</v>
      </c>
      <c r="M40" s="392" t="s">
        <v>2248</v>
      </c>
      <c r="N40" s="393"/>
      <c r="O40" s="394" t="s">
        <v>2248</v>
      </c>
      <c r="P40" s="394" t="s">
        <v>2248</v>
      </c>
      <c r="Q40" s="395"/>
      <c r="R40" s="396">
        <v>0</v>
      </c>
      <c r="S40" s="397">
        <v>0</v>
      </c>
      <c r="T40" s="397">
        <v>0</v>
      </c>
      <c r="U40" s="397">
        <v>0</v>
      </c>
      <c r="V40" s="397">
        <v>0</v>
      </c>
      <c r="W40" s="397">
        <v>0</v>
      </c>
      <c r="X40" s="397">
        <v>0</v>
      </c>
      <c r="Y40" s="397">
        <v>0</v>
      </c>
      <c r="Z40" s="397">
        <v>0</v>
      </c>
      <c r="AA40" s="397">
        <v>0</v>
      </c>
      <c r="AB40" s="397">
        <v>0</v>
      </c>
      <c r="AC40" s="398">
        <v>0</v>
      </c>
      <c r="AD40" s="399"/>
      <c r="AE40" s="400">
        <f t="shared" si="2"/>
        <v>0</v>
      </c>
      <c r="AG40" s="393"/>
      <c r="AH40" s="401"/>
      <c r="AI40" s="402" t="s">
        <v>2248</v>
      </c>
      <c r="AJ40" s="393"/>
      <c r="AK40" s="389"/>
      <c r="AL40" s="403"/>
      <c r="AM40" s="404"/>
      <c r="AN40" s="405" t="s">
        <v>54</v>
      </c>
      <c r="AO40" s="406"/>
      <c r="AP40" s="403"/>
      <c r="AQ40" s="407" t="str">
        <f t="shared" si="3"/>
        <v/>
      </c>
      <c r="AR40" s="407" t="str">
        <f>IFERROR(VLOOKUP($AQ40,[6]TruckCenterReference!$C$23:$I66,3,FALSE), "")</f>
        <v/>
      </c>
      <c r="AS40" s="408" t="str">
        <f t="shared" si="4"/>
        <v/>
      </c>
      <c r="AT40" s="409"/>
      <c r="AU40" s="410" t="str">
        <f>IFERROR(VLOOKUP($AQ40,[6]TruckCenterReference!$C$23:$I66,4,FALSE), "")</f>
        <v/>
      </c>
      <c r="AV40" s="408" t="str">
        <f t="shared" si="5"/>
        <v/>
      </c>
      <c r="AX40" s="407" t="str">
        <f t="shared" si="6"/>
        <v/>
      </c>
      <c r="AY40" s="411" t="str">
        <f>IFERROR(VLOOKUP($AQ40,[6]TruckCenterReference!$C$23:$I66,6,FALSE), "")</f>
        <v/>
      </c>
      <c r="AZ40" s="408" t="str">
        <f t="shared" si="7"/>
        <v/>
      </c>
      <c r="BA40" s="409"/>
      <c r="BB40" s="410">
        <f>IFERROR(VLOOKUP($AQ40,[6]TruckCenterReference!$C$23:$I66,7,FALSE), 0)</f>
        <v>0</v>
      </c>
      <c r="BC40" s="410">
        <f>IFERROR(VLOOKUP($AQ40,[6]TruckCenterReference!$C$23:$K66,9,FALSE), 0)</f>
        <v>0</v>
      </c>
      <c r="BD40" s="410">
        <f>IFERROR(VLOOKUP($AQ40,[6]TruckCenterReference!$C$23:$K66,8,FALSE), 0)</f>
        <v>0</v>
      </c>
      <c r="BE40" s="412" t="str">
        <f t="shared" si="8"/>
        <v/>
      </c>
      <c r="BF40" s="408" t="str">
        <f t="shared" si="9"/>
        <v/>
      </c>
    </row>
    <row r="41" spans="1:58">
      <c r="A41" s="381" t="b">
        <f t="shared" si="0"/>
        <v>0</v>
      </c>
      <c r="B41" s="381" t="str">
        <f t="shared" si="1"/>
        <v/>
      </c>
      <c r="C41" s="385" t="s">
        <v>2248</v>
      </c>
      <c r="D41" s="386">
        <v>1</v>
      </c>
      <c r="E41" s="387"/>
      <c r="F41" s="388"/>
      <c r="G41" s="389"/>
      <c r="H41" s="390" t="s">
        <v>2248</v>
      </c>
      <c r="I41" s="390" t="s">
        <v>2248</v>
      </c>
      <c r="J41" s="390" t="s">
        <v>2248</v>
      </c>
      <c r="K41" s="391"/>
      <c r="L41" s="392" t="s">
        <v>2248</v>
      </c>
      <c r="M41" s="392" t="s">
        <v>2248</v>
      </c>
      <c r="N41" s="393"/>
      <c r="O41" s="394" t="s">
        <v>2248</v>
      </c>
      <c r="P41" s="394" t="s">
        <v>2248</v>
      </c>
      <c r="Q41" s="395"/>
      <c r="R41" s="396">
        <v>0</v>
      </c>
      <c r="S41" s="397">
        <v>0</v>
      </c>
      <c r="T41" s="397">
        <v>0</v>
      </c>
      <c r="U41" s="397">
        <v>0</v>
      </c>
      <c r="V41" s="397">
        <v>0</v>
      </c>
      <c r="W41" s="397">
        <v>0</v>
      </c>
      <c r="X41" s="397">
        <v>0</v>
      </c>
      <c r="Y41" s="397">
        <v>0</v>
      </c>
      <c r="Z41" s="397">
        <v>0</v>
      </c>
      <c r="AA41" s="397">
        <v>0</v>
      </c>
      <c r="AB41" s="397">
        <v>0</v>
      </c>
      <c r="AC41" s="398">
        <v>0</v>
      </c>
      <c r="AD41" s="399"/>
      <c r="AE41" s="400">
        <f t="shared" si="2"/>
        <v>0</v>
      </c>
      <c r="AG41" s="393"/>
      <c r="AH41" s="401"/>
      <c r="AI41" s="402" t="s">
        <v>2248</v>
      </c>
      <c r="AJ41" s="393"/>
      <c r="AK41" s="389"/>
      <c r="AL41" s="403"/>
      <c r="AM41" s="404"/>
      <c r="AN41" s="405" t="s">
        <v>54</v>
      </c>
      <c r="AO41" s="406"/>
      <c r="AP41" s="403"/>
      <c r="AQ41" s="407" t="str">
        <f t="shared" si="3"/>
        <v/>
      </c>
      <c r="AR41" s="407" t="str">
        <f>IFERROR(VLOOKUP($AQ41,[6]TruckCenterReference!$C$23:$I67,3,FALSE), "")</f>
        <v/>
      </c>
      <c r="AS41" s="408" t="str">
        <f t="shared" si="4"/>
        <v/>
      </c>
      <c r="AT41" s="409"/>
      <c r="AU41" s="410" t="str">
        <f>IFERROR(VLOOKUP($AQ41,[6]TruckCenterReference!$C$23:$I67,4,FALSE), "")</f>
        <v/>
      </c>
      <c r="AV41" s="408" t="str">
        <f t="shared" si="5"/>
        <v/>
      </c>
      <c r="AX41" s="407" t="str">
        <f t="shared" si="6"/>
        <v/>
      </c>
      <c r="AY41" s="411" t="str">
        <f>IFERROR(VLOOKUP($AQ41,[6]TruckCenterReference!$C$23:$I67,6,FALSE), "")</f>
        <v/>
      </c>
      <c r="AZ41" s="408" t="str">
        <f t="shared" si="7"/>
        <v/>
      </c>
      <c r="BA41" s="409"/>
      <c r="BB41" s="410">
        <f>IFERROR(VLOOKUP($AQ41,[6]TruckCenterReference!$C$23:$I67,7,FALSE), 0)</f>
        <v>0</v>
      </c>
      <c r="BC41" s="410">
        <f>IFERROR(VLOOKUP($AQ41,[6]TruckCenterReference!$C$23:$K67,9,FALSE), 0)</f>
        <v>0</v>
      </c>
      <c r="BD41" s="410">
        <f>IFERROR(VLOOKUP($AQ41,[6]TruckCenterReference!$C$23:$K67,8,FALSE), 0)</f>
        <v>0</v>
      </c>
      <c r="BE41" s="412" t="str">
        <f t="shared" si="8"/>
        <v/>
      </c>
      <c r="BF41" s="408" t="str">
        <f t="shared" si="9"/>
        <v/>
      </c>
    </row>
    <row r="42" spans="1:58">
      <c r="A42" s="381" t="b">
        <f t="shared" si="0"/>
        <v>0</v>
      </c>
      <c r="B42" s="381" t="str">
        <f t="shared" si="1"/>
        <v/>
      </c>
      <c r="C42" s="385" t="s">
        <v>2248</v>
      </c>
      <c r="D42" s="386">
        <v>1</v>
      </c>
      <c r="E42" s="387"/>
      <c r="F42" s="388"/>
      <c r="G42" s="389"/>
      <c r="H42" s="390" t="s">
        <v>2248</v>
      </c>
      <c r="I42" s="390" t="s">
        <v>2248</v>
      </c>
      <c r="J42" s="390" t="s">
        <v>2248</v>
      </c>
      <c r="K42" s="391"/>
      <c r="L42" s="392" t="s">
        <v>2248</v>
      </c>
      <c r="M42" s="392" t="s">
        <v>2248</v>
      </c>
      <c r="N42" s="393"/>
      <c r="O42" s="394" t="s">
        <v>2248</v>
      </c>
      <c r="P42" s="394" t="s">
        <v>2248</v>
      </c>
      <c r="Q42" s="395"/>
      <c r="R42" s="396">
        <v>0</v>
      </c>
      <c r="S42" s="397">
        <v>0</v>
      </c>
      <c r="T42" s="397">
        <v>0</v>
      </c>
      <c r="U42" s="397">
        <v>0</v>
      </c>
      <c r="V42" s="397">
        <v>0</v>
      </c>
      <c r="W42" s="397">
        <v>0</v>
      </c>
      <c r="X42" s="397">
        <v>0</v>
      </c>
      <c r="Y42" s="397">
        <v>0</v>
      </c>
      <c r="Z42" s="397">
        <v>0</v>
      </c>
      <c r="AA42" s="397">
        <v>0</v>
      </c>
      <c r="AB42" s="397">
        <v>0</v>
      </c>
      <c r="AC42" s="398">
        <v>0</v>
      </c>
      <c r="AD42" s="399"/>
      <c r="AE42" s="400">
        <f t="shared" si="2"/>
        <v>0</v>
      </c>
      <c r="AG42" s="393"/>
      <c r="AH42" s="401"/>
      <c r="AI42" s="402" t="s">
        <v>2248</v>
      </c>
      <c r="AJ42" s="393"/>
      <c r="AK42" s="389"/>
      <c r="AL42" s="403"/>
      <c r="AM42" s="404"/>
      <c r="AN42" s="405" t="s">
        <v>54</v>
      </c>
      <c r="AO42" s="406"/>
      <c r="AP42" s="403"/>
      <c r="AQ42" s="407" t="str">
        <f t="shared" si="3"/>
        <v/>
      </c>
      <c r="AR42" s="407" t="str">
        <f>IFERROR(VLOOKUP($AQ42,[6]TruckCenterReference!$C$23:$I68,3,FALSE), "")</f>
        <v/>
      </c>
      <c r="AS42" s="408" t="str">
        <f t="shared" si="4"/>
        <v/>
      </c>
      <c r="AT42" s="409"/>
      <c r="AU42" s="410" t="str">
        <f>IFERROR(VLOOKUP($AQ42,[6]TruckCenterReference!$C$23:$I68,4,FALSE), "")</f>
        <v/>
      </c>
      <c r="AV42" s="408" t="str">
        <f t="shared" si="5"/>
        <v/>
      </c>
      <c r="AX42" s="407" t="str">
        <f t="shared" si="6"/>
        <v/>
      </c>
      <c r="AY42" s="411" t="str">
        <f>IFERROR(VLOOKUP($AQ42,[6]TruckCenterReference!$C$23:$I68,6,FALSE), "")</f>
        <v/>
      </c>
      <c r="AZ42" s="408" t="str">
        <f t="shared" si="7"/>
        <v/>
      </c>
      <c r="BA42" s="409"/>
      <c r="BB42" s="410">
        <f>IFERROR(VLOOKUP($AQ42,[6]TruckCenterReference!$C$23:$I68,7,FALSE), 0)</f>
        <v>0</v>
      </c>
      <c r="BC42" s="410">
        <f>IFERROR(VLOOKUP($AQ42,[6]TruckCenterReference!$C$23:$K68,9,FALSE), 0)</f>
        <v>0</v>
      </c>
      <c r="BD42" s="410">
        <f>IFERROR(VLOOKUP($AQ42,[6]TruckCenterReference!$C$23:$K68,8,FALSE), 0)</f>
        <v>0</v>
      </c>
      <c r="BE42" s="412" t="str">
        <f t="shared" si="8"/>
        <v/>
      </c>
      <c r="BF42" s="408" t="str">
        <f t="shared" si="9"/>
        <v/>
      </c>
    </row>
    <row r="43" spans="1:58">
      <c r="A43" s="381" t="b">
        <f t="shared" si="0"/>
        <v>0</v>
      </c>
      <c r="B43" s="381" t="str">
        <f t="shared" si="1"/>
        <v/>
      </c>
      <c r="C43" s="385" t="s">
        <v>2248</v>
      </c>
      <c r="D43" s="386">
        <v>1</v>
      </c>
      <c r="E43" s="387"/>
      <c r="F43" s="388"/>
      <c r="G43" s="389"/>
      <c r="H43" s="390" t="s">
        <v>2248</v>
      </c>
      <c r="I43" s="390" t="s">
        <v>2248</v>
      </c>
      <c r="J43" s="390" t="s">
        <v>2248</v>
      </c>
      <c r="K43" s="391"/>
      <c r="L43" s="392" t="s">
        <v>2248</v>
      </c>
      <c r="M43" s="392" t="s">
        <v>2248</v>
      </c>
      <c r="N43" s="393"/>
      <c r="O43" s="394" t="s">
        <v>2248</v>
      </c>
      <c r="P43" s="394" t="s">
        <v>2248</v>
      </c>
      <c r="Q43" s="395"/>
      <c r="R43" s="396">
        <v>0</v>
      </c>
      <c r="S43" s="397">
        <v>0</v>
      </c>
      <c r="T43" s="397">
        <v>0</v>
      </c>
      <c r="U43" s="397">
        <v>0</v>
      </c>
      <c r="V43" s="397">
        <v>0</v>
      </c>
      <c r="W43" s="397">
        <v>0</v>
      </c>
      <c r="X43" s="397">
        <v>0</v>
      </c>
      <c r="Y43" s="397">
        <v>0</v>
      </c>
      <c r="Z43" s="397">
        <v>0</v>
      </c>
      <c r="AA43" s="397">
        <v>0</v>
      </c>
      <c r="AB43" s="397">
        <v>0</v>
      </c>
      <c r="AC43" s="398">
        <v>0</v>
      </c>
      <c r="AD43" s="399"/>
      <c r="AE43" s="400">
        <f t="shared" si="2"/>
        <v>0</v>
      </c>
      <c r="AG43" s="393"/>
      <c r="AH43" s="401"/>
      <c r="AI43" s="402" t="s">
        <v>2248</v>
      </c>
      <c r="AJ43" s="393"/>
      <c r="AK43" s="389"/>
      <c r="AL43" s="403"/>
      <c r="AM43" s="404"/>
      <c r="AN43" s="405" t="s">
        <v>54</v>
      </c>
      <c r="AO43" s="406"/>
      <c r="AP43" s="403"/>
      <c r="AQ43" s="407" t="str">
        <f t="shared" si="3"/>
        <v/>
      </c>
      <c r="AR43" s="407" t="str">
        <f>IFERROR(VLOOKUP($AQ43,[6]TruckCenterReference!$C$23:$I69,3,FALSE), "")</f>
        <v/>
      </c>
      <c r="AS43" s="408" t="str">
        <f t="shared" si="4"/>
        <v/>
      </c>
      <c r="AT43" s="409"/>
      <c r="AU43" s="410" t="str">
        <f>IFERROR(VLOOKUP($AQ43,[6]TruckCenterReference!$C$23:$I69,4,FALSE), "")</f>
        <v/>
      </c>
      <c r="AV43" s="408" t="str">
        <f t="shared" si="5"/>
        <v/>
      </c>
      <c r="AX43" s="407" t="str">
        <f t="shared" si="6"/>
        <v/>
      </c>
      <c r="AY43" s="411" t="str">
        <f>IFERROR(VLOOKUP($AQ43,[6]TruckCenterReference!$C$23:$I69,6,FALSE), "")</f>
        <v/>
      </c>
      <c r="AZ43" s="408" t="str">
        <f t="shared" si="7"/>
        <v/>
      </c>
      <c r="BA43" s="409"/>
      <c r="BB43" s="410">
        <f>IFERROR(VLOOKUP($AQ43,[6]TruckCenterReference!$C$23:$I69,7,FALSE), 0)</f>
        <v>0</v>
      </c>
      <c r="BC43" s="410">
        <f>IFERROR(VLOOKUP($AQ43,[6]TruckCenterReference!$C$23:$K69,9,FALSE), 0)</f>
        <v>0</v>
      </c>
      <c r="BD43" s="410">
        <f>IFERROR(VLOOKUP($AQ43,[6]TruckCenterReference!$C$23:$K69,8,FALSE), 0)</f>
        <v>0</v>
      </c>
      <c r="BE43" s="412" t="str">
        <f t="shared" si="8"/>
        <v/>
      </c>
      <c r="BF43" s="408" t="str">
        <f t="shared" si="9"/>
        <v/>
      </c>
    </row>
    <row r="44" spans="1:58">
      <c r="A44" s="381" t="b">
        <f t="shared" si="0"/>
        <v>0</v>
      </c>
      <c r="B44" s="381" t="str">
        <f t="shared" si="1"/>
        <v/>
      </c>
      <c r="C44" s="385" t="s">
        <v>2248</v>
      </c>
      <c r="D44" s="386">
        <v>1</v>
      </c>
      <c r="E44" s="387"/>
      <c r="F44" s="388"/>
      <c r="G44" s="389"/>
      <c r="H44" s="390" t="s">
        <v>2248</v>
      </c>
      <c r="I44" s="390" t="s">
        <v>2248</v>
      </c>
      <c r="J44" s="390" t="s">
        <v>2248</v>
      </c>
      <c r="K44" s="391"/>
      <c r="L44" s="392" t="s">
        <v>2248</v>
      </c>
      <c r="M44" s="392" t="s">
        <v>2248</v>
      </c>
      <c r="N44" s="393"/>
      <c r="O44" s="394" t="s">
        <v>2248</v>
      </c>
      <c r="P44" s="394" t="s">
        <v>2248</v>
      </c>
      <c r="Q44" s="395"/>
      <c r="R44" s="396">
        <v>0</v>
      </c>
      <c r="S44" s="397">
        <v>0</v>
      </c>
      <c r="T44" s="397">
        <v>0</v>
      </c>
      <c r="U44" s="397">
        <v>0</v>
      </c>
      <c r="V44" s="397">
        <v>0</v>
      </c>
      <c r="W44" s="397">
        <v>0</v>
      </c>
      <c r="X44" s="397">
        <v>0</v>
      </c>
      <c r="Y44" s="397">
        <v>0</v>
      </c>
      <c r="Z44" s="397">
        <v>0</v>
      </c>
      <c r="AA44" s="397">
        <v>0</v>
      </c>
      <c r="AB44" s="397">
        <v>0</v>
      </c>
      <c r="AC44" s="398">
        <v>0</v>
      </c>
      <c r="AD44" s="399"/>
      <c r="AE44" s="400">
        <f t="shared" si="2"/>
        <v>0</v>
      </c>
      <c r="AG44" s="393"/>
      <c r="AH44" s="401"/>
      <c r="AI44" s="402" t="s">
        <v>2248</v>
      </c>
      <c r="AJ44" s="393"/>
      <c r="AK44" s="389"/>
      <c r="AL44" s="403"/>
      <c r="AM44" s="404"/>
      <c r="AN44" s="405" t="s">
        <v>54</v>
      </c>
      <c r="AO44" s="406"/>
      <c r="AP44" s="403"/>
      <c r="AQ44" s="407" t="str">
        <f t="shared" si="3"/>
        <v/>
      </c>
      <c r="AR44" s="407" t="str">
        <f>IFERROR(VLOOKUP($AQ44,[6]TruckCenterReference!$C$23:$I70,3,FALSE), "")</f>
        <v/>
      </c>
      <c r="AS44" s="408" t="str">
        <f t="shared" si="4"/>
        <v/>
      </c>
      <c r="AT44" s="409"/>
      <c r="AU44" s="410" t="str">
        <f>IFERROR(VLOOKUP($AQ44,[6]TruckCenterReference!$C$23:$I70,4,FALSE), "")</f>
        <v/>
      </c>
      <c r="AV44" s="408" t="str">
        <f t="shared" si="5"/>
        <v/>
      </c>
      <c r="AX44" s="407" t="str">
        <f t="shared" si="6"/>
        <v/>
      </c>
      <c r="AY44" s="411" t="str">
        <f>IFERROR(VLOOKUP($AQ44,[6]TruckCenterReference!$C$23:$I70,6,FALSE), "")</f>
        <v/>
      </c>
      <c r="AZ44" s="408" t="str">
        <f t="shared" si="7"/>
        <v/>
      </c>
      <c r="BA44" s="409"/>
      <c r="BB44" s="410">
        <f>IFERROR(VLOOKUP($AQ44,[6]TruckCenterReference!$C$23:$I70,7,FALSE), 0)</f>
        <v>0</v>
      </c>
      <c r="BC44" s="410">
        <f>IFERROR(VLOOKUP($AQ44,[6]TruckCenterReference!$C$23:$K70,9,FALSE), 0)</f>
        <v>0</v>
      </c>
      <c r="BD44" s="410">
        <f>IFERROR(VLOOKUP($AQ44,[6]TruckCenterReference!$C$23:$K70,8,FALSE), 0)</f>
        <v>0</v>
      </c>
      <c r="BE44" s="412" t="str">
        <f t="shared" si="8"/>
        <v/>
      </c>
      <c r="BF44" s="408" t="str">
        <f t="shared" si="9"/>
        <v/>
      </c>
    </row>
    <row r="45" spans="1:58">
      <c r="A45" s="381" t="b">
        <f t="shared" si="0"/>
        <v>0</v>
      </c>
      <c r="B45" s="381" t="str">
        <f t="shared" si="1"/>
        <v/>
      </c>
      <c r="C45" s="385" t="s">
        <v>2248</v>
      </c>
      <c r="D45" s="386">
        <v>1</v>
      </c>
      <c r="E45" s="387"/>
      <c r="F45" s="388"/>
      <c r="G45" s="389"/>
      <c r="H45" s="390" t="s">
        <v>2248</v>
      </c>
      <c r="I45" s="390" t="s">
        <v>2248</v>
      </c>
      <c r="J45" s="390" t="s">
        <v>2248</v>
      </c>
      <c r="K45" s="391"/>
      <c r="L45" s="392" t="s">
        <v>2248</v>
      </c>
      <c r="M45" s="392" t="s">
        <v>2248</v>
      </c>
      <c r="N45" s="393"/>
      <c r="O45" s="394" t="s">
        <v>2248</v>
      </c>
      <c r="P45" s="394" t="s">
        <v>2248</v>
      </c>
      <c r="Q45" s="395"/>
      <c r="R45" s="396">
        <v>0</v>
      </c>
      <c r="S45" s="397">
        <v>0</v>
      </c>
      <c r="T45" s="397">
        <v>0</v>
      </c>
      <c r="U45" s="397">
        <v>0</v>
      </c>
      <c r="V45" s="397">
        <v>0</v>
      </c>
      <c r="W45" s="397">
        <v>0</v>
      </c>
      <c r="X45" s="397">
        <v>0</v>
      </c>
      <c r="Y45" s="397">
        <v>0</v>
      </c>
      <c r="Z45" s="397">
        <v>0</v>
      </c>
      <c r="AA45" s="397">
        <v>0</v>
      </c>
      <c r="AB45" s="397">
        <v>0</v>
      </c>
      <c r="AC45" s="398">
        <v>0</v>
      </c>
      <c r="AD45" s="399"/>
      <c r="AE45" s="400">
        <f t="shared" si="2"/>
        <v>0</v>
      </c>
      <c r="AG45" s="393"/>
      <c r="AH45" s="401"/>
      <c r="AI45" s="402" t="s">
        <v>2248</v>
      </c>
      <c r="AJ45" s="393"/>
      <c r="AK45" s="389"/>
      <c r="AL45" s="403"/>
      <c r="AM45" s="404"/>
      <c r="AN45" s="405" t="s">
        <v>54</v>
      </c>
      <c r="AO45" s="406"/>
      <c r="AP45" s="403"/>
      <c r="AQ45" s="407" t="str">
        <f t="shared" si="3"/>
        <v/>
      </c>
      <c r="AR45" s="407" t="str">
        <f>IFERROR(VLOOKUP($AQ45,[6]TruckCenterReference!$C$23:$I71,3,FALSE), "")</f>
        <v/>
      </c>
      <c r="AS45" s="408" t="str">
        <f t="shared" si="4"/>
        <v/>
      </c>
      <c r="AT45" s="409"/>
      <c r="AU45" s="410" t="str">
        <f>IFERROR(VLOOKUP($AQ45,[6]TruckCenterReference!$C$23:$I71,4,FALSE), "")</f>
        <v/>
      </c>
      <c r="AV45" s="408" t="str">
        <f t="shared" si="5"/>
        <v/>
      </c>
      <c r="AX45" s="407" t="str">
        <f t="shared" si="6"/>
        <v/>
      </c>
      <c r="AY45" s="411" t="str">
        <f>IFERROR(VLOOKUP($AQ45,[6]TruckCenterReference!$C$23:$I71,6,FALSE), "")</f>
        <v/>
      </c>
      <c r="AZ45" s="408" t="str">
        <f t="shared" si="7"/>
        <v/>
      </c>
      <c r="BA45" s="409"/>
      <c r="BB45" s="410">
        <f>IFERROR(VLOOKUP($AQ45,[6]TruckCenterReference!$C$23:$I71,7,FALSE), 0)</f>
        <v>0</v>
      </c>
      <c r="BC45" s="410">
        <f>IFERROR(VLOOKUP($AQ45,[6]TruckCenterReference!$C$23:$K71,9,FALSE), 0)</f>
        <v>0</v>
      </c>
      <c r="BD45" s="410">
        <f>IFERROR(VLOOKUP($AQ45,[6]TruckCenterReference!$C$23:$K71,8,FALSE), 0)</f>
        <v>0</v>
      </c>
      <c r="BE45" s="412" t="str">
        <f t="shared" si="8"/>
        <v/>
      </c>
      <c r="BF45" s="408" t="str">
        <f t="shared" si="9"/>
        <v/>
      </c>
    </row>
    <row r="46" spans="1:58">
      <c r="A46" s="381" t="b">
        <f t="shared" si="0"/>
        <v>0</v>
      </c>
      <c r="B46" s="381" t="str">
        <f t="shared" si="1"/>
        <v/>
      </c>
      <c r="C46" s="385" t="s">
        <v>2248</v>
      </c>
      <c r="D46" s="386">
        <v>1</v>
      </c>
      <c r="E46" s="387"/>
      <c r="F46" s="388"/>
      <c r="G46" s="389"/>
      <c r="H46" s="390" t="s">
        <v>2248</v>
      </c>
      <c r="I46" s="390" t="s">
        <v>2248</v>
      </c>
      <c r="J46" s="390" t="s">
        <v>2248</v>
      </c>
      <c r="K46" s="391"/>
      <c r="L46" s="392" t="s">
        <v>2248</v>
      </c>
      <c r="M46" s="392" t="s">
        <v>2248</v>
      </c>
      <c r="N46" s="393"/>
      <c r="O46" s="394" t="s">
        <v>2248</v>
      </c>
      <c r="P46" s="394" t="s">
        <v>2248</v>
      </c>
      <c r="Q46" s="395"/>
      <c r="R46" s="396">
        <v>0</v>
      </c>
      <c r="S46" s="397">
        <v>0</v>
      </c>
      <c r="T46" s="397">
        <v>0</v>
      </c>
      <c r="U46" s="397">
        <v>0</v>
      </c>
      <c r="V46" s="397">
        <v>0</v>
      </c>
      <c r="W46" s="397">
        <v>0</v>
      </c>
      <c r="X46" s="397">
        <v>0</v>
      </c>
      <c r="Y46" s="397">
        <v>0</v>
      </c>
      <c r="Z46" s="397">
        <v>0</v>
      </c>
      <c r="AA46" s="397">
        <v>0</v>
      </c>
      <c r="AB46" s="397">
        <v>0</v>
      </c>
      <c r="AC46" s="398">
        <v>0</v>
      </c>
      <c r="AD46" s="399"/>
      <c r="AE46" s="400">
        <f t="shared" si="2"/>
        <v>0</v>
      </c>
      <c r="AG46" s="393"/>
      <c r="AH46" s="401"/>
      <c r="AI46" s="402" t="s">
        <v>2248</v>
      </c>
      <c r="AJ46" s="393"/>
      <c r="AK46" s="389"/>
      <c r="AL46" s="403"/>
      <c r="AM46" s="404"/>
      <c r="AN46" s="405" t="s">
        <v>54</v>
      </c>
      <c r="AO46" s="406"/>
      <c r="AP46" s="403"/>
      <c r="AQ46" s="407" t="str">
        <f t="shared" si="3"/>
        <v/>
      </c>
      <c r="AR46" s="407" t="str">
        <f>IFERROR(VLOOKUP($AQ46,[6]TruckCenterReference!$C$23:$I72,3,FALSE), "")</f>
        <v/>
      </c>
      <c r="AS46" s="408" t="str">
        <f t="shared" si="4"/>
        <v/>
      </c>
      <c r="AT46" s="409"/>
      <c r="AU46" s="410" t="str">
        <f>IFERROR(VLOOKUP($AQ46,[6]TruckCenterReference!$C$23:$I72,4,FALSE), "")</f>
        <v/>
      </c>
      <c r="AV46" s="408" t="str">
        <f t="shared" si="5"/>
        <v/>
      </c>
      <c r="AX46" s="407" t="str">
        <f t="shared" si="6"/>
        <v/>
      </c>
      <c r="AY46" s="411" t="str">
        <f>IFERROR(VLOOKUP($AQ46,[6]TruckCenterReference!$C$23:$I72,6,FALSE), "")</f>
        <v/>
      </c>
      <c r="AZ46" s="408" t="str">
        <f t="shared" si="7"/>
        <v/>
      </c>
      <c r="BA46" s="409"/>
      <c r="BB46" s="410">
        <f>IFERROR(VLOOKUP($AQ46,[6]TruckCenterReference!$C$23:$I72,7,FALSE), 0)</f>
        <v>0</v>
      </c>
      <c r="BC46" s="410">
        <f>IFERROR(VLOOKUP($AQ46,[6]TruckCenterReference!$C$23:$K72,9,FALSE), 0)</f>
        <v>0</v>
      </c>
      <c r="BD46" s="410">
        <f>IFERROR(VLOOKUP($AQ46,[6]TruckCenterReference!$C$23:$K72,8,FALSE), 0)</f>
        <v>0</v>
      </c>
      <c r="BE46" s="412" t="str">
        <f t="shared" si="8"/>
        <v/>
      </c>
      <c r="BF46" s="408" t="str">
        <f t="shared" si="9"/>
        <v/>
      </c>
    </row>
    <row r="47" spans="1:58">
      <c r="A47" s="381" t="b">
        <f t="shared" si="0"/>
        <v>0</v>
      </c>
      <c r="B47" s="381" t="str">
        <f t="shared" si="1"/>
        <v/>
      </c>
      <c r="C47" s="385" t="s">
        <v>2248</v>
      </c>
      <c r="D47" s="386">
        <v>1</v>
      </c>
      <c r="E47" s="387"/>
      <c r="F47" s="388"/>
      <c r="G47" s="389"/>
      <c r="H47" s="390" t="s">
        <v>2248</v>
      </c>
      <c r="I47" s="390" t="s">
        <v>2248</v>
      </c>
      <c r="J47" s="390" t="s">
        <v>2248</v>
      </c>
      <c r="K47" s="391"/>
      <c r="L47" s="392" t="s">
        <v>2248</v>
      </c>
      <c r="M47" s="392" t="s">
        <v>2248</v>
      </c>
      <c r="N47" s="393"/>
      <c r="O47" s="394" t="s">
        <v>2248</v>
      </c>
      <c r="P47" s="394" t="s">
        <v>2248</v>
      </c>
      <c r="Q47" s="395"/>
      <c r="R47" s="396">
        <v>0</v>
      </c>
      <c r="S47" s="397">
        <v>0</v>
      </c>
      <c r="T47" s="397">
        <v>0</v>
      </c>
      <c r="U47" s="397">
        <v>0</v>
      </c>
      <c r="V47" s="397">
        <v>0</v>
      </c>
      <c r="W47" s="397">
        <v>0</v>
      </c>
      <c r="X47" s="397">
        <v>0</v>
      </c>
      <c r="Y47" s="397">
        <v>0</v>
      </c>
      <c r="Z47" s="397">
        <v>0</v>
      </c>
      <c r="AA47" s="397">
        <v>0</v>
      </c>
      <c r="AB47" s="397">
        <v>0</v>
      </c>
      <c r="AC47" s="398">
        <v>0</v>
      </c>
      <c r="AD47" s="399"/>
      <c r="AE47" s="400">
        <f t="shared" si="2"/>
        <v>0</v>
      </c>
      <c r="AG47" s="393"/>
      <c r="AH47" s="401"/>
      <c r="AI47" s="402" t="s">
        <v>2248</v>
      </c>
      <c r="AJ47" s="393"/>
      <c r="AK47" s="389"/>
      <c r="AL47" s="403"/>
      <c r="AM47" s="404"/>
      <c r="AN47" s="405" t="s">
        <v>54</v>
      </c>
      <c r="AO47" s="406"/>
      <c r="AP47" s="403"/>
      <c r="AQ47" s="407" t="str">
        <f t="shared" si="3"/>
        <v/>
      </c>
      <c r="AR47" s="407" t="str">
        <f>IFERROR(VLOOKUP($AQ47,[6]TruckCenterReference!$C$23:$I73,3,FALSE), "")</f>
        <v/>
      </c>
      <c r="AS47" s="408" t="str">
        <f t="shared" si="4"/>
        <v/>
      </c>
      <c r="AT47" s="409"/>
      <c r="AU47" s="410" t="str">
        <f>IFERROR(VLOOKUP($AQ47,[6]TruckCenterReference!$C$23:$I73,4,FALSE), "")</f>
        <v/>
      </c>
      <c r="AV47" s="408" t="str">
        <f t="shared" si="5"/>
        <v/>
      </c>
      <c r="AX47" s="407" t="str">
        <f t="shared" si="6"/>
        <v/>
      </c>
      <c r="AY47" s="411" t="str">
        <f>IFERROR(VLOOKUP($AQ47,[6]TruckCenterReference!$C$23:$I73,6,FALSE), "")</f>
        <v/>
      </c>
      <c r="AZ47" s="408" t="str">
        <f t="shared" si="7"/>
        <v/>
      </c>
      <c r="BA47" s="409"/>
      <c r="BB47" s="410">
        <f>IFERROR(VLOOKUP($AQ47,[6]TruckCenterReference!$C$23:$I73,7,FALSE), 0)</f>
        <v>0</v>
      </c>
      <c r="BC47" s="410">
        <f>IFERROR(VLOOKUP($AQ47,[6]TruckCenterReference!$C$23:$K73,9,FALSE), 0)</f>
        <v>0</v>
      </c>
      <c r="BD47" s="410">
        <f>IFERROR(VLOOKUP($AQ47,[6]TruckCenterReference!$C$23:$K73,8,FALSE), 0)</f>
        <v>0</v>
      </c>
      <c r="BE47" s="412" t="str">
        <f t="shared" si="8"/>
        <v/>
      </c>
      <c r="BF47" s="408" t="str">
        <f t="shared" si="9"/>
        <v/>
      </c>
    </row>
    <row r="48" spans="1:58">
      <c r="A48" s="381" t="b">
        <f t="shared" si="0"/>
        <v>0</v>
      </c>
      <c r="B48" s="381" t="str">
        <f t="shared" si="1"/>
        <v/>
      </c>
      <c r="C48" s="385" t="s">
        <v>2248</v>
      </c>
      <c r="D48" s="386">
        <v>1</v>
      </c>
      <c r="E48" s="387"/>
      <c r="F48" s="388"/>
      <c r="G48" s="389"/>
      <c r="H48" s="390" t="s">
        <v>2248</v>
      </c>
      <c r="I48" s="390" t="s">
        <v>2248</v>
      </c>
      <c r="J48" s="390" t="s">
        <v>2248</v>
      </c>
      <c r="K48" s="391"/>
      <c r="L48" s="392" t="s">
        <v>2248</v>
      </c>
      <c r="M48" s="392" t="s">
        <v>2248</v>
      </c>
      <c r="N48" s="393"/>
      <c r="O48" s="394" t="s">
        <v>2248</v>
      </c>
      <c r="P48" s="394" t="s">
        <v>2248</v>
      </c>
      <c r="Q48" s="395"/>
      <c r="R48" s="396">
        <v>0</v>
      </c>
      <c r="S48" s="397">
        <v>0</v>
      </c>
      <c r="T48" s="397">
        <v>0</v>
      </c>
      <c r="U48" s="397">
        <v>0</v>
      </c>
      <c r="V48" s="397">
        <v>0</v>
      </c>
      <c r="W48" s="397">
        <v>0</v>
      </c>
      <c r="X48" s="397">
        <v>0</v>
      </c>
      <c r="Y48" s="397">
        <v>0</v>
      </c>
      <c r="Z48" s="397">
        <v>0</v>
      </c>
      <c r="AA48" s="397">
        <v>0</v>
      </c>
      <c r="AB48" s="397">
        <v>0</v>
      </c>
      <c r="AC48" s="398">
        <v>0</v>
      </c>
      <c r="AD48" s="399"/>
      <c r="AE48" s="400">
        <f t="shared" si="2"/>
        <v>0</v>
      </c>
      <c r="AG48" s="393"/>
      <c r="AH48" s="401"/>
      <c r="AI48" s="402" t="s">
        <v>2248</v>
      </c>
      <c r="AJ48" s="393"/>
      <c r="AK48" s="389"/>
      <c r="AL48" s="403"/>
      <c r="AM48" s="404"/>
      <c r="AN48" s="405" t="s">
        <v>54</v>
      </c>
      <c r="AO48" s="406"/>
      <c r="AP48" s="403"/>
      <c r="AQ48" s="407" t="str">
        <f t="shared" si="3"/>
        <v/>
      </c>
      <c r="AR48" s="407" t="str">
        <f>IFERROR(VLOOKUP($AQ48,[6]TruckCenterReference!$C$23:$I74,3,FALSE), "")</f>
        <v/>
      </c>
      <c r="AS48" s="408" t="str">
        <f t="shared" si="4"/>
        <v/>
      </c>
      <c r="AT48" s="409"/>
      <c r="AU48" s="410" t="str">
        <f>IFERROR(VLOOKUP($AQ48,[6]TruckCenterReference!$C$23:$I74,4,FALSE), "")</f>
        <v/>
      </c>
      <c r="AV48" s="408" t="str">
        <f t="shared" si="5"/>
        <v/>
      </c>
      <c r="AX48" s="407" t="str">
        <f t="shared" si="6"/>
        <v/>
      </c>
      <c r="AY48" s="411" t="str">
        <f>IFERROR(VLOOKUP($AQ48,[6]TruckCenterReference!$C$23:$I74,6,FALSE), "")</f>
        <v/>
      </c>
      <c r="AZ48" s="408" t="str">
        <f t="shared" si="7"/>
        <v/>
      </c>
      <c r="BA48" s="409"/>
      <c r="BB48" s="410">
        <f>IFERROR(VLOOKUP($AQ48,[6]TruckCenterReference!$C$23:$I74,7,FALSE), 0)</f>
        <v>0</v>
      </c>
      <c r="BC48" s="410">
        <f>IFERROR(VLOOKUP($AQ48,[6]TruckCenterReference!$C$23:$K74,9,FALSE), 0)</f>
        <v>0</v>
      </c>
      <c r="BD48" s="410">
        <f>IFERROR(VLOOKUP($AQ48,[6]TruckCenterReference!$C$23:$K74,8,FALSE), 0)</f>
        <v>0</v>
      </c>
      <c r="BE48" s="412" t="str">
        <f t="shared" si="8"/>
        <v/>
      </c>
      <c r="BF48" s="408" t="str">
        <f t="shared" si="9"/>
        <v/>
      </c>
    </row>
    <row r="49" spans="1:58">
      <c r="A49" s="381" t="b">
        <f t="shared" si="0"/>
        <v>0</v>
      </c>
      <c r="B49" s="381" t="str">
        <f t="shared" si="1"/>
        <v/>
      </c>
      <c r="C49" s="385" t="s">
        <v>2248</v>
      </c>
      <c r="D49" s="386">
        <v>1</v>
      </c>
      <c r="E49" s="387"/>
      <c r="F49" s="388"/>
      <c r="G49" s="389"/>
      <c r="H49" s="390" t="s">
        <v>2248</v>
      </c>
      <c r="I49" s="390" t="s">
        <v>2248</v>
      </c>
      <c r="J49" s="390" t="s">
        <v>2248</v>
      </c>
      <c r="K49" s="391"/>
      <c r="L49" s="392" t="s">
        <v>2248</v>
      </c>
      <c r="M49" s="392" t="s">
        <v>2248</v>
      </c>
      <c r="N49" s="393"/>
      <c r="O49" s="394" t="s">
        <v>2248</v>
      </c>
      <c r="P49" s="394" t="s">
        <v>2248</v>
      </c>
      <c r="Q49" s="395"/>
      <c r="R49" s="396">
        <v>0</v>
      </c>
      <c r="S49" s="397">
        <v>0</v>
      </c>
      <c r="T49" s="397">
        <v>0</v>
      </c>
      <c r="U49" s="397">
        <v>0</v>
      </c>
      <c r="V49" s="397">
        <v>0</v>
      </c>
      <c r="W49" s="397">
        <v>0</v>
      </c>
      <c r="X49" s="397">
        <v>0</v>
      </c>
      <c r="Y49" s="397">
        <v>0</v>
      </c>
      <c r="Z49" s="397">
        <v>0</v>
      </c>
      <c r="AA49" s="397">
        <v>0</v>
      </c>
      <c r="AB49" s="397">
        <v>0</v>
      </c>
      <c r="AC49" s="398">
        <v>0</v>
      </c>
      <c r="AD49" s="399"/>
      <c r="AE49" s="400">
        <f t="shared" si="2"/>
        <v>0</v>
      </c>
      <c r="AG49" s="393"/>
      <c r="AH49" s="401"/>
      <c r="AI49" s="402" t="s">
        <v>2248</v>
      </c>
      <c r="AJ49" s="393"/>
      <c r="AK49" s="389"/>
      <c r="AL49" s="403"/>
      <c r="AM49" s="404"/>
      <c r="AN49" s="405" t="s">
        <v>54</v>
      </c>
      <c r="AO49" s="406"/>
      <c r="AP49" s="403"/>
      <c r="AQ49" s="407" t="str">
        <f t="shared" si="3"/>
        <v/>
      </c>
      <c r="AR49" s="407" t="str">
        <f>IFERROR(VLOOKUP($AQ49,[6]TruckCenterReference!$C$23:$I75,3,FALSE), "")</f>
        <v/>
      </c>
      <c r="AS49" s="408" t="str">
        <f t="shared" si="4"/>
        <v/>
      </c>
      <c r="AT49" s="409"/>
      <c r="AU49" s="410" t="str">
        <f>IFERROR(VLOOKUP($AQ49,[6]TruckCenterReference!$C$23:$I75,4,FALSE), "")</f>
        <v/>
      </c>
      <c r="AV49" s="408" t="str">
        <f t="shared" si="5"/>
        <v/>
      </c>
      <c r="AX49" s="407" t="str">
        <f t="shared" si="6"/>
        <v/>
      </c>
      <c r="AY49" s="411" t="str">
        <f>IFERROR(VLOOKUP($AQ49,[6]TruckCenterReference!$C$23:$I75,6,FALSE), "")</f>
        <v/>
      </c>
      <c r="AZ49" s="408" t="str">
        <f t="shared" si="7"/>
        <v/>
      </c>
      <c r="BA49" s="409"/>
      <c r="BB49" s="410">
        <f>IFERROR(VLOOKUP($AQ49,[6]TruckCenterReference!$C$23:$I75,7,FALSE), 0)</f>
        <v>0</v>
      </c>
      <c r="BC49" s="410">
        <f>IFERROR(VLOOKUP($AQ49,[6]TruckCenterReference!$C$23:$K75,9,FALSE), 0)</f>
        <v>0</v>
      </c>
      <c r="BD49" s="410">
        <f>IFERROR(VLOOKUP($AQ49,[6]TruckCenterReference!$C$23:$K75,8,FALSE), 0)</f>
        <v>0</v>
      </c>
      <c r="BE49" s="412" t="str">
        <f t="shared" si="8"/>
        <v/>
      </c>
      <c r="BF49" s="408" t="str">
        <f t="shared" si="9"/>
        <v/>
      </c>
    </row>
    <row r="50" spans="1:58">
      <c r="A50" s="381" t="b">
        <f t="shared" si="0"/>
        <v>0</v>
      </c>
      <c r="B50" s="381" t="str">
        <f t="shared" si="1"/>
        <v/>
      </c>
      <c r="C50" s="385" t="s">
        <v>2248</v>
      </c>
      <c r="D50" s="386">
        <v>1</v>
      </c>
      <c r="E50" s="387"/>
      <c r="F50" s="388"/>
      <c r="G50" s="389"/>
      <c r="H50" s="390" t="s">
        <v>2248</v>
      </c>
      <c r="I50" s="390" t="s">
        <v>2248</v>
      </c>
      <c r="J50" s="390" t="s">
        <v>2248</v>
      </c>
      <c r="K50" s="391"/>
      <c r="L50" s="392" t="s">
        <v>2248</v>
      </c>
      <c r="M50" s="392" t="s">
        <v>2248</v>
      </c>
      <c r="N50" s="393"/>
      <c r="O50" s="394" t="s">
        <v>2248</v>
      </c>
      <c r="P50" s="394" t="s">
        <v>2248</v>
      </c>
      <c r="Q50" s="395"/>
      <c r="R50" s="396">
        <v>0</v>
      </c>
      <c r="S50" s="397">
        <v>0</v>
      </c>
      <c r="T50" s="397">
        <v>0</v>
      </c>
      <c r="U50" s="397">
        <v>0</v>
      </c>
      <c r="V50" s="397">
        <v>0</v>
      </c>
      <c r="W50" s="397">
        <v>0</v>
      </c>
      <c r="X50" s="397">
        <v>0</v>
      </c>
      <c r="Y50" s="397">
        <v>0</v>
      </c>
      <c r="Z50" s="397">
        <v>0</v>
      </c>
      <c r="AA50" s="397">
        <v>0</v>
      </c>
      <c r="AB50" s="397">
        <v>0</v>
      </c>
      <c r="AC50" s="398">
        <v>0</v>
      </c>
      <c r="AD50" s="399"/>
      <c r="AE50" s="400">
        <f t="shared" si="2"/>
        <v>0</v>
      </c>
      <c r="AG50" s="393"/>
      <c r="AH50" s="401"/>
      <c r="AI50" s="402" t="s">
        <v>2248</v>
      </c>
      <c r="AJ50" s="393"/>
      <c r="AK50" s="389"/>
      <c r="AL50" s="403"/>
      <c r="AM50" s="404"/>
      <c r="AN50" s="405" t="s">
        <v>54</v>
      </c>
      <c r="AO50" s="406"/>
      <c r="AP50" s="403"/>
      <c r="AQ50" s="407" t="str">
        <f t="shared" si="3"/>
        <v/>
      </c>
      <c r="AR50" s="407" t="str">
        <f>IFERROR(VLOOKUP($AQ50,[6]TruckCenterReference!$C$23:$I76,3,FALSE), "")</f>
        <v/>
      </c>
      <c r="AS50" s="408" t="str">
        <f t="shared" si="4"/>
        <v/>
      </c>
      <c r="AT50" s="409"/>
      <c r="AU50" s="410" t="str">
        <f>IFERROR(VLOOKUP($AQ50,[6]TruckCenterReference!$C$23:$I76,4,FALSE), "")</f>
        <v/>
      </c>
      <c r="AV50" s="408" t="str">
        <f t="shared" si="5"/>
        <v/>
      </c>
      <c r="AX50" s="407" t="str">
        <f t="shared" si="6"/>
        <v/>
      </c>
      <c r="AY50" s="411" t="str">
        <f>IFERROR(VLOOKUP($AQ50,[6]TruckCenterReference!$C$23:$I76,6,FALSE), "")</f>
        <v/>
      </c>
      <c r="AZ50" s="408" t="str">
        <f t="shared" si="7"/>
        <v/>
      </c>
      <c r="BA50" s="409"/>
      <c r="BB50" s="410">
        <f>IFERROR(VLOOKUP($AQ50,[6]TruckCenterReference!$C$23:$I76,7,FALSE), 0)</f>
        <v>0</v>
      </c>
      <c r="BC50" s="410">
        <f>IFERROR(VLOOKUP($AQ50,[6]TruckCenterReference!$C$23:$K76,9,FALSE), 0)</f>
        <v>0</v>
      </c>
      <c r="BD50" s="410">
        <f>IFERROR(VLOOKUP($AQ50,[6]TruckCenterReference!$C$23:$K76,8,FALSE), 0)</f>
        <v>0</v>
      </c>
      <c r="BE50" s="412" t="str">
        <f t="shared" si="8"/>
        <v/>
      </c>
      <c r="BF50" s="408" t="str">
        <f t="shared" si="9"/>
        <v/>
      </c>
    </row>
    <row r="51" spans="1:58">
      <c r="A51" s="381" t="b">
        <f t="shared" si="0"/>
        <v>0</v>
      </c>
      <c r="B51" s="381" t="str">
        <f t="shared" si="1"/>
        <v/>
      </c>
      <c r="C51" s="385" t="s">
        <v>2248</v>
      </c>
      <c r="D51" s="386">
        <v>1</v>
      </c>
      <c r="E51" s="387"/>
      <c r="F51" s="388"/>
      <c r="G51" s="389"/>
      <c r="H51" s="390" t="s">
        <v>2248</v>
      </c>
      <c r="I51" s="390" t="s">
        <v>2248</v>
      </c>
      <c r="J51" s="390" t="s">
        <v>2248</v>
      </c>
      <c r="K51" s="391"/>
      <c r="L51" s="392" t="s">
        <v>2248</v>
      </c>
      <c r="M51" s="392" t="s">
        <v>2248</v>
      </c>
      <c r="N51" s="393"/>
      <c r="O51" s="394" t="s">
        <v>2248</v>
      </c>
      <c r="P51" s="394" t="s">
        <v>2248</v>
      </c>
      <c r="Q51" s="395"/>
      <c r="R51" s="396">
        <v>0</v>
      </c>
      <c r="S51" s="397">
        <v>0</v>
      </c>
      <c r="T51" s="397">
        <v>0</v>
      </c>
      <c r="U51" s="397">
        <v>0</v>
      </c>
      <c r="V51" s="397">
        <v>0</v>
      </c>
      <c r="W51" s="397">
        <v>0</v>
      </c>
      <c r="X51" s="397">
        <v>0</v>
      </c>
      <c r="Y51" s="397">
        <v>0</v>
      </c>
      <c r="Z51" s="397">
        <v>0</v>
      </c>
      <c r="AA51" s="397">
        <v>0</v>
      </c>
      <c r="AB51" s="397">
        <v>0</v>
      </c>
      <c r="AC51" s="398">
        <v>0</v>
      </c>
      <c r="AD51" s="399"/>
      <c r="AE51" s="400">
        <f t="shared" si="2"/>
        <v>0</v>
      </c>
      <c r="AG51" s="393"/>
      <c r="AH51" s="401"/>
      <c r="AI51" s="402" t="s">
        <v>2248</v>
      </c>
      <c r="AJ51" s="393"/>
      <c r="AK51" s="389"/>
      <c r="AL51" s="403"/>
      <c r="AM51" s="404"/>
      <c r="AN51" s="405" t="s">
        <v>54</v>
      </c>
      <c r="AO51" s="406"/>
      <c r="AP51" s="403"/>
      <c r="AQ51" s="407" t="str">
        <f t="shared" si="3"/>
        <v/>
      </c>
      <c r="AR51" s="407" t="str">
        <f>IFERROR(VLOOKUP($AQ51,[6]TruckCenterReference!$C$23:$I77,3,FALSE), "")</f>
        <v/>
      </c>
      <c r="AS51" s="408" t="str">
        <f t="shared" si="4"/>
        <v/>
      </c>
      <c r="AT51" s="409"/>
      <c r="AU51" s="410" t="str">
        <f>IFERROR(VLOOKUP($AQ51,[6]TruckCenterReference!$C$23:$I77,4,FALSE), "")</f>
        <v/>
      </c>
      <c r="AV51" s="408" t="str">
        <f t="shared" si="5"/>
        <v/>
      </c>
      <c r="AX51" s="407" t="str">
        <f t="shared" si="6"/>
        <v/>
      </c>
      <c r="AY51" s="411" t="str">
        <f>IFERROR(VLOOKUP($AQ51,[6]TruckCenterReference!$C$23:$I77,6,FALSE), "")</f>
        <v/>
      </c>
      <c r="AZ51" s="408" t="str">
        <f t="shared" si="7"/>
        <v/>
      </c>
      <c r="BA51" s="409"/>
      <c r="BB51" s="410">
        <f>IFERROR(VLOOKUP($AQ51,[6]TruckCenterReference!$C$23:$I77,7,FALSE), 0)</f>
        <v>0</v>
      </c>
      <c r="BC51" s="410">
        <f>IFERROR(VLOOKUP($AQ51,[6]TruckCenterReference!$C$23:$K77,9,FALSE), 0)</f>
        <v>0</v>
      </c>
      <c r="BD51" s="410">
        <f>IFERROR(VLOOKUP($AQ51,[6]TruckCenterReference!$C$23:$K77,8,FALSE), 0)</f>
        <v>0</v>
      </c>
      <c r="BE51" s="412" t="str">
        <f t="shared" si="8"/>
        <v/>
      </c>
      <c r="BF51" s="408" t="str">
        <f t="shared" si="9"/>
        <v/>
      </c>
    </row>
    <row r="52" spans="1:58">
      <c r="A52" s="381" t="b">
        <f t="shared" si="0"/>
        <v>0</v>
      </c>
      <c r="B52" s="381" t="str">
        <f t="shared" si="1"/>
        <v/>
      </c>
      <c r="C52" s="385" t="s">
        <v>2248</v>
      </c>
      <c r="D52" s="386">
        <v>1</v>
      </c>
      <c r="E52" s="387"/>
      <c r="F52" s="388"/>
      <c r="G52" s="389"/>
      <c r="H52" s="390" t="s">
        <v>2248</v>
      </c>
      <c r="I52" s="390" t="s">
        <v>2248</v>
      </c>
      <c r="J52" s="390" t="s">
        <v>2248</v>
      </c>
      <c r="K52" s="391"/>
      <c r="L52" s="392" t="s">
        <v>2248</v>
      </c>
      <c r="M52" s="392" t="s">
        <v>2248</v>
      </c>
      <c r="N52" s="393"/>
      <c r="O52" s="394" t="s">
        <v>2248</v>
      </c>
      <c r="P52" s="394" t="s">
        <v>2248</v>
      </c>
      <c r="Q52" s="395"/>
      <c r="R52" s="396">
        <v>0</v>
      </c>
      <c r="S52" s="397">
        <v>0</v>
      </c>
      <c r="T52" s="397">
        <v>0</v>
      </c>
      <c r="U52" s="397">
        <v>0</v>
      </c>
      <c r="V52" s="397">
        <v>0</v>
      </c>
      <c r="W52" s="397">
        <v>0</v>
      </c>
      <c r="X52" s="397">
        <v>0</v>
      </c>
      <c r="Y52" s="397">
        <v>0</v>
      </c>
      <c r="Z52" s="397">
        <v>0</v>
      </c>
      <c r="AA52" s="397">
        <v>0</v>
      </c>
      <c r="AB52" s="397">
        <v>0</v>
      </c>
      <c r="AC52" s="398">
        <v>0</v>
      </c>
      <c r="AD52" s="399"/>
      <c r="AE52" s="400">
        <f t="shared" si="2"/>
        <v>0</v>
      </c>
      <c r="AG52" s="393"/>
      <c r="AH52" s="401"/>
      <c r="AI52" s="402" t="s">
        <v>2248</v>
      </c>
      <c r="AJ52" s="393"/>
      <c r="AK52" s="389"/>
      <c r="AL52" s="403"/>
      <c r="AM52" s="404"/>
      <c r="AN52" s="405" t="s">
        <v>54</v>
      </c>
      <c r="AO52" s="406"/>
      <c r="AP52" s="403"/>
      <c r="AQ52" s="407" t="str">
        <f t="shared" si="3"/>
        <v/>
      </c>
      <c r="AR52" s="407" t="str">
        <f>IFERROR(VLOOKUP($AQ52,[6]TruckCenterReference!$C$23:$I78,3,FALSE), "")</f>
        <v/>
      </c>
      <c r="AS52" s="408" t="str">
        <f t="shared" si="4"/>
        <v/>
      </c>
      <c r="AT52" s="409"/>
      <c r="AU52" s="410" t="str">
        <f>IFERROR(VLOOKUP($AQ52,[6]TruckCenterReference!$C$23:$I78,4,FALSE), "")</f>
        <v/>
      </c>
      <c r="AV52" s="408" t="str">
        <f t="shared" si="5"/>
        <v/>
      </c>
      <c r="AX52" s="407" t="str">
        <f t="shared" si="6"/>
        <v/>
      </c>
      <c r="AY52" s="411" t="str">
        <f>IFERROR(VLOOKUP($AQ52,[6]TruckCenterReference!$C$23:$I78,6,FALSE), "")</f>
        <v/>
      </c>
      <c r="AZ52" s="408" t="str">
        <f t="shared" si="7"/>
        <v/>
      </c>
      <c r="BA52" s="409"/>
      <c r="BB52" s="410">
        <f>IFERROR(VLOOKUP($AQ52,[6]TruckCenterReference!$C$23:$I78,7,FALSE), 0)</f>
        <v>0</v>
      </c>
      <c r="BC52" s="410">
        <f>IFERROR(VLOOKUP($AQ52,[6]TruckCenterReference!$C$23:$K78,9,FALSE), 0)</f>
        <v>0</v>
      </c>
      <c r="BD52" s="410">
        <f>IFERROR(VLOOKUP($AQ52,[6]TruckCenterReference!$C$23:$K78,8,FALSE), 0)</f>
        <v>0</v>
      </c>
      <c r="BE52" s="412" t="str">
        <f t="shared" si="8"/>
        <v/>
      </c>
      <c r="BF52" s="408" t="str">
        <f t="shared" si="9"/>
        <v/>
      </c>
    </row>
    <row r="53" spans="1:58">
      <c r="E53" s="467" t="s">
        <v>2249</v>
      </c>
      <c r="F53" s="468"/>
      <c r="G53" s="469"/>
      <c r="H53" s="423"/>
      <c r="I53" s="423"/>
      <c r="J53" s="423"/>
      <c r="K53" s="423"/>
      <c r="L53" s="423"/>
      <c r="M53" s="423"/>
      <c r="N53" s="399"/>
      <c r="O53" s="399"/>
      <c r="P53" s="399"/>
      <c r="Q53" s="399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399"/>
      <c r="AE53" s="471"/>
      <c r="AG53" s="399"/>
      <c r="AH53" s="399"/>
      <c r="AI53" s="399"/>
      <c r="AJ53" s="399"/>
      <c r="AK53" s="399"/>
      <c r="AM53" s="399"/>
    </row>
    <row r="54" spans="1:58" ht="15.75" thickBot="1">
      <c r="P54" s="460"/>
      <c r="Q54" s="472" t="s">
        <v>2250</v>
      </c>
      <c r="R54" s="473">
        <f t="shared" ref="R54:AC54" si="10">SUM(R29:R53)</f>
        <v>0</v>
      </c>
      <c r="S54" s="473">
        <f t="shared" si="10"/>
        <v>37500</v>
      </c>
      <c r="T54" s="473">
        <f t="shared" si="10"/>
        <v>35000</v>
      </c>
      <c r="U54" s="473">
        <f t="shared" si="10"/>
        <v>0</v>
      </c>
      <c r="V54" s="473">
        <f t="shared" si="10"/>
        <v>60000</v>
      </c>
      <c r="W54" s="473">
        <f t="shared" si="10"/>
        <v>35000</v>
      </c>
      <c r="X54" s="473">
        <f t="shared" si="10"/>
        <v>0</v>
      </c>
      <c r="Y54" s="473">
        <f t="shared" si="10"/>
        <v>415022</v>
      </c>
      <c r="Z54" s="473">
        <f t="shared" si="10"/>
        <v>391448</v>
      </c>
      <c r="AA54" s="473">
        <f t="shared" si="10"/>
        <v>0</v>
      </c>
      <c r="AB54" s="473">
        <f t="shared" si="10"/>
        <v>35000</v>
      </c>
      <c r="AC54" s="473">
        <f t="shared" si="10"/>
        <v>0</v>
      </c>
      <c r="AD54" s="463"/>
      <c r="AE54" s="473">
        <f>SUM(AE29:AE53)</f>
        <v>1008970</v>
      </c>
      <c r="AG54" s="399"/>
      <c r="AH54" s="399"/>
      <c r="AI54" s="399"/>
      <c r="AJ54" s="399"/>
      <c r="AK54" s="399"/>
      <c r="AM54" s="399"/>
    </row>
    <row r="55" spans="1:58" ht="15.75" thickTop="1">
      <c r="E55" s="423"/>
      <c r="F55" s="423"/>
      <c r="G55" s="423"/>
      <c r="H55" s="423"/>
      <c r="I55" s="423"/>
      <c r="J55" s="423"/>
      <c r="K55" s="423"/>
      <c r="L55" s="423"/>
      <c r="M55" s="423"/>
      <c r="N55" s="399"/>
      <c r="O55" s="399"/>
      <c r="P55" s="399"/>
      <c r="Q55" s="399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399"/>
      <c r="AE55" s="474"/>
      <c r="AG55" s="399"/>
      <c r="AH55" s="399"/>
      <c r="AI55" s="399"/>
      <c r="AJ55" s="399"/>
      <c r="AK55" s="399"/>
      <c r="AM55" s="399"/>
    </row>
    <row r="56" spans="1:58">
      <c r="AD56" s="399"/>
    </row>
    <row r="57" spans="1:58">
      <c r="AE57" s="475"/>
    </row>
    <row r="59" spans="1:58">
      <c r="V59" s="476"/>
    </row>
    <row r="60" spans="1:58">
      <c r="V60" s="476"/>
    </row>
    <row r="61" spans="1:58" ht="30">
      <c r="L61" s="477" t="s">
        <v>1780</v>
      </c>
      <c r="M61" s="477" t="s">
        <v>2251</v>
      </c>
      <c r="N61" s="477" t="s">
        <v>2252</v>
      </c>
      <c r="O61" s="507" t="s">
        <v>2270</v>
      </c>
      <c r="P61" s="477" t="s">
        <v>2253</v>
      </c>
      <c r="Q61" s="477" t="s">
        <v>2254</v>
      </c>
      <c r="R61" s="477" t="s">
        <v>2255</v>
      </c>
      <c r="S61" s="477" t="s">
        <v>2256</v>
      </c>
      <c r="T61" s="477" t="s">
        <v>2257</v>
      </c>
      <c r="V61" s="476"/>
    </row>
    <row r="62" spans="1:58">
      <c r="L62" s="495" t="s">
        <v>1881</v>
      </c>
      <c r="M62" s="479">
        <f>+SUMIF($AM$30:$AM$40,L62,$AE$30:$AE$40)+SUMIF($AM$30:$AM$40,"Drop Boxes",$AE$30:$AE$40)</f>
        <v>377522</v>
      </c>
      <c r="N62" s="497">
        <v>0</v>
      </c>
      <c r="O62" s="497">
        <v>-377522</v>
      </c>
      <c r="P62" s="480">
        <f>+M62+O62-N62</f>
        <v>0</v>
      </c>
      <c r="Q62" s="478">
        <v>10</v>
      </c>
      <c r="R62" s="480">
        <f>+P62/Q62</f>
        <v>0</v>
      </c>
      <c r="S62" s="480">
        <f>+P62-R62</f>
        <v>0</v>
      </c>
      <c r="T62" s="478"/>
      <c r="V62" s="476"/>
    </row>
    <row r="63" spans="1:58">
      <c r="L63" s="478" t="s">
        <v>1884</v>
      </c>
      <c r="M63" s="479">
        <f>+SUMIF($AM$30:$AM$40,L63,$AE$30:$AE$40)</f>
        <v>391448</v>
      </c>
      <c r="N63" s="497">
        <v>0</v>
      </c>
      <c r="O63" s="381">
        <v>-391448</v>
      </c>
      <c r="P63" s="480">
        <f>+M63+O63-N63</f>
        <v>0</v>
      </c>
      <c r="Q63" s="478">
        <v>10</v>
      </c>
      <c r="R63" s="480">
        <f>+P63/Q63</f>
        <v>0</v>
      </c>
      <c r="S63" s="480">
        <f>+P63-R63</f>
        <v>0</v>
      </c>
      <c r="T63" s="478"/>
    </row>
    <row r="64" spans="1:58">
      <c r="L64" s="481" t="s">
        <v>513</v>
      </c>
      <c r="M64" s="482">
        <f>+SUMIF($AM$30:$AM$40,L64,$AE$30:$AE$40)</f>
        <v>240000</v>
      </c>
      <c r="N64" s="496">
        <f>-SUM('FAR 7.31.23'!Q39:Q40,'FAR 7.31.23'!Q43:Q46)-'FAR 7.31.23'!Q20-'FAR 7.31.23'!Q14</f>
        <v>-100384.54999999999</v>
      </c>
      <c r="O64" s="496">
        <v>-139615</v>
      </c>
      <c r="P64" s="483">
        <f>+M64+N64+O64</f>
        <v>0.45000000001164153</v>
      </c>
      <c r="Q64" s="481">
        <v>7</v>
      </c>
      <c r="R64" s="483">
        <f>+P64/Q64</f>
        <v>6.4285714287377366E-2</v>
      </c>
      <c r="S64" s="483">
        <f>+P64-R64</f>
        <v>0.38571428572426414</v>
      </c>
      <c r="T64" s="478"/>
      <c r="V64" s="476"/>
    </row>
    <row r="65" spans="13:20">
      <c r="M65" s="484">
        <f>SUM(M62:M64)</f>
        <v>1008970</v>
      </c>
      <c r="N65" s="478"/>
      <c r="P65" s="480">
        <f>SUM(P62:P64)</f>
        <v>0.45000000001164153</v>
      </c>
      <c r="Q65" s="478"/>
      <c r="R65" s="480">
        <f>SUM(R62:R64)</f>
        <v>6.4285714287377366E-2</v>
      </c>
      <c r="S65" s="480">
        <f>SUM(S62:S64)</f>
        <v>0.38571428572426414</v>
      </c>
      <c r="T65" s="478"/>
    </row>
  </sheetData>
  <conditionalFormatting sqref="AS6">
    <cfRule type="cellIs" dxfId="9" priority="7" operator="equal">
      <formula>"Review"</formula>
    </cfRule>
  </conditionalFormatting>
  <conditionalFormatting sqref="AS30:AS52">
    <cfRule type="cellIs" dxfId="8" priority="2" operator="equal">
      <formula>"Review"</formula>
    </cfRule>
  </conditionalFormatting>
  <conditionalFormatting sqref="AV6">
    <cfRule type="cellIs" dxfId="7" priority="6" operator="equal">
      <formula>"Fix!"</formula>
    </cfRule>
  </conditionalFormatting>
  <conditionalFormatting sqref="AV30:AV52">
    <cfRule type="cellIs" dxfId="6" priority="1" operator="equal">
      <formula>"Fix!"</formula>
    </cfRule>
  </conditionalFormatting>
  <conditionalFormatting sqref="AZ6">
    <cfRule type="cellIs" dxfId="5" priority="10" operator="equal">
      <formula>"Fix!"</formula>
    </cfRule>
  </conditionalFormatting>
  <conditionalFormatting sqref="AZ30:AZ52">
    <cfRule type="cellIs" dxfId="4" priority="5" operator="equal">
      <formula>"Fix!"</formula>
    </cfRule>
  </conditionalFormatting>
  <conditionalFormatting sqref="BF6">
    <cfRule type="cellIs" dxfId="3" priority="8" operator="equal">
      <formula>"Review"</formula>
    </cfRule>
    <cfRule type="cellIs" dxfId="2" priority="9" operator="equal">
      <formula>"Fix!"</formula>
    </cfRule>
  </conditionalFormatting>
  <conditionalFormatting sqref="BF30:BF52">
    <cfRule type="cellIs" dxfId="1" priority="3" operator="equal">
      <formula>"Review"</formula>
    </cfRule>
    <cfRule type="cellIs" dxfId="0" priority="4" operator="equal">
      <formula>"Fix!"</formula>
    </cfRule>
  </conditionalFormatting>
  <dataValidations count="5">
    <dataValidation type="list" allowBlank="1" showInputMessage="1" showErrorMessage="1" sqref="E6 E30:E52" xr:uid="{189C0B24-C745-4962-9D28-AB5787C214B4}">
      <formula1>"Delete!"</formula1>
    </dataValidation>
    <dataValidation type="list" allowBlank="1" showInputMessage="1" showErrorMessage="1" sqref="O6 O30:O52" xr:uid="{D81C4F68-EA2E-447B-8FE0-CE4FEBDC5C8E}">
      <formula1>"A,R"</formula1>
    </dataValidation>
    <dataValidation type="list" allowBlank="1" showInputMessage="1" showErrorMessage="1" sqref="P6 P30:P52" xr:uid="{FCB46300-8236-4611-BEBF-936CD299B776}">
      <formula1>"N,U"</formula1>
    </dataValidation>
    <dataValidation type="list" allowBlank="1" showInputMessage="1" showErrorMessage="1" sqref="I15" xr:uid="{B8678E33-1274-4A97-96C3-62706516FB22}">
      <formula1>H19</formula1>
    </dataValidation>
    <dataValidation type="list" allowBlank="1" showInputMessage="1" showErrorMessage="1" sqref="Q30:Q52" xr:uid="{4F8C8EC3-5699-4ED1-AE84-48E097DB4C75}">
      <formula1>",,12018,17150,17151"</formula1>
    </dataValidation>
  </dataValidations>
  <pageMargins left="0.25" right="0.25" top="0.75" bottom="0.75" header="0.3" footer="0.3"/>
  <pageSetup scale="24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T212"/>
  <sheetViews>
    <sheetView tabSelected="1" zoomScaleNormal="100" workbookViewId="0">
      <pane xSplit="1" ySplit="11" topLeftCell="B52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8.88671875" defaultRowHeight="12"/>
  <cols>
    <col min="1" max="1" width="12.21875" style="120" customWidth="1"/>
    <col min="2" max="2" width="6.44140625" style="120" customWidth="1"/>
    <col min="3" max="3" width="6.88671875" style="130" customWidth="1"/>
    <col min="4" max="4" width="21.88671875" style="120" customWidth="1"/>
    <col min="5" max="5" width="8" style="120" customWidth="1"/>
    <col min="6" max="6" width="5.6640625" style="120" customWidth="1"/>
    <col min="7" max="9" width="8" style="120" customWidth="1"/>
    <col min="10" max="10" width="9.21875" style="120" customWidth="1"/>
    <col min="11" max="11" width="9" style="120" customWidth="1"/>
    <col min="12" max="12" width="14.109375" style="120" bestFit="1" customWidth="1"/>
    <col min="13" max="13" width="11.21875" style="120" bestFit="1" customWidth="1"/>
    <col min="14" max="14" width="11.109375" style="120" customWidth="1"/>
    <col min="15" max="15" width="11.21875" style="120" bestFit="1" customWidth="1"/>
    <col min="16" max="16" width="9.5546875" style="120" bestFit="1" customWidth="1"/>
    <col min="17" max="17" width="11.21875" style="120" bestFit="1" customWidth="1"/>
    <col min="18" max="19" width="11.6640625" style="120" bestFit="1" customWidth="1"/>
    <col min="20" max="20" width="21.109375" style="130" bestFit="1" customWidth="1"/>
    <col min="21" max="21" width="8.88671875" style="130"/>
    <col min="22" max="22" width="8.88671875" style="130" customWidth="1"/>
    <col min="23" max="16384" width="8.88671875" style="130"/>
  </cols>
  <sheetData>
    <row r="1" spans="1:20">
      <c r="A1" s="138" t="s">
        <v>178</v>
      </c>
      <c r="E1" s="119" t="s">
        <v>404</v>
      </c>
      <c r="I1" s="139"/>
      <c r="J1" s="139"/>
      <c r="K1" s="139"/>
      <c r="M1" s="124"/>
      <c r="N1" s="124"/>
      <c r="O1" s="124"/>
      <c r="P1" s="124"/>
      <c r="Q1" s="124"/>
      <c r="R1" s="124"/>
      <c r="S1" s="124"/>
    </row>
    <row r="2" spans="1:20" ht="15">
      <c r="A2" s="138" t="s">
        <v>0</v>
      </c>
      <c r="I2" s="139"/>
      <c r="J2" s="139"/>
      <c r="K2" s="139"/>
      <c r="M2" s="121"/>
      <c r="N2" s="324">
        <f>+'FAR 7.31.23'!AI5</f>
        <v>8</v>
      </c>
      <c r="O2" s="325" t="s">
        <v>1896</v>
      </c>
      <c r="P2" s="122"/>
      <c r="Q2" s="122"/>
      <c r="R2" s="122"/>
      <c r="S2" s="122"/>
    </row>
    <row r="3" spans="1:20" ht="15">
      <c r="A3" s="140">
        <f>Summary!H8</f>
        <v>45138</v>
      </c>
      <c r="I3" s="139"/>
      <c r="J3" s="139"/>
      <c r="K3" s="139"/>
      <c r="M3" s="121"/>
      <c r="N3" s="324">
        <f>+'FAR 7.31.23'!AI6</f>
        <v>7</v>
      </c>
      <c r="O3" s="325" t="s">
        <v>1897</v>
      </c>
      <c r="P3" s="122"/>
      <c r="Q3" s="122"/>
      <c r="R3" s="122"/>
      <c r="S3" s="122"/>
    </row>
    <row r="4" spans="1:20" ht="15">
      <c r="I4" s="139"/>
      <c r="J4" s="139"/>
      <c r="K4" s="139"/>
      <c r="M4" s="121"/>
      <c r="N4" s="324">
        <f>+'FAR 7.31.23'!AI7</f>
        <v>2022</v>
      </c>
      <c r="O4" s="325" t="s">
        <v>1834</v>
      </c>
      <c r="P4" s="122"/>
      <c r="Q4" s="122"/>
      <c r="R4" s="122"/>
      <c r="S4" s="122"/>
    </row>
    <row r="5" spans="1:20" ht="12.75" customHeight="1">
      <c r="F5" s="120">
        <v>245720</v>
      </c>
      <c r="G5" s="212"/>
      <c r="H5" s="212"/>
      <c r="I5" s="139"/>
      <c r="J5" s="139"/>
      <c r="K5" s="139"/>
      <c r="M5" s="213"/>
      <c r="N5" s="324">
        <f>+'FAR 7.31.23'!AI8</f>
        <v>2023</v>
      </c>
      <c r="O5" s="325" t="s">
        <v>11</v>
      </c>
      <c r="P5" s="122"/>
      <c r="Q5" s="122"/>
      <c r="R5" s="122"/>
      <c r="S5" s="122"/>
    </row>
    <row r="6" spans="1:20" ht="15">
      <c r="I6" s="139"/>
      <c r="J6" s="139"/>
      <c r="K6" s="139"/>
      <c r="N6" s="327">
        <f>+N5+(N3/12)</f>
        <v>2023.5833333333333</v>
      </c>
      <c r="O6" s="325" t="s">
        <v>1898</v>
      </c>
    </row>
    <row r="7" spans="1:20" ht="15">
      <c r="I7" s="139"/>
      <c r="J7" s="139"/>
      <c r="K7" s="139"/>
      <c r="N7" s="327">
        <f>+N4+(N2/12)</f>
        <v>2022.6666666666667</v>
      </c>
      <c r="O7" s="328" t="s">
        <v>1899</v>
      </c>
    </row>
    <row r="8" spans="1:20">
      <c r="C8" s="123"/>
      <c r="D8" s="124"/>
      <c r="E8" s="124"/>
      <c r="F8" s="124"/>
      <c r="G8" s="124"/>
      <c r="H8" s="124"/>
      <c r="I8" s="125"/>
      <c r="J8" s="125"/>
      <c r="K8" s="125"/>
      <c r="Q8" s="126" t="s">
        <v>18</v>
      </c>
      <c r="R8" s="126" t="s">
        <v>19</v>
      </c>
      <c r="S8" s="139"/>
    </row>
    <row r="9" spans="1:20">
      <c r="B9" s="126"/>
      <c r="C9" s="127" t="s">
        <v>54</v>
      </c>
      <c r="D9" s="128"/>
      <c r="E9" s="126" t="s">
        <v>56</v>
      </c>
      <c r="F9" s="126"/>
      <c r="G9" s="129" t="s">
        <v>23</v>
      </c>
      <c r="H9" s="126" t="s">
        <v>54</v>
      </c>
      <c r="I9" s="126"/>
      <c r="J9" s="126" t="s">
        <v>24</v>
      </c>
      <c r="K9" s="126"/>
      <c r="L9" s="126" t="s">
        <v>54</v>
      </c>
      <c r="M9" s="128" t="s">
        <v>54</v>
      </c>
      <c r="N9" s="128"/>
      <c r="O9" s="128"/>
      <c r="P9" s="126" t="s">
        <v>65</v>
      </c>
      <c r="Q9" s="126" t="s">
        <v>26</v>
      </c>
      <c r="R9" s="126" t="s">
        <v>26</v>
      </c>
      <c r="S9" s="126" t="s">
        <v>38</v>
      </c>
    </row>
    <row r="10" spans="1:20">
      <c r="A10" s="130"/>
      <c r="B10" s="127"/>
      <c r="C10" s="127" t="s">
        <v>57</v>
      </c>
      <c r="D10" s="131"/>
      <c r="E10" s="127" t="s">
        <v>58</v>
      </c>
      <c r="F10" s="127"/>
      <c r="G10" s="132" t="s">
        <v>29</v>
      </c>
      <c r="H10" s="127" t="s">
        <v>30</v>
      </c>
      <c r="I10" s="127" t="s">
        <v>61</v>
      </c>
      <c r="J10" s="127" t="s">
        <v>62</v>
      </c>
      <c r="K10" s="127" t="s">
        <v>406</v>
      </c>
      <c r="L10" s="127" t="s">
        <v>31</v>
      </c>
      <c r="M10" s="127" t="s">
        <v>64</v>
      </c>
      <c r="N10" s="127" t="s">
        <v>66</v>
      </c>
      <c r="O10" s="127" t="s">
        <v>405</v>
      </c>
      <c r="P10" s="127" t="s">
        <v>24</v>
      </c>
      <c r="Q10" s="127" t="s">
        <v>35</v>
      </c>
      <c r="R10" s="127" t="s">
        <v>35</v>
      </c>
      <c r="S10" s="127" t="s">
        <v>45</v>
      </c>
    </row>
    <row r="11" spans="1:20">
      <c r="A11" s="133" t="s">
        <v>261</v>
      </c>
      <c r="B11" s="133" t="s">
        <v>52</v>
      </c>
      <c r="C11" s="133" t="s">
        <v>59</v>
      </c>
      <c r="D11" s="134" t="s">
        <v>60</v>
      </c>
      <c r="E11" s="133" t="s">
        <v>24</v>
      </c>
      <c r="F11" s="133" t="s">
        <v>39</v>
      </c>
      <c r="G11" s="135" t="s">
        <v>34</v>
      </c>
      <c r="H11" s="133" t="s">
        <v>40</v>
      </c>
      <c r="I11" s="133" t="s">
        <v>63</v>
      </c>
      <c r="J11" s="133" t="s">
        <v>64</v>
      </c>
      <c r="K11" s="133" t="s">
        <v>407</v>
      </c>
      <c r="L11" s="133" t="s">
        <v>42</v>
      </c>
      <c r="M11" s="133" t="s">
        <v>42</v>
      </c>
      <c r="N11" s="133" t="s">
        <v>64</v>
      </c>
      <c r="O11" s="133" t="s">
        <v>64</v>
      </c>
      <c r="P11" s="133" t="s">
        <v>64</v>
      </c>
      <c r="Q11" s="211">
        <f>Summary!F8</f>
        <v>44774</v>
      </c>
      <c r="R11" s="211">
        <f>A3</f>
        <v>45138</v>
      </c>
      <c r="S11" s="211">
        <f>A3</f>
        <v>45138</v>
      </c>
    </row>
    <row r="12" spans="1:20">
      <c r="A12" s="134"/>
      <c r="B12" s="133"/>
      <c r="C12" s="133"/>
      <c r="D12" s="134"/>
      <c r="E12" s="133"/>
      <c r="F12" s="133"/>
      <c r="G12" s="135"/>
      <c r="H12" s="133"/>
      <c r="I12" s="133"/>
      <c r="J12" s="133"/>
      <c r="K12" s="133"/>
      <c r="L12" s="133"/>
      <c r="M12" s="133"/>
      <c r="N12" s="133"/>
      <c r="O12" s="133"/>
      <c r="P12" s="133"/>
      <c r="Q12" s="211"/>
      <c r="R12" s="211"/>
      <c r="S12" s="211"/>
    </row>
    <row r="13" spans="1:20">
      <c r="A13" s="134"/>
      <c r="B13" s="133"/>
      <c r="C13" s="133"/>
      <c r="D13" s="134" t="s">
        <v>520</v>
      </c>
      <c r="E13" s="133"/>
      <c r="F13" s="133"/>
      <c r="G13" s="135"/>
      <c r="H13" s="133"/>
      <c r="I13" s="133"/>
      <c r="J13" s="133"/>
      <c r="K13" s="133"/>
      <c r="L13" s="133"/>
      <c r="M13" s="133"/>
      <c r="N13" s="133"/>
      <c r="O13" s="133"/>
      <c r="P13" s="133"/>
      <c r="Q13" s="211"/>
      <c r="R13" s="211"/>
      <c r="S13" s="211"/>
    </row>
    <row r="14" spans="1:20">
      <c r="A14" s="142">
        <v>104792</v>
      </c>
      <c r="B14" s="142" t="s">
        <v>287</v>
      </c>
      <c r="C14" s="141" t="s">
        <v>210</v>
      </c>
      <c r="D14" s="142" t="s">
        <v>286</v>
      </c>
      <c r="E14" s="143">
        <v>2007</v>
      </c>
      <c r="F14" s="143">
        <v>11</v>
      </c>
      <c r="G14" s="144">
        <v>0</v>
      </c>
      <c r="H14" s="141" t="s">
        <v>51</v>
      </c>
      <c r="I14" s="141">
        <v>5</v>
      </c>
      <c r="J14" s="143">
        <f t="shared" ref="J14:J31" si="0">E14+I14</f>
        <v>2012</v>
      </c>
      <c r="K14" s="145">
        <f t="shared" ref="K14:K31" si="1">+J14+(F14/12)</f>
        <v>2012.9166666666667</v>
      </c>
      <c r="L14" s="146">
        <f>'2112 Trks - Orig.'!P17</f>
        <v>20600.624</v>
      </c>
      <c r="M14" s="136">
        <f t="shared" ref="M14:M31" si="2">L14-L14*G14</f>
        <v>20600.624</v>
      </c>
      <c r="N14" s="123">
        <f t="shared" ref="N14:N31" si="3">M14/I14/12</f>
        <v>343.34373333333332</v>
      </c>
      <c r="O14" s="136">
        <f t="shared" ref="O14:O31" si="4">N14*12</f>
        <v>4120.1247999999996</v>
      </c>
      <c r="P14" s="329">
        <f t="shared" ref="P14:P44" si="5">+IF(K14&lt;=$N$6,0,O14)</f>
        <v>0</v>
      </c>
      <c r="Q14" s="329">
        <f t="shared" ref="Q14:Q44" si="6">+IF($K14&lt;=$N$7,$L14,IF(($E14+($F14/12))&gt;=$N$7,0,((($M14-((($K14-$N$7)*12)*$N14))))))</f>
        <v>20600.624</v>
      </c>
      <c r="R14" s="136">
        <f t="shared" ref="R14:R44" si="7">+IF(K14&lt;=$N$6,M14,IF(P14=0,Q14,Q14+P14))</f>
        <v>20600.624</v>
      </c>
      <c r="S14" s="136">
        <f t="shared" ref="S14:S31" si="8">+L14-R14</f>
        <v>0</v>
      </c>
    </row>
    <row r="15" spans="1:20" s="210" customFormat="1">
      <c r="A15" s="201"/>
      <c r="B15" s="201"/>
      <c r="C15" s="207"/>
      <c r="D15" s="207" t="s">
        <v>467</v>
      </c>
      <c r="E15" s="209">
        <v>2023</v>
      </c>
      <c r="F15" s="209">
        <v>7</v>
      </c>
      <c r="G15" s="208">
        <v>0</v>
      </c>
      <c r="H15" s="207" t="s">
        <v>51</v>
      </c>
      <c r="I15" s="207">
        <v>3</v>
      </c>
      <c r="J15" s="209">
        <f t="shared" si="0"/>
        <v>2026</v>
      </c>
      <c r="K15" s="206">
        <f t="shared" si="1"/>
        <v>2026.5833333333333</v>
      </c>
      <c r="L15" s="205">
        <f>'2112 Trks - Orig.'!N17-'2112 Trks'!L14</f>
        <v>10146.576000000001</v>
      </c>
      <c r="M15" s="203">
        <f t="shared" si="2"/>
        <v>10146.576000000001</v>
      </c>
      <c r="N15" s="204">
        <f t="shared" si="3"/>
        <v>281.84933333333339</v>
      </c>
      <c r="O15" s="203">
        <f t="shared" si="4"/>
        <v>3382.1920000000009</v>
      </c>
      <c r="P15" s="491">
        <f t="shared" si="5"/>
        <v>3382.1920000000009</v>
      </c>
      <c r="Q15" s="491">
        <f t="shared" si="6"/>
        <v>0</v>
      </c>
      <c r="R15" s="203">
        <f t="shared" si="7"/>
        <v>3382.1920000000009</v>
      </c>
      <c r="S15" s="203">
        <f t="shared" si="8"/>
        <v>6764.384</v>
      </c>
      <c r="T15" s="492"/>
    </row>
    <row r="17" spans="1:20">
      <c r="A17" s="142">
        <v>72013</v>
      </c>
      <c r="B17" s="142" t="s">
        <v>285</v>
      </c>
      <c r="C17" s="141">
        <v>801</v>
      </c>
      <c r="D17" s="142" t="s">
        <v>227</v>
      </c>
      <c r="E17" s="143">
        <v>2009</v>
      </c>
      <c r="F17" s="143">
        <v>12</v>
      </c>
      <c r="G17" s="144">
        <v>0</v>
      </c>
      <c r="H17" s="141" t="s">
        <v>51</v>
      </c>
      <c r="I17" s="141">
        <v>7</v>
      </c>
      <c r="J17" s="141">
        <f t="shared" si="0"/>
        <v>2016</v>
      </c>
      <c r="K17" s="145">
        <f t="shared" si="1"/>
        <v>2017</v>
      </c>
      <c r="L17" s="158">
        <f>'2112 Trks - Orig.'!P20</f>
        <v>219720.27200000003</v>
      </c>
      <c r="M17" s="136">
        <f t="shared" si="2"/>
        <v>219720.27200000003</v>
      </c>
      <c r="N17" s="123">
        <f t="shared" si="3"/>
        <v>2615.7175238095242</v>
      </c>
      <c r="O17" s="136">
        <f t="shared" si="4"/>
        <v>31388.610285714291</v>
      </c>
      <c r="P17" s="329">
        <f t="shared" si="5"/>
        <v>0</v>
      </c>
      <c r="Q17" s="329">
        <f t="shared" si="6"/>
        <v>219720.27200000003</v>
      </c>
      <c r="R17" s="136">
        <f t="shared" si="7"/>
        <v>219720.27200000003</v>
      </c>
      <c r="S17" s="136">
        <f t="shared" si="8"/>
        <v>0</v>
      </c>
    </row>
    <row r="18" spans="1:20" s="210" customFormat="1">
      <c r="A18" s="201"/>
      <c r="B18" s="201"/>
      <c r="C18" s="207"/>
      <c r="D18" s="207" t="s">
        <v>469</v>
      </c>
      <c r="E18" s="209">
        <v>2023</v>
      </c>
      <c r="F18" s="209">
        <v>7</v>
      </c>
      <c r="G18" s="208">
        <v>0</v>
      </c>
      <c r="H18" s="207" t="s">
        <v>51</v>
      </c>
      <c r="I18" s="207">
        <v>3</v>
      </c>
      <c r="J18" s="207">
        <f t="shared" si="0"/>
        <v>2026</v>
      </c>
      <c r="K18" s="206">
        <f t="shared" si="1"/>
        <v>2026.5833333333333</v>
      </c>
      <c r="L18" s="205">
        <f>'2112 Trks - Orig.'!N20-'2112 Trks'!L17</f>
        <v>54930.067999999999</v>
      </c>
      <c r="M18" s="203">
        <f t="shared" si="2"/>
        <v>54930.067999999999</v>
      </c>
      <c r="N18" s="204">
        <f t="shared" si="3"/>
        <v>1525.8352222222222</v>
      </c>
      <c r="O18" s="203">
        <f t="shared" si="4"/>
        <v>18310.022666666668</v>
      </c>
      <c r="P18" s="491">
        <f t="shared" si="5"/>
        <v>18310.022666666668</v>
      </c>
      <c r="Q18" s="491">
        <f t="shared" si="6"/>
        <v>0</v>
      </c>
      <c r="R18" s="203">
        <f t="shared" si="7"/>
        <v>18310.022666666668</v>
      </c>
      <c r="S18" s="203">
        <f t="shared" si="8"/>
        <v>36620.045333333328</v>
      </c>
      <c r="T18" s="492"/>
    </row>
    <row r="19" spans="1:20">
      <c r="A19" s="142">
        <v>69830</v>
      </c>
      <c r="B19" s="142" t="s">
        <v>224</v>
      </c>
      <c r="C19" s="141">
        <v>919</v>
      </c>
      <c r="D19" s="142" t="s">
        <v>229</v>
      </c>
      <c r="E19" s="143">
        <v>2009</v>
      </c>
      <c r="F19" s="143">
        <v>12</v>
      </c>
      <c r="G19" s="144">
        <v>0</v>
      </c>
      <c r="H19" s="141" t="s">
        <v>51</v>
      </c>
      <c r="I19" s="141">
        <v>7</v>
      </c>
      <c r="J19" s="141">
        <f t="shared" si="0"/>
        <v>2016</v>
      </c>
      <c r="K19" s="145">
        <f t="shared" si="1"/>
        <v>2017</v>
      </c>
      <c r="L19" s="158">
        <f>'2112 Trks - Orig.'!P22</f>
        <v>178489.36000000002</v>
      </c>
      <c r="M19" s="136">
        <f t="shared" si="2"/>
        <v>178489.36000000002</v>
      </c>
      <c r="N19" s="123">
        <f t="shared" si="3"/>
        <v>2124.8733333333334</v>
      </c>
      <c r="O19" s="136">
        <f t="shared" si="4"/>
        <v>25498.480000000003</v>
      </c>
      <c r="P19" s="329">
        <f t="shared" si="5"/>
        <v>0</v>
      </c>
      <c r="Q19" s="329">
        <f t="shared" si="6"/>
        <v>178489.36000000002</v>
      </c>
      <c r="R19" s="136">
        <f t="shared" si="7"/>
        <v>178489.36000000002</v>
      </c>
      <c r="S19" s="136">
        <f t="shared" si="8"/>
        <v>0</v>
      </c>
    </row>
    <row r="20" spans="1:20" s="210" customFormat="1">
      <c r="A20" s="201"/>
      <c r="B20" s="201"/>
      <c r="C20" s="207"/>
      <c r="D20" s="207" t="s">
        <v>471</v>
      </c>
      <c r="E20" s="209">
        <v>2023</v>
      </c>
      <c r="F20" s="209">
        <v>7</v>
      </c>
      <c r="G20" s="208">
        <v>0</v>
      </c>
      <c r="H20" s="207" t="s">
        <v>51</v>
      </c>
      <c r="I20" s="207">
        <v>3</v>
      </c>
      <c r="J20" s="207">
        <f t="shared" si="0"/>
        <v>2026</v>
      </c>
      <c r="K20" s="206">
        <f t="shared" si="1"/>
        <v>2026.5833333333333</v>
      </c>
      <c r="L20" s="205">
        <f>'2112 Trks - Orig.'!N22-'2112 Trks'!L19</f>
        <v>44622.34</v>
      </c>
      <c r="M20" s="203">
        <f t="shared" si="2"/>
        <v>44622.34</v>
      </c>
      <c r="N20" s="204">
        <f t="shared" si="3"/>
        <v>1239.5094444444444</v>
      </c>
      <c r="O20" s="203">
        <f t="shared" si="4"/>
        <v>14874.113333333333</v>
      </c>
      <c r="P20" s="491">
        <f t="shared" si="5"/>
        <v>14874.113333333333</v>
      </c>
      <c r="Q20" s="491">
        <f t="shared" si="6"/>
        <v>0</v>
      </c>
      <c r="R20" s="203">
        <f t="shared" si="7"/>
        <v>14874.113333333333</v>
      </c>
      <c r="S20" s="203">
        <f t="shared" si="8"/>
        <v>29748.226666666662</v>
      </c>
      <c r="T20" s="492"/>
    </row>
    <row r="21" spans="1:20">
      <c r="A21" s="142"/>
      <c r="B21" s="142" t="s">
        <v>83</v>
      </c>
      <c r="C21" s="141">
        <v>705</v>
      </c>
      <c r="D21" s="142" t="s">
        <v>234</v>
      </c>
      <c r="E21" s="143">
        <v>2010</v>
      </c>
      <c r="F21" s="143">
        <v>7</v>
      </c>
      <c r="G21" s="144">
        <v>0</v>
      </c>
      <c r="H21" s="141" t="s">
        <v>51</v>
      </c>
      <c r="I21" s="141">
        <v>3</v>
      </c>
      <c r="J21" s="141">
        <f t="shared" si="0"/>
        <v>2013</v>
      </c>
      <c r="K21" s="145">
        <f t="shared" si="1"/>
        <v>2013.5833333333333</v>
      </c>
      <c r="L21" s="146">
        <v>4004.83</v>
      </c>
      <c r="M21" s="136">
        <f t="shared" si="2"/>
        <v>4004.83</v>
      </c>
      <c r="N21" s="123">
        <f t="shared" si="3"/>
        <v>111.24527777777779</v>
      </c>
      <c r="O21" s="136">
        <f t="shared" si="4"/>
        <v>1334.9433333333334</v>
      </c>
      <c r="P21" s="329">
        <f t="shared" si="5"/>
        <v>0</v>
      </c>
      <c r="Q21" s="329">
        <f t="shared" si="6"/>
        <v>4004.83</v>
      </c>
      <c r="R21" s="136">
        <f t="shared" si="7"/>
        <v>4004.83</v>
      </c>
      <c r="S21" s="136">
        <f t="shared" si="8"/>
        <v>0</v>
      </c>
    </row>
    <row r="22" spans="1:20">
      <c r="A22" s="142">
        <v>173763</v>
      </c>
      <c r="B22" s="142" t="s">
        <v>319</v>
      </c>
      <c r="C22" s="141">
        <v>803</v>
      </c>
      <c r="D22" s="142" t="s">
        <v>522</v>
      </c>
      <c r="E22" s="143">
        <v>2010</v>
      </c>
      <c r="F22" s="143">
        <v>11</v>
      </c>
      <c r="G22" s="144">
        <v>0</v>
      </c>
      <c r="H22" s="141" t="s">
        <v>51</v>
      </c>
      <c r="I22" s="141">
        <v>10</v>
      </c>
      <c r="J22" s="141">
        <f t="shared" si="0"/>
        <v>2020</v>
      </c>
      <c r="K22" s="145">
        <f t="shared" si="1"/>
        <v>2020.9166666666667</v>
      </c>
      <c r="L22" s="146">
        <v>276838.92</v>
      </c>
      <c r="M22" s="136">
        <f t="shared" si="2"/>
        <v>276838.92</v>
      </c>
      <c r="N22" s="123">
        <f t="shared" si="3"/>
        <v>2306.991</v>
      </c>
      <c r="O22" s="136">
        <f t="shared" si="4"/>
        <v>27683.892</v>
      </c>
      <c r="P22" s="329">
        <f t="shared" si="5"/>
        <v>0</v>
      </c>
      <c r="Q22" s="329">
        <f t="shared" si="6"/>
        <v>276838.92</v>
      </c>
      <c r="R22" s="136">
        <f t="shared" si="7"/>
        <v>276838.92</v>
      </c>
      <c r="S22" s="136">
        <f t="shared" si="8"/>
        <v>0</v>
      </c>
    </row>
    <row r="23" spans="1:20">
      <c r="A23" s="142">
        <v>173772</v>
      </c>
      <c r="B23" s="142" t="s">
        <v>366</v>
      </c>
      <c r="C23" s="141">
        <v>667</v>
      </c>
      <c r="D23" s="142" t="s">
        <v>523</v>
      </c>
      <c r="E23" s="143">
        <v>2011</v>
      </c>
      <c r="F23" s="143">
        <v>11</v>
      </c>
      <c r="G23" s="144">
        <v>0</v>
      </c>
      <c r="H23" s="141" t="s">
        <v>51</v>
      </c>
      <c r="I23" s="141">
        <v>3</v>
      </c>
      <c r="J23" s="141">
        <f t="shared" si="0"/>
        <v>2014</v>
      </c>
      <c r="K23" s="145">
        <f t="shared" si="1"/>
        <v>2014.9166666666667</v>
      </c>
      <c r="L23" s="146">
        <v>100004</v>
      </c>
      <c r="M23" s="136">
        <f t="shared" si="2"/>
        <v>100004</v>
      </c>
      <c r="N23" s="123">
        <f t="shared" si="3"/>
        <v>2777.8888888888887</v>
      </c>
      <c r="O23" s="136">
        <f t="shared" si="4"/>
        <v>33334.666666666664</v>
      </c>
      <c r="P23" s="329">
        <f t="shared" si="5"/>
        <v>0</v>
      </c>
      <c r="Q23" s="329">
        <f t="shared" si="6"/>
        <v>100004</v>
      </c>
      <c r="R23" s="136">
        <f t="shared" si="7"/>
        <v>100004</v>
      </c>
      <c r="S23" s="136">
        <f t="shared" si="8"/>
        <v>0</v>
      </c>
    </row>
    <row r="24" spans="1:20">
      <c r="A24" s="142">
        <v>99658</v>
      </c>
      <c r="B24" s="142" t="s">
        <v>250</v>
      </c>
      <c r="C24" s="141">
        <v>804</v>
      </c>
      <c r="D24" s="142" t="s">
        <v>290</v>
      </c>
      <c r="E24" s="143">
        <v>2012</v>
      </c>
      <c r="F24" s="143">
        <v>12</v>
      </c>
      <c r="G24" s="144">
        <v>0</v>
      </c>
      <c r="H24" s="141" t="s">
        <v>51</v>
      </c>
      <c r="I24" s="141">
        <v>10</v>
      </c>
      <c r="J24" s="141">
        <f t="shared" si="0"/>
        <v>2022</v>
      </c>
      <c r="K24" s="145">
        <f t="shared" si="1"/>
        <v>2023</v>
      </c>
      <c r="L24" s="158">
        <v>334615</v>
      </c>
      <c r="M24" s="136">
        <f t="shared" si="2"/>
        <v>334615</v>
      </c>
      <c r="N24" s="123">
        <f t="shared" si="3"/>
        <v>2788.4583333333335</v>
      </c>
      <c r="O24" s="136">
        <f t="shared" si="4"/>
        <v>33461.5</v>
      </c>
      <c r="P24" s="490">
        <f t="shared" si="5"/>
        <v>0</v>
      </c>
      <c r="Q24" s="490">
        <f t="shared" si="6"/>
        <v>323461.16666666919</v>
      </c>
      <c r="R24" s="136">
        <f t="shared" si="7"/>
        <v>334615</v>
      </c>
      <c r="S24" s="136">
        <f t="shared" si="8"/>
        <v>0</v>
      </c>
    </row>
    <row r="25" spans="1:20">
      <c r="A25" s="142">
        <v>107722</v>
      </c>
      <c r="B25" s="142" t="s">
        <v>287</v>
      </c>
      <c r="C25" s="141">
        <v>7205</v>
      </c>
      <c r="D25" s="142" t="s">
        <v>289</v>
      </c>
      <c r="E25" s="143">
        <v>2013</v>
      </c>
      <c r="F25" s="143">
        <v>9</v>
      </c>
      <c r="G25" s="144">
        <v>0</v>
      </c>
      <c r="H25" s="141" t="s">
        <v>51</v>
      </c>
      <c r="I25" s="141">
        <v>5</v>
      </c>
      <c r="J25" s="141">
        <f t="shared" si="0"/>
        <v>2018</v>
      </c>
      <c r="K25" s="145">
        <f t="shared" si="1"/>
        <v>2018.75</v>
      </c>
      <c r="L25" s="158">
        <v>65220</v>
      </c>
      <c r="M25" s="136">
        <f t="shared" si="2"/>
        <v>65220</v>
      </c>
      <c r="N25" s="123">
        <f t="shared" si="3"/>
        <v>1087</v>
      </c>
      <c r="O25" s="136">
        <f t="shared" si="4"/>
        <v>13044</v>
      </c>
      <c r="P25" s="329">
        <f t="shared" si="5"/>
        <v>0</v>
      </c>
      <c r="Q25" s="329">
        <f t="shared" si="6"/>
        <v>65220</v>
      </c>
      <c r="R25" s="136">
        <f t="shared" si="7"/>
        <v>65220</v>
      </c>
      <c r="S25" s="136">
        <f t="shared" si="8"/>
        <v>0</v>
      </c>
    </row>
    <row r="26" spans="1:20">
      <c r="A26" s="142">
        <v>109828</v>
      </c>
      <c r="B26" s="142"/>
      <c r="C26" s="141" t="s">
        <v>190</v>
      </c>
      <c r="D26" s="142" t="s">
        <v>292</v>
      </c>
      <c r="E26" s="143">
        <v>2013</v>
      </c>
      <c r="F26" s="143">
        <v>12</v>
      </c>
      <c r="G26" s="144">
        <v>0</v>
      </c>
      <c r="H26" s="141" t="s">
        <v>51</v>
      </c>
      <c r="I26" s="141">
        <v>5</v>
      </c>
      <c r="J26" s="141">
        <f t="shared" si="0"/>
        <v>2018</v>
      </c>
      <c r="K26" s="145">
        <f t="shared" si="1"/>
        <v>2019</v>
      </c>
      <c r="L26" s="146">
        <f>1404.28*13</f>
        <v>18255.64</v>
      </c>
      <c r="M26" s="136">
        <f t="shared" si="2"/>
        <v>18255.64</v>
      </c>
      <c r="N26" s="123">
        <f t="shared" si="3"/>
        <v>304.26066666666662</v>
      </c>
      <c r="O26" s="136">
        <f t="shared" si="4"/>
        <v>3651.1279999999997</v>
      </c>
      <c r="P26" s="329">
        <f t="shared" si="5"/>
        <v>0</v>
      </c>
      <c r="Q26" s="329">
        <f t="shared" si="6"/>
        <v>18255.64</v>
      </c>
      <c r="R26" s="136">
        <f t="shared" si="7"/>
        <v>18255.64</v>
      </c>
      <c r="S26" s="136">
        <f t="shared" si="8"/>
        <v>0</v>
      </c>
    </row>
    <row r="27" spans="1:20">
      <c r="A27" s="142">
        <v>117317</v>
      </c>
      <c r="B27" s="142" t="s">
        <v>305</v>
      </c>
      <c r="C27" s="141">
        <v>615</v>
      </c>
      <c r="D27" s="142" t="s">
        <v>306</v>
      </c>
      <c r="E27" s="143">
        <v>2014</v>
      </c>
      <c r="F27" s="143">
        <v>11</v>
      </c>
      <c r="G27" s="144">
        <v>0</v>
      </c>
      <c r="H27" s="141" t="s">
        <v>51</v>
      </c>
      <c r="I27" s="141">
        <v>10</v>
      </c>
      <c r="J27" s="143">
        <f t="shared" si="0"/>
        <v>2024</v>
      </c>
      <c r="K27" s="145">
        <f t="shared" si="1"/>
        <v>2024.9166666666667</v>
      </c>
      <c r="L27" s="146">
        <v>228768.45</v>
      </c>
      <c r="M27" s="136">
        <f t="shared" si="2"/>
        <v>228768.45</v>
      </c>
      <c r="N27" s="123">
        <f t="shared" si="3"/>
        <v>1906.4037500000002</v>
      </c>
      <c r="O27" s="136">
        <f t="shared" si="4"/>
        <v>22876.845000000001</v>
      </c>
      <c r="P27" s="329">
        <f t="shared" si="5"/>
        <v>22876.845000000001</v>
      </c>
      <c r="Q27" s="329">
        <f t="shared" si="6"/>
        <v>177295.54875000002</v>
      </c>
      <c r="R27" s="136">
        <f t="shared" si="7"/>
        <v>200172.39375000002</v>
      </c>
      <c r="S27" s="136">
        <f t="shared" si="8"/>
        <v>28596.056249999994</v>
      </c>
    </row>
    <row r="28" spans="1:20">
      <c r="A28" s="142">
        <v>118536</v>
      </c>
      <c r="B28" s="142"/>
      <c r="C28" s="141"/>
      <c r="D28" s="142" t="s">
        <v>307</v>
      </c>
      <c r="E28" s="143">
        <v>2014</v>
      </c>
      <c r="F28" s="143">
        <v>7</v>
      </c>
      <c r="G28" s="144">
        <v>0</v>
      </c>
      <c r="H28" s="141" t="s">
        <v>51</v>
      </c>
      <c r="I28" s="141">
        <v>5</v>
      </c>
      <c r="J28" s="141">
        <f t="shared" si="0"/>
        <v>2019</v>
      </c>
      <c r="K28" s="145">
        <f t="shared" si="1"/>
        <v>2019.5833333333333</v>
      </c>
      <c r="L28" s="146">
        <v>825</v>
      </c>
      <c r="M28" s="136">
        <f t="shared" si="2"/>
        <v>825</v>
      </c>
      <c r="N28" s="123">
        <f t="shared" si="3"/>
        <v>13.75</v>
      </c>
      <c r="O28" s="136">
        <f t="shared" si="4"/>
        <v>165</v>
      </c>
      <c r="P28" s="329">
        <f t="shared" si="5"/>
        <v>0</v>
      </c>
      <c r="Q28" s="329">
        <f t="shared" si="6"/>
        <v>825</v>
      </c>
      <c r="R28" s="136">
        <f t="shared" si="7"/>
        <v>825</v>
      </c>
      <c r="S28" s="136">
        <f t="shared" si="8"/>
        <v>0</v>
      </c>
    </row>
    <row r="29" spans="1:20">
      <c r="A29" s="142">
        <v>173840</v>
      </c>
      <c r="B29" s="142" t="s">
        <v>319</v>
      </c>
      <c r="C29" s="141">
        <v>886</v>
      </c>
      <c r="D29" s="142" t="s">
        <v>320</v>
      </c>
      <c r="E29" s="143">
        <v>2015</v>
      </c>
      <c r="F29" s="143">
        <v>10</v>
      </c>
      <c r="G29" s="144">
        <v>0</v>
      </c>
      <c r="H29" s="141" t="s">
        <v>51</v>
      </c>
      <c r="I29" s="141">
        <v>10</v>
      </c>
      <c r="J29" s="141">
        <f t="shared" si="0"/>
        <v>2025</v>
      </c>
      <c r="K29" s="145">
        <f t="shared" si="1"/>
        <v>2025.8333333333333</v>
      </c>
      <c r="L29" s="146">
        <v>345402.75</v>
      </c>
      <c r="M29" s="136">
        <f t="shared" si="2"/>
        <v>345402.75</v>
      </c>
      <c r="N29" s="123">
        <f t="shared" si="3"/>
        <v>2878.3562500000003</v>
      </c>
      <c r="O29" s="136">
        <f t="shared" si="4"/>
        <v>34540.275000000001</v>
      </c>
      <c r="P29" s="329">
        <f t="shared" si="5"/>
        <v>34540.275000000001</v>
      </c>
      <c r="Q29" s="329">
        <f t="shared" si="6"/>
        <v>236025.2125000052</v>
      </c>
      <c r="R29" s="136">
        <f t="shared" si="7"/>
        <v>270565.48750000523</v>
      </c>
      <c r="S29" s="136">
        <f t="shared" si="8"/>
        <v>74837.262499994773</v>
      </c>
    </row>
    <row r="30" spans="1:20">
      <c r="A30" s="142" t="s">
        <v>372</v>
      </c>
      <c r="B30" s="142" t="s">
        <v>202</v>
      </c>
      <c r="C30" s="141">
        <v>603</v>
      </c>
      <c r="D30" s="142" t="s">
        <v>514</v>
      </c>
      <c r="E30" s="143">
        <v>2017</v>
      </c>
      <c r="F30" s="143">
        <v>4</v>
      </c>
      <c r="G30" s="144">
        <v>0</v>
      </c>
      <c r="H30" s="141" t="s">
        <v>51</v>
      </c>
      <c r="I30" s="141">
        <v>3</v>
      </c>
      <c r="J30" s="141">
        <f t="shared" si="0"/>
        <v>2020</v>
      </c>
      <c r="K30" s="145">
        <f t="shared" si="1"/>
        <v>2020.3333333333333</v>
      </c>
      <c r="L30" s="146">
        <f>11349.3+1400</f>
        <v>12749.3</v>
      </c>
      <c r="M30" s="136">
        <f t="shared" si="2"/>
        <v>12749.3</v>
      </c>
      <c r="N30" s="123">
        <f t="shared" si="3"/>
        <v>354.14722222222218</v>
      </c>
      <c r="O30" s="136">
        <f t="shared" si="4"/>
        <v>4249.7666666666664</v>
      </c>
      <c r="P30" s="329">
        <f t="shared" si="5"/>
        <v>0</v>
      </c>
      <c r="Q30" s="329">
        <f t="shared" si="6"/>
        <v>12749.3</v>
      </c>
      <c r="R30" s="136">
        <f t="shared" si="7"/>
        <v>12749.3</v>
      </c>
      <c r="S30" s="136">
        <f t="shared" si="8"/>
        <v>0</v>
      </c>
    </row>
    <row r="31" spans="1:20">
      <c r="A31" s="142" t="s">
        <v>376</v>
      </c>
      <c r="B31" s="142" t="s">
        <v>250</v>
      </c>
      <c r="C31" s="141">
        <v>887</v>
      </c>
      <c r="D31" s="142" t="s">
        <v>377</v>
      </c>
      <c r="E31" s="143">
        <v>2017</v>
      </c>
      <c r="F31" s="143">
        <v>7</v>
      </c>
      <c r="G31" s="144">
        <v>0</v>
      </c>
      <c r="H31" s="141" t="s">
        <v>51</v>
      </c>
      <c r="I31" s="141">
        <v>10</v>
      </c>
      <c r="J31" s="141">
        <f t="shared" si="0"/>
        <v>2027</v>
      </c>
      <c r="K31" s="145">
        <f t="shared" si="1"/>
        <v>2027.5833333333333</v>
      </c>
      <c r="L31" s="146">
        <f>328375.48+692</f>
        <v>329067.48</v>
      </c>
      <c r="M31" s="136">
        <f t="shared" si="2"/>
        <v>329067.48</v>
      </c>
      <c r="N31" s="123">
        <f t="shared" si="3"/>
        <v>2742.2289999999998</v>
      </c>
      <c r="O31" s="136">
        <f t="shared" si="4"/>
        <v>32906.748</v>
      </c>
      <c r="P31" s="329">
        <f t="shared" si="5"/>
        <v>32906.748</v>
      </c>
      <c r="Q31" s="329">
        <f t="shared" si="6"/>
        <v>167275.96900000499</v>
      </c>
      <c r="R31" s="136">
        <f t="shared" si="7"/>
        <v>200182.71700000498</v>
      </c>
      <c r="S31" s="136">
        <f t="shared" si="8"/>
        <v>128884.762999995</v>
      </c>
    </row>
    <row r="32" spans="1:20">
      <c r="P32" s="329">
        <f t="shared" si="5"/>
        <v>0</v>
      </c>
      <c r="Q32" s="329">
        <f t="shared" si="6"/>
        <v>0</v>
      </c>
      <c r="R32" s="120">
        <f t="shared" si="7"/>
        <v>0</v>
      </c>
    </row>
    <row r="33" spans="1:19">
      <c r="A33" s="283">
        <v>195618</v>
      </c>
      <c r="B33" s="142"/>
      <c r="C33" s="141" t="s">
        <v>1421</v>
      </c>
      <c r="D33" s="197" t="s">
        <v>414</v>
      </c>
      <c r="E33" s="143">
        <v>2018</v>
      </c>
      <c r="F33" s="143">
        <v>4</v>
      </c>
      <c r="G33" s="144">
        <v>0</v>
      </c>
      <c r="H33" s="141" t="s">
        <v>51</v>
      </c>
      <c r="I33" s="141">
        <v>7</v>
      </c>
      <c r="J33" s="141">
        <f t="shared" ref="J33:J42" si="9">E33+I33</f>
        <v>2025</v>
      </c>
      <c r="K33" s="145">
        <f t="shared" ref="K33:K42" si="10">+J33+(F33/12)</f>
        <v>2025.3333333333333</v>
      </c>
      <c r="L33" s="194">
        <f>123835.04</f>
        <v>123835.04</v>
      </c>
      <c r="M33" s="136">
        <f t="shared" ref="M33:M42" si="11">L33-L33*G33</f>
        <v>123835.04</v>
      </c>
      <c r="N33" s="136">
        <f t="shared" ref="N33:N42" si="12">M33/I33/12</f>
        <v>1474.2266666666665</v>
      </c>
      <c r="O33" s="136">
        <f t="shared" ref="O33:O42" si="13">N33*12</f>
        <v>17690.719999999998</v>
      </c>
      <c r="P33" s="329">
        <f t="shared" si="5"/>
        <v>17690.719999999998</v>
      </c>
      <c r="Q33" s="329">
        <f t="shared" si="6"/>
        <v>76659.786666669359</v>
      </c>
      <c r="R33" s="136">
        <f t="shared" si="7"/>
        <v>94350.50666666936</v>
      </c>
      <c r="S33" s="136">
        <f t="shared" ref="S33:S42" si="14">+L33-R33</f>
        <v>29484.533333330633</v>
      </c>
    </row>
    <row r="34" spans="1:19">
      <c r="A34" s="283" t="s">
        <v>435</v>
      </c>
      <c r="B34" s="142"/>
      <c r="C34" s="141">
        <v>890</v>
      </c>
      <c r="D34" s="198" t="s">
        <v>436</v>
      </c>
      <c r="E34" s="143">
        <v>2018</v>
      </c>
      <c r="F34" s="143">
        <v>10</v>
      </c>
      <c r="G34" s="144">
        <v>0</v>
      </c>
      <c r="H34" s="141" t="s">
        <v>51</v>
      </c>
      <c r="I34" s="141">
        <v>10</v>
      </c>
      <c r="J34" s="141">
        <f t="shared" si="9"/>
        <v>2028</v>
      </c>
      <c r="K34" s="145">
        <f t="shared" si="10"/>
        <v>2028.8333333333333</v>
      </c>
      <c r="L34" s="136">
        <f>345399.69+973</f>
        <v>346372.69</v>
      </c>
      <c r="M34" s="136">
        <f t="shared" si="11"/>
        <v>346372.69</v>
      </c>
      <c r="N34" s="136">
        <f t="shared" si="12"/>
        <v>2886.4390833333332</v>
      </c>
      <c r="O34" s="136">
        <f t="shared" si="13"/>
        <v>34637.269</v>
      </c>
      <c r="P34" s="329">
        <f t="shared" si="5"/>
        <v>34637.269</v>
      </c>
      <c r="Q34" s="329">
        <f t="shared" si="6"/>
        <v>132776.19783333861</v>
      </c>
      <c r="R34" s="136">
        <f t="shared" si="7"/>
        <v>167413.46683333861</v>
      </c>
      <c r="S34" s="136">
        <f t="shared" si="14"/>
        <v>178959.2231666614</v>
      </c>
    </row>
    <row r="35" spans="1:19">
      <c r="A35" s="142" t="s">
        <v>437</v>
      </c>
      <c r="B35" s="142" t="s">
        <v>319</v>
      </c>
      <c r="C35" s="141">
        <v>889</v>
      </c>
      <c r="D35" s="142" t="s">
        <v>436</v>
      </c>
      <c r="E35" s="143">
        <v>2018</v>
      </c>
      <c r="F35" s="143">
        <v>10</v>
      </c>
      <c r="G35" s="144">
        <v>0</v>
      </c>
      <c r="H35" s="141" t="s">
        <v>51</v>
      </c>
      <c r="I35" s="141">
        <v>10</v>
      </c>
      <c r="J35" s="141">
        <f>E35+I35</f>
        <v>2028</v>
      </c>
      <c r="K35" s="145">
        <f>+J35+(F35/12)</f>
        <v>2028.8333333333333</v>
      </c>
      <c r="L35" s="136">
        <f>345399.69+973</f>
        <v>346372.69</v>
      </c>
      <c r="M35" s="136">
        <f>L35-L35*G35</f>
        <v>346372.69</v>
      </c>
      <c r="N35" s="136">
        <f>M35/I35/12</f>
        <v>2886.4390833333332</v>
      </c>
      <c r="O35" s="136">
        <f>N35*12</f>
        <v>34637.269</v>
      </c>
      <c r="P35" s="329">
        <f>+IF(K35&lt;=$N$6,0,O35)</f>
        <v>34637.269</v>
      </c>
      <c r="Q35" s="329">
        <f>+IF($K35&lt;=$N$7,$L35,IF(($E35+($F35/12))&gt;=$N$7,0,((($M35-((($K35-$N$7)*12)*$N35))))))</f>
        <v>132776.19783333861</v>
      </c>
      <c r="R35" s="136">
        <f>+IF(K35&lt;=$N$6,M35,IF(P35=0,Q35,Q35+P35))</f>
        <v>167413.46683333861</v>
      </c>
      <c r="S35" s="136">
        <f>+L35-R35</f>
        <v>178959.2231666614</v>
      </c>
    </row>
    <row r="36" spans="1:19">
      <c r="A36" s="142">
        <v>202834</v>
      </c>
      <c r="B36" s="142" t="s">
        <v>319</v>
      </c>
      <c r="C36" s="141">
        <v>888</v>
      </c>
      <c r="D36" s="142" t="s">
        <v>436</v>
      </c>
      <c r="E36" s="143">
        <v>2018</v>
      </c>
      <c r="F36" s="143">
        <v>9</v>
      </c>
      <c r="G36" s="144">
        <v>0</v>
      </c>
      <c r="H36" s="141" t="s">
        <v>51</v>
      </c>
      <c r="I36" s="141">
        <v>10</v>
      </c>
      <c r="J36" s="141">
        <f>E36+I36</f>
        <v>2028</v>
      </c>
      <c r="K36" s="145">
        <f>+J36+(F36/12)</f>
        <v>2028.75</v>
      </c>
      <c r="L36" s="136">
        <v>345671.26</v>
      </c>
      <c r="M36" s="136">
        <f>L36-L36*G36</f>
        <v>345671.26</v>
      </c>
      <c r="N36" s="136">
        <f>M36/I36/12</f>
        <v>2880.5938333333338</v>
      </c>
      <c r="O36" s="136">
        <f>N36*12</f>
        <v>34567.126000000004</v>
      </c>
      <c r="P36" s="329">
        <f>+IF(K36&lt;=$N$6,0,O36)</f>
        <v>34567.126000000004</v>
      </c>
      <c r="Q36" s="329">
        <f>+IF($K36&lt;=$N$7,$L36,IF(($E36+($F36/12))&gt;=$N$7,0,((($M36-((($K36-$N$7)*12)*$N36))))))</f>
        <v>135387.91016666926</v>
      </c>
      <c r="R36" s="136">
        <f>+IF(K36&lt;=$N$6,M36,IF(P36=0,Q36,Q36+P36))</f>
        <v>169955.03616666928</v>
      </c>
      <c r="S36" s="136">
        <f>+L36-R36</f>
        <v>175716.22383333073</v>
      </c>
    </row>
    <row r="37" spans="1:19">
      <c r="A37" s="283">
        <v>219748</v>
      </c>
      <c r="B37" s="142" t="s">
        <v>322</v>
      </c>
      <c r="C37" s="141">
        <v>993</v>
      </c>
      <c r="D37" s="198" t="s">
        <v>487</v>
      </c>
      <c r="E37" s="143">
        <v>2019</v>
      </c>
      <c r="F37" s="143">
        <v>9</v>
      </c>
      <c r="G37" s="144">
        <v>0</v>
      </c>
      <c r="H37" s="141" t="s">
        <v>51</v>
      </c>
      <c r="I37" s="141">
        <v>10</v>
      </c>
      <c r="J37" s="141">
        <f t="shared" si="9"/>
        <v>2029</v>
      </c>
      <c r="K37" s="145">
        <f t="shared" si="10"/>
        <v>2029.75</v>
      </c>
      <c r="L37" s="136">
        <f>185828.24+144864.11</f>
        <v>330692.34999999998</v>
      </c>
      <c r="M37" s="136">
        <f t="shared" si="11"/>
        <v>330692.34999999998</v>
      </c>
      <c r="N37" s="136">
        <f t="shared" si="12"/>
        <v>2755.7695833333332</v>
      </c>
      <c r="O37" s="136">
        <f t="shared" si="13"/>
        <v>33069.235000000001</v>
      </c>
      <c r="P37" s="329">
        <f t="shared" si="5"/>
        <v>33069.235000000001</v>
      </c>
      <c r="Q37" s="329">
        <f t="shared" si="6"/>
        <v>96451.935416669148</v>
      </c>
      <c r="R37" s="136">
        <f t="shared" si="7"/>
        <v>129521.17041666915</v>
      </c>
      <c r="S37" s="136">
        <f t="shared" si="14"/>
        <v>201171.17958333081</v>
      </c>
    </row>
    <row r="38" spans="1:19">
      <c r="A38" s="283">
        <v>219749</v>
      </c>
      <c r="B38" s="142" t="s">
        <v>322</v>
      </c>
      <c r="C38" s="141">
        <v>994</v>
      </c>
      <c r="D38" s="198" t="s">
        <v>487</v>
      </c>
      <c r="E38" s="143">
        <v>2019</v>
      </c>
      <c r="F38" s="143">
        <v>9</v>
      </c>
      <c r="G38" s="144">
        <v>0</v>
      </c>
      <c r="H38" s="141" t="s">
        <v>51</v>
      </c>
      <c r="I38" s="141">
        <v>10</v>
      </c>
      <c r="J38" s="141">
        <f t="shared" si="9"/>
        <v>2029</v>
      </c>
      <c r="K38" s="145">
        <f t="shared" si="10"/>
        <v>2029.75</v>
      </c>
      <c r="L38" s="136">
        <f>185828.24+144864.11</f>
        <v>330692.34999999998</v>
      </c>
      <c r="M38" s="136">
        <f t="shared" si="11"/>
        <v>330692.34999999998</v>
      </c>
      <c r="N38" s="136">
        <f t="shared" si="12"/>
        <v>2755.7695833333332</v>
      </c>
      <c r="O38" s="136">
        <f t="shared" si="13"/>
        <v>33069.235000000001</v>
      </c>
      <c r="P38" s="329">
        <f t="shared" si="5"/>
        <v>33069.235000000001</v>
      </c>
      <c r="Q38" s="329">
        <f t="shared" si="6"/>
        <v>96451.935416669148</v>
      </c>
      <c r="R38" s="136">
        <f t="shared" si="7"/>
        <v>129521.17041666915</v>
      </c>
      <c r="S38" s="136">
        <f t="shared" si="14"/>
        <v>201171.17958333081</v>
      </c>
    </row>
    <row r="39" spans="1:19">
      <c r="A39" s="283">
        <v>221747</v>
      </c>
      <c r="B39" s="142" t="s">
        <v>319</v>
      </c>
      <c r="C39" s="141">
        <v>891</v>
      </c>
      <c r="D39" s="198" t="s">
        <v>494</v>
      </c>
      <c r="E39" s="143">
        <v>2019</v>
      </c>
      <c r="F39" s="143">
        <v>9</v>
      </c>
      <c r="G39" s="144">
        <v>0</v>
      </c>
      <c r="H39" s="141" t="s">
        <v>51</v>
      </c>
      <c r="I39" s="141">
        <v>10</v>
      </c>
      <c r="J39" s="141">
        <f t="shared" si="9"/>
        <v>2029</v>
      </c>
      <c r="K39" s="145">
        <f t="shared" si="10"/>
        <v>2029.75</v>
      </c>
      <c r="L39" s="136">
        <v>378973.1</v>
      </c>
      <c r="M39" s="136">
        <f t="shared" si="11"/>
        <v>378973.1</v>
      </c>
      <c r="N39" s="136">
        <f t="shared" si="12"/>
        <v>3158.1091666666666</v>
      </c>
      <c r="O39" s="136">
        <f t="shared" si="13"/>
        <v>37897.31</v>
      </c>
      <c r="P39" s="329">
        <f t="shared" si="5"/>
        <v>37897.31</v>
      </c>
      <c r="Q39" s="329">
        <f t="shared" si="6"/>
        <v>110533.82083333621</v>
      </c>
      <c r="R39" s="136">
        <f t="shared" si="7"/>
        <v>148431.13083333621</v>
      </c>
      <c r="S39" s="136">
        <f t="shared" si="14"/>
        <v>230541.96916666377</v>
      </c>
    </row>
    <row r="40" spans="1:19">
      <c r="A40" s="283">
        <v>223825</v>
      </c>
      <c r="B40" s="142" t="s">
        <v>319</v>
      </c>
      <c r="C40" s="141">
        <v>892</v>
      </c>
      <c r="D40" s="198" t="s">
        <v>494</v>
      </c>
      <c r="E40" s="143">
        <v>2019</v>
      </c>
      <c r="F40" s="143">
        <v>11</v>
      </c>
      <c r="G40" s="144">
        <v>0</v>
      </c>
      <c r="H40" s="141" t="s">
        <v>51</v>
      </c>
      <c r="I40" s="141">
        <v>10</v>
      </c>
      <c r="J40" s="141">
        <f t="shared" si="9"/>
        <v>2029</v>
      </c>
      <c r="K40" s="145">
        <f t="shared" si="10"/>
        <v>2029.9166666666667</v>
      </c>
      <c r="L40" s="136">
        <v>378973.1</v>
      </c>
      <c r="M40" s="136">
        <f t="shared" si="11"/>
        <v>378973.1</v>
      </c>
      <c r="N40" s="136">
        <f t="shared" si="12"/>
        <v>3158.1091666666666</v>
      </c>
      <c r="O40" s="136">
        <f t="shared" si="13"/>
        <v>37897.31</v>
      </c>
      <c r="P40" s="329">
        <f t="shared" si="5"/>
        <v>37897.31</v>
      </c>
      <c r="Q40" s="329">
        <f t="shared" si="6"/>
        <v>104217.60249999998</v>
      </c>
      <c r="R40" s="136">
        <f t="shared" si="7"/>
        <v>142114.91249999998</v>
      </c>
      <c r="S40" s="136">
        <f t="shared" si="14"/>
        <v>236858.1875</v>
      </c>
    </row>
    <row r="41" spans="1:19">
      <c r="A41" s="283" t="s">
        <v>504</v>
      </c>
      <c r="B41" s="142" t="s">
        <v>322</v>
      </c>
      <c r="C41" s="141"/>
      <c r="D41" s="244" t="s">
        <v>505</v>
      </c>
      <c r="E41" s="143">
        <v>2020</v>
      </c>
      <c r="F41" s="143">
        <v>3</v>
      </c>
      <c r="G41" s="144">
        <v>0</v>
      </c>
      <c r="H41" s="141" t="s">
        <v>51</v>
      </c>
      <c r="I41" s="141">
        <v>10</v>
      </c>
      <c r="J41" s="141">
        <f t="shared" si="9"/>
        <v>2030</v>
      </c>
      <c r="K41" s="145">
        <f t="shared" si="10"/>
        <v>2030.25</v>
      </c>
      <c r="L41" s="136">
        <v>364810</v>
      </c>
      <c r="M41" s="136">
        <f t="shared" si="11"/>
        <v>364810</v>
      </c>
      <c r="N41" s="136">
        <f t="shared" si="12"/>
        <v>3040.0833333333335</v>
      </c>
      <c r="O41" s="136">
        <f t="shared" si="13"/>
        <v>36481</v>
      </c>
      <c r="P41" s="329">
        <f t="shared" si="5"/>
        <v>36481</v>
      </c>
      <c r="Q41" s="329">
        <f t="shared" si="6"/>
        <v>88162.416666669422</v>
      </c>
      <c r="R41" s="136">
        <f t="shared" si="7"/>
        <v>124643.41666666942</v>
      </c>
      <c r="S41" s="136">
        <f t="shared" si="14"/>
        <v>240166.58333333058</v>
      </c>
    </row>
    <row r="42" spans="1:19">
      <c r="A42" s="283" t="s">
        <v>504</v>
      </c>
      <c r="B42" s="142" t="s">
        <v>322</v>
      </c>
      <c r="C42" s="141"/>
      <c r="D42" s="244" t="s">
        <v>505</v>
      </c>
      <c r="E42" s="143">
        <v>2020</v>
      </c>
      <c r="F42" s="143">
        <v>3</v>
      </c>
      <c r="G42" s="144">
        <v>0</v>
      </c>
      <c r="H42" s="141" t="s">
        <v>51</v>
      </c>
      <c r="I42" s="141">
        <v>10</v>
      </c>
      <c r="J42" s="141">
        <f t="shared" si="9"/>
        <v>2030</v>
      </c>
      <c r="K42" s="145">
        <f t="shared" si="10"/>
        <v>2030.25</v>
      </c>
      <c r="L42" s="136">
        <v>364810</v>
      </c>
      <c r="M42" s="136">
        <f t="shared" si="11"/>
        <v>364810</v>
      </c>
      <c r="N42" s="136">
        <f t="shared" si="12"/>
        <v>3040.0833333333335</v>
      </c>
      <c r="O42" s="136">
        <f t="shared" si="13"/>
        <v>36481</v>
      </c>
      <c r="P42" s="329">
        <f t="shared" si="5"/>
        <v>36481</v>
      </c>
      <c r="Q42" s="329">
        <f t="shared" si="6"/>
        <v>88162.416666669422</v>
      </c>
      <c r="R42" s="136">
        <f t="shared" si="7"/>
        <v>124643.41666666942</v>
      </c>
      <c r="S42" s="136">
        <f t="shared" si="14"/>
        <v>240166.58333333058</v>
      </c>
    </row>
    <row r="43" spans="1:19">
      <c r="A43" s="142">
        <v>232598</v>
      </c>
      <c r="B43" s="142" t="s">
        <v>322</v>
      </c>
      <c r="C43" s="141">
        <v>991</v>
      </c>
      <c r="D43" s="142" t="s">
        <v>535</v>
      </c>
      <c r="E43" s="143">
        <v>2020</v>
      </c>
      <c r="F43" s="143">
        <v>5</v>
      </c>
      <c r="G43" s="144">
        <v>0</v>
      </c>
      <c r="H43" s="141" t="s">
        <v>51</v>
      </c>
      <c r="I43" s="141">
        <v>10</v>
      </c>
      <c r="J43" s="141">
        <f>E43+I43</f>
        <v>2030</v>
      </c>
      <c r="K43" s="145">
        <f>+J43+(F43/12)</f>
        <v>2030.4166666666667</v>
      </c>
      <c r="L43" s="170">
        <v>334853.40999999997</v>
      </c>
      <c r="M43" s="136">
        <f>L43-L43*G43</f>
        <v>334853.40999999997</v>
      </c>
      <c r="N43" s="136">
        <f>M43/I43/12</f>
        <v>2790.4450833333335</v>
      </c>
      <c r="O43" s="136">
        <f>N43*12</f>
        <v>33485.341</v>
      </c>
      <c r="P43" s="329">
        <f t="shared" si="5"/>
        <v>33485.341</v>
      </c>
      <c r="Q43" s="329">
        <f t="shared" si="6"/>
        <v>75342.017249999946</v>
      </c>
      <c r="R43" s="136">
        <f t="shared" si="7"/>
        <v>108827.35824999995</v>
      </c>
      <c r="S43" s="136">
        <f>+L43-R43</f>
        <v>226026.05175000004</v>
      </c>
    </row>
    <row r="44" spans="1:19">
      <c r="A44" s="142">
        <v>232599</v>
      </c>
      <c r="B44" s="142" t="s">
        <v>322</v>
      </c>
      <c r="C44" s="141">
        <v>992</v>
      </c>
      <c r="D44" s="142" t="s">
        <v>535</v>
      </c>
      <c r="E44" s="143">
        <v>2020</v>
      </c>
      <c r="F44" s="143">
        <v>5</v>
      </c>
      <c r="G44" s="144">
        <v>0</v>
      </c>
      <c r="H44" s="141" t="s">
        <v>51</v>
      </c>
      <c r="I44" s="141">
        <v>10</v>
      </c>
      <c r="J44" s="141">
        <f>E44+I44</f>
        <v>2030</v>
      </c>
      <c r="K44" s="145">
        <f>+J44+(F44/12)</f>
        <v>2030.4166666666667</v>
      </c>
      <c r="L44" s="170">
        <v>334851.25</v>
      </c>
      <c r="M44" s="136">
        <f>L44-L44*G44</f>
        <v>334851.25</v>
      </c>
      <c r="N44" s="136">
        <f>M44/I44/12</f>
        <v>2790.4270833333335</v>
      </c>
      <c r="O44" s="136">
        <f>N44*12</f>
        <v>33485.125</v>
      </c>
      <c r="P44" s="329">
        <f t="shared" si="5"/>
        <v>33485.125</v>
      </c>
      <c r="Q44" s="329">
        <f t="shared" si="6"/>
        <v>75341.53125</v>
      </c>
      <c r="R44" s="136">
        <f t="shared" si="7"/>
        <v>108826.65625</v>
      </c>
      <c r="S44" s="136">
        <f>+L44-R44</f>
        <v>226024.59375</v>
      </c>
    </row>
    <row r="45" spans="1:19">
      <c r="A45" s="142"/>
      <c r="B45" s="142"/>
      <c r="C45" s="141"/>
      <c r="D45" s="142"/>
      <c r="E45" s="143"/>
      <c r="F45" s="143"/>
      <c r="G45" s="144"/>
      <c r="H45" s="141"/>
      <c r="I45" s="141"/>
      <c r="J45" s="141"/>
      <c r="K45" s="141"/>
      <c r="L45" s="158"/>
      <c r="M45" s="123"/>
      <c r="N45" s="123"/>
      <c r="O45" s="136"/>
      <c r="P45" s="136"/>
      <c r="Q45" s="136"/>
      <c r="R45" s="136"/>
      <c r="S45" s="136"/>
    </row>
    <row r="46" spans="1:19">
      <c r="A46" s="284"/>
      <c r="B46" s="246"/>
      <c r="C46" s="245"/>
      <c r="D46" s="246" t="s">
        <v>111</v>
      </c>
      <c r="E46" s="227"/>
      <c r="F46" s="227"/>
      <c r="G46" s="228"/>
      <c r="H46" s="247"/>
      <c r="I46" s="227"/>
      <c r="J46" s="227"/>
      <c r="K46" s="227"/>
      <c r="L46" s="167">
        <f t="shared" ref="L46:S46" si="15">SUM(L14:L45)</f>
        <v>6225167.8499999996</v>
      </c>
      <c r="M46" s="167">
        <f t="shared" si="15"/>
        <v>6225167.8499999996</v>
      </c>
      <c r="N46" s="167">
        <f t="shared" si="15"/>
        <v>59018.353979365093</v>
      </c>
      <c r="O46" s="167">
        <f t="shared" si="15"/>
        <v>708220.24775238079</v>
      </c>
      <c r="P46" s="167">
        <f t="shared" si="15"/>
        <v>530288.13599999994</v>
      </c>
      <c r="Q46" s="167">
        <f t="shared" si="15"/>
        <v>3013029.6114167082</v>
      </c>
      <c r="R46" s="167">
        <f t="shared" si="15"/>
        <v>3554471.5807500388</v>
      </c>
      <c r="S46" s="167">
        <f t="shared" si="15"/>
        <v>2670696.2692499608</v>
      </c>
    </row>
    <row r="47" spans="1:19">
      <c r="A47" s="142"/>
      <c r="B47" s="131"/>
      <c r="C47" s="165"/>
      <c r="D47" s="131"/>
      <c r="E47" s="127"/>
      <c r="F47" s="127"/>
      <c r="G47" s="166"/>
      <c r="H47" s="141"/>
      <c r="I47" s="127"/>
      <c r="J47" s="127"/>
      <c r="K47" s="127"/>
      <c r="L47" s="168"/>
      <c r="M47" s="168"/>
      <c r="N47" s="169"/>
      <c r="O47" s="169"/>
      <c r="P47" s="169"/>
      <c r="Q47" s="169"/>
      <c r="R47" s="169"/>
      <c r="S47" s="169"/>
    </row>
    <row r="48" spans="1:19">
      <c r="A48" s="142"/>
      <c r="B48" s="131"/>
      <c r="C48" s="165"/>
      <c r="D48" s="134" t="s">
        <v>215</v>
      </c>
      <c r="E48" s="127"/>
      <c r="F48" s="127"/>
      <c r="G48" s="166"/>
      <c r="H48" s="141"/>
      <c r="I48" s="127"/>
      <c r="J48" s="127"/>
      <c r="K48" s="127"/>
      <c r="L48" s="169"/>
      <c r="M48" s="169"/>
      <c r="N48" s="169"/>
      <c r="O48" s="169"/>
      <c r="P48" s="169"/>
      <c r="Q48" s="169"/>
      <c r="R48" s="169"/>
      <c r="S48" s="169"/>
    </row>
    <row r="49" spans="1:19">
      <c r="A49" s="142">
        <v>42965</v>
      </c>
      <c r="B49" s="142" t="s">
        <v>53</v>
      </c>
      <c r="C49" s="141">
        <v>402</v>
      </c>
      <c r="D49" s="142" t="s">
        <v>199</v>
      </c>
      <c r="E49" s="143">
        <v>2006</v>
      </c>
      <c r="F49" s="143">
        <v>6</v>
      </c>
      <c r="G49" s="144">
        <v>0</v>
      </c>
      <c r="H49" s="141" t="s">
        <v>51</v>
      </c>
      <c r="I49" s="141">
        <v>7</v>
      </c>
      <c r="J49" s="141">
        <v>2013</v>
      </c>
      <c r="K49" s="145">
        <v>2013.5</v>
      </c>
      <c r="L49" s="170">
        <v>141950.25599999999</v>
      </c>
      <c r="M49" s="136">
        <v>141950.25599999999</v>
      </c>
      <c r="N49" s="136">
        <v>1689.884</v>
      </c>
      <c r="O49" s="136">
        <v>20278.608</v>
      </c>
      <c r="P49" s="329">
        <v>0</v>
      </c>
      <c r="Q49" s="329">
        <v>141950.25599999999</v>
      </c>
      <c r="R49" s="136">
        <v>141950.25599999999</v>
      </c>
      <c r="S49" s="136">
        <v>0</v>
      </c>
    </row>
    <row r="50" spans="1:19" s="210" customFormat="1">
      <c r="A50" s="201"/>
      <c r="B50" s="201"/>
      <c r="C50" s="207"/>
      <c r="D50" s="207" t="s">
        <v>473</v>
      </c>
      <c r="E50" s="209">
        <v>2023</v>
      </c>
      <c r="F50" s="209">
        <v>7</v>
      </c>
      <c r="G50" s="208">
        <v>0</v>
      </c>
      <c r="H50" s="207" t="s">
        <v>51</v>
      </c>
      <c r="I50" s="207">
        <v>3</v>
      </c>
      <c r="J50" s="209">
        <v>2026</v>
      </c>
      <c r="K50" s="206">
        <v>2026.5833333333333</v>
      </c>
      <c r="L50" s="200">
        <v>35487.564000000013</v>
      </c>
      <c r="M50" s="203">
        <v>35487.564000000013</v>
      </c>
      <c r="N50" s="203">
        <v>985.76566666666702</v>
      </c>
      <c r="O50" s="203">
        <v>11829.188000000004</v>
      </c>
      <c r="P50" s="491">
        <v>11829.188000000004</v>
      </c>
      <c r="Q50" s="491">
        <v>0</v>
      </c>
      <c r="R50" s="203">
        <v>11829.188000000004</v>
      </c>
      <c r="S50" s="203">
        <v>23658.376000000011</v>
      </c>
    </row>
    <row r="51" spans="1:19">
      <c r="A51" s="142">
        <v>118074</v>
      </c>
      <c r="B51" s="142" t="s">
        <v>53</v>
      </c>
      <c r="C51" s="141">
        <v>402</v>
      </c>
      <c r="D51" s="142" t="s">
        <v>304</v>
      </c>
      <c r="E51" s="143">
        <v>2014</v>
      </c>
      <c r="F51" s="143">
        <v>12</v>
      </c>
      <c r="G51" s="144">
        <v>0</v>
      </c>
      <c r="H51" s="141" t="s">
        <v>51</v>
      </c>
      <c r="I51" s="141">
        <v>3</v>
      </c>
      <c r="J51" s="141">
        <v>2017</v>
      </c>
      <c r="K51" s="145">
        <v>2018</v>
      </c>
      <c r="L51" s="136">
        <v>6532.56</v>
      </c>
      <c r="M51" s="136">
        <v>6532.56</v>
      </c>
      <c r="N51" s="136">
        <v>181.46</v>
      </c>
      <c r="O51" s="136">
        <v>2177.52</v>
      </c>
      <c r="P51" s="329">
        <v>0</v>
      </c>
      <c r="Q51" s="329">
        <v>6532.56</v>
      </c>
      <c r="R51" s="136">
        <v>6532.56</v>
      </c>
      <c r="S51" s="136">
        <v>0</v>
      </c>
    </row>
    <row r="52" spans="1:19">
      <c r="A52" s="142">
        <v>125847</v>
      </c>
      <c r="B52" s="142"/>
      <c r="C52" s="141">
        <v>402</v>
      </c>
      <c r="D52" s="142" t="s">
        <v>317</v>
      </c>
      <c r="E52" s="143">
        <v>2015</v>
      </c>
      <c r="F52" s="143">
        <v>9</v>
      </c>
      <c r="G52" s="144">
        <v>0</v>
      </c>
      <c r="H52" s="141" t="s">
        <v>51</v>
      </c>
      <c r="I52" s="141">
        <v>3</v>
      </c>
      <c r="J52" s="141">
        <v>2018</v>
      </c>
      <c r="K52" s="145">
        <v>2018.75</v>
      </c>
      <c r="L52" s="136">
        <v>7579.79</v>
      </c>
      <c r="M52" s="136">
        <v>7579.79</v>
      </c>
      <c r="N52" s="136">
        <v>210.54972222222224</v>
      </c>
      <c r="O52" s="136">
        <v>2526.5966666666668</v>
      </c>
      <c r="P52" s="329">
        <v>0</v>
      </c>
      <c r="Q52" s="329">
        <v>7579.79</v>
      </c>
      <c r="R52" s="136">
        <v>7579.79</v>
      </c>
      <c r="S52" s="136">
        <v>0</v>
      </c>
    </row>
    <row r="53" spans="1:19">
      <c r="A53" s="142"/>
      <c r="B53" s="142" t="s">
        <v>53</v>
      </c>
      <c r="C53" s="141" t="s">
        <v>190</v>
      </c>
      <c r="D53" s="142" t="s">
        <v>219</v>
      </c>
      <c r="E53" s="143">
        <v>2009</v>
      </c>
      <c r="F53" s="143">
        <v>8</v>
      </c>
      <c r="G53" s="144">
        <v>0</v>
      </c>
      <c r="H53" s="141" t="s">
        <v>51</v>
      </c>
      <c r="I53" s="141">
        <v>7</v>
      </c>
      <c r="J53" s="141">
        <f t="shared" ref="J53:J56" si="16">E53+I53</f>
        <v>2016</v>
      </c>
      <c r="K53" s="145">
        <f t="shared" ref="K53:K56" si="17">+J53+(F53/12)</f>
        <v>2016.6666666666667</v>
      </c>
      <c r="L53" s="170">
        <v>3579.56</v>
      </c>
      <c r="M53" s="136">
        <f t="shared" ref="M53:M56" si="18">L53-L53*G53</f>
        <v>3579.56</v>
      </c>
      <c r="N53" s="136">
        <f t="shared" ref="N53:N56" si="19">M53/I53/12</f>
        <v>42.613809523809522</v>
      </c>
      <c r="O53" s="136">
        <f t="shared" ref="O53:O56" si="20">N53*12</f>
        <v>511.36571428571426</v>
      </c>
      <c r="P53" s="329">
        <f t="shared" ref="P53:P56" si="21">+IF(K53&lt;=$N$6,0,O53)</f>
        <v>0</v>
      </c>
      <c r="Q53" s="329">
        <f t="shared" ref="Q53:Q56" si="22">+IF($K53&lt;=$N$7,$L53,IF(($E53+($F53/12))&gt;=$N$7,0,((($M53-((($K53-$N$7)*12)*$N53))))))</f>
        <v>3579.56</v>
      </c>
      <c r="R53" s="136">
        <f t="shared" ref="R53:R56" si="23">+IF(K53&lt;=$N$6,M53,IF(P53=0,Q53,Q53+P53))</f>
        <v>3579.56</v>
      </c>
      <c r="S53" s="136">
        <f t="shared" ref="S53:S56" si="24">+L53-R53</f>
        <v>0</v>
      </c>
    </row>
    <row r="54" spans="1:19">
      <c r="A54" s="142">
        <v>109828</v>
      </c>
      <c r="B54" s="142"/>
      <c r="C54" s="141" t="s">
        <v>190</v>
      </c>
      <c r="D54" s="142" t="s">
        <v>276</v>
      </c>
      <c r="E54" s="143">
        <v>2013</v>
      </c>
      <c r="F54" s="143">
        <v>12</v>
      </c>
      <c r="G54" s="144">
        <v>0</v>
      </c>
      <c r="H54" s="141" t="s">
        <v>51</v>
      </c>
      <c r="I54" s="141">
        <v>5</v>
      </c>
      <c r="J54" s="141">
        <f t="shared" si="16"/>
        <v>2018</v>
      </c>
      <c r="K54" s="145">
        <f t="shared" si="17"/>
        <v>2019</v>
      </c>
      <c r="L54" s="136">
        <f>1404.28*3</f>
        <v>4212.84</v>
      </c>
      <c r="M54" s="136">
        <f t="shared" si="18"/>
        <v>4212.84</v>
      </c>
      <c r="N54" s="136">
        <f t="shared" si="19"/>
        <v>70.213999999999999</v>
      </c>
      <c r="O54" s="136">
        <f t="shared" si="20"/>
        <v>842.56799999999998</v>
      </c>
      <c r="P54" s="329">
        <f t="shared" si="21"/>
        <v>0</v>
      </c>
      <c r="Q54" s="329">
        <f t="shared" si="22"/>
        <v>4212.84</v>
      </c>
      <c r="R54" s="136">
        <f t="shared" si="23"/>
        <v>4212.84</v>
      </c>
      <c r="S54" s="136">
        <f t="shared" si="24"/>
        <v>0</v>
      </c>
    </row>
    <row r="55" spans="1:19">
      <c r="A55" s="142" t="s">
        <v>374</v>
      </c>
      <c r="B55" s="142" t="s">
        <v>53</v>
      </c>
      <c r="C55" s="141">
        <v>443</v>
      </c>
      <c r="D55" s="171" t="s">
        <v>375</v>
      </c>
      <c r="E55" s="143">
        <v>2017</v>
      </c>
      <c r="F55" s="143">
        <v>6</v>
      </c>
      <c r="G55" s="144">
        <v>0</v>
      </c>
      <c r="H55" s="141" t="s">
        <v>51</v>
      </c>
      <c r="I55" s="141">
        <v>10</v>
      </c>
      <c r="J55" s="141">
        <f t="shared" si="16"/>
        <v>2027</v>
      </c>
      <c r="K55" s="145">
        <f t="shared" si="17"/>
        <v>2027.5</v>
      </c>
      <c r="L55" s="136">
        <f>233606.21+1169.5</f>
        <v>234775.71</v>
      </c>
      <c r="M55" s="136">
        <f t="shared" si="18"/>
        <v>234775.71</v>
      </c>
      <c r="N55" s="136">
        <f t="shared" si="19"/>
        <v>1956.46425</v>
      </c>
      <c r="O55" s="136">
        <f t="shared" si="20"/>
        <v>23477.571</v>
      </c>
      <c r="P55" s="329">
        <f t="shared" si="21"/>
        <v>23477.571</v>
      </c>
      <c r="Q55" s="329">
        <f t="shared" si="22"/>
        <v>121300.78350000177</v>
      </c>
      <c r="R55" s="136">
        <f t="shared" si="23"/>
        <v>144778.35450000176</v>
      </c>
      <c r="S55" s="136">
        <f t="shared" si="24"/>
        <v>89997.35549999823</v>
      </c>
    </row>
    <row r="56" spans="1:19">
      <c r="A56" s="142">
        <v>217462</v>
      </c>
      <c r="B56" s="142" t="s">
        <v>53</v>
      </c>
      <c r="C56" s="141">
        <v>445</v>
      </c>
      <c r="D56" s="171" t="s">
        <v>476</v>
      </c>
      <c r="E56" s="143">
        <v>2019</v>
      </c>
      <c r="F56" s="143">
        <v>6</v>
      </c>
      <c r="G56" s="144">
        <v>0</v>
      </c>
      <c r="H56" s="141" t="s">
        <v>51</v>
      </c>
      <c r="I56" s="141">
        <v>10</v>
      </c>
      <c r="J56" s="141">
        <f t="shared" si="16"/>
        <v>2029</v>
      </c>
      <c r="K56" s="145">
        <f t="shared" si="17"/>
        <v>2029.5</v>
      </c>
      <c r="L56" s="136">
        <v>245096.07</v>
      </c>
      <c r="M56" s="136">
        <f t="shared" si="18"/>
        <v>245096.07</v>
      </c>
      <c r="N56" s="136">
        <f t="shared" si="19"/>
        <v>2042.4672499999999</v>
      </c>
      <c r="O56" s="136">
        <f t="shared" si="20"/>
        <v>24509.607</v>
      </c>
      <c r="P56" s="329">
        <f t="shared" si="21"/>
        <v>24509.607</v>
      </c>
      <c r="Q56" s="329">
        <f t="shared" si="22"/>
        <v>77613.755500001862</v>
      </c>
      <c r="R56" s="136">
        <f t="shared" si="23"/>
        <v>102123.36250000187</v>
      </c>
      <c r="S56" s="136">
        <f t="shared" si="24"/>
        <v>142972.70749999816</v>
      </c>
    </row>
    <row r="57" spans="1:19">
      <c r="A57" s="142"/>
      <c r="B57" s="142"/>
      <c r="C57" s="141"/>
      <c r="D57" s="142"/>
      <c r="E57" s="143"/>
      <c r="F57" s="143"/>
      <c r="G57" s="144"/>
      <c r="H57" s="141"/>
      <c r="I57" s="141"/>
      <c r="J57" s="141"/>
      <c r="K57" s="141"/>
      <c r="L57" s="136"/>
      <c r="M57" s="136"/>
      <c r="N57" s="136"/>
      <c r="O57" s="136"/>
      <c r="P57" s="136"/>
      <c r="Q57" s="136"/>
      <c r="R57" s="136"/>
      <c r="S57" s="136"/>
    </row>
    <row r="58" spans="1:19">
      <c r="A58" s="284"/>
      <c r="B58" s="246"/>
      <c r="C58" s="245"/>
      <c r="D58" s="246" t="s">
        <v>216</v>
      </c>
      <c r="E58" s="227"/>
      <c r="F58" s="227"/>
      <c r="G58" s="228"/>
      <c r="H58" s="247"/>
      <c r="I58" s="227"/>
      <c r="J58" s="227"/>
      <c r="K58" s="227"/>
      <c r="L58" s="167">
        <f>SUM(L49:L57)</f>
        <v>679214.35000000009</v>
      </c>
      <c r="M58" s="167">
        <f t="shared" ref="M58:S58" si="25">SUM(M49:M57)</f>
        <v>679214.35000000009</v>
      </c>
      <c r="N58" s="167">
        <f t="shared" si="25"/>
        <v>7179.4186984126982</v>
      </c>
      <c r="O58" s="167">
        <f t="shared" si="25"/>
        <v>86153.024380952382</v>
      </c>
      <c r="P58" s="167">
        <f t="shared" si="25"/>
        <v>59816.366000000009</v>
      </c>
      <c r="Q58" s="167">
        <f t="shared" si="25"/>
        <v>362769.54500000365</v>
      </c>
      <c r="R58" s="167">
        <f t="shared" si="25"/>
        <v>422585.91100000363</v>
      </c>
      <c r="S58" s="167">
        <f t="shared" si="25"/>
        <v>256628.4389999964</v>
      </c>
    </row>
    <row r="59" spans="1:19">
      <c r="A59" s="142"/>
      <c r="B59" s="131"/>
      <c r="C59" s="165"/>
      <c r="D59" s="131"/>
      <c r="E59" s="127"/>
      <c r="F59" s="127"/>
      <c r="G59" s="166"/>
      <c r="H59" s="141"/>
      <c r="I59" s="127"/>
      <c r="J59" s="127"/>
      <c r="K59" s="127"/>
      <c r="L59" s="172"/>
      <c r="M59" s="172"/>
      <c r="N59" s="172"/>
      <c r="O59" s="172"/>
      <c r="P59" s="172"/>
      <c r="Q59" s="172"/>
      <c r="R59" s="172"/>
      <c r="S59" s="172"/>
    </row>
    <row r="60" spans="1:19">
      <c r="A60" s="142"/>
      <c r="B60" s="131"/>
      <c r="C60" s="165"/>
      <c r="D60" s="134" t="s">
        <v>507</v>
      </c>
      <c r="E60" s="127"/>
      <c r="F60" s="127"/>
      <c r="G60" s="166"/>
      <c r="H60" s="141"/>
      <c r="I60" s="127"/>
      <c r="J60" s="127"/>
      <c r="K60" s="127"/>
      <c r="L60" s="172"/>
      <c r="M60" s="172"/>
      <c r="N60" s="172"/>
      <c r="O60" s="172"/>
      <c r="P60" s="172"/>
      <c r="Q60" s="172"/>
      <c r="R60" s="172"/>
      <c r="S60" s="172"/>
    </row>
    <row r="61" spans="1:19">
      <c r="A61" s="142">
        <v>105711</v>
      </c>
      <c r="B61" s="142" t="s">
        <v>82</v>
      </c>
      <c r="C61" s="141">
        <v>229</v>
      </c>
      <c r="D61" s="142" t="s">
        <v>262</v>
      </c>
      <c r="E61" s="143">
        <v>2013</v>
      </c>
      <c r="F61" s="143">
        <v>7</v>
      </c>
      <c r="G61" s="144">
        <v>0</v>
      </c>
      <c r="H61" s="141" t="s">
        <v>51</v>
      </c>
      <c r="I61" s="141">
        <v>3</v>
      </c>
      <c r="J61" s="141">
        <f t="shared" ref="J61:J66" si="26">E61+I61</f>
        <v>2016</v>
      </c>
      <c r="K61" s="145">
        <f t="shared" ref="K61:K66" si="27">+J61+(F61/12)</f>
        <v>2016.5833333333333</v>
      </c>
      <c r="L61" s="136">
        <v>68587.899999999994</v>
      </c>
      <c r="M61" s="136">
        <f t="shared" ref="M61:M66" si="28">L61-L61*G61</f>
        <v>68587.899999999994</v>
      </c>
      <c r="N61" s="136">
        <f t="shared" ref="N61:N66" si="29">M61/I61/12</f>
        <v>1905.2194444444442</v>
      </c>
      <c r="O61" s="136">
        <f t="shared" ref="O61:O66" si="30">N61*12</f>
        <v>22862.633333333331</v>
      </c>
      <c r="P61" s="329">
        <f t="shared" ref="P61:P66" si="31">+IF(K61&lt;=$N$6,0,O61)</f>
        <v>0</v>
      </c>
      <c r="Q61" s="329">
        <f t="shared" ref="Q61:Q66" si="32">+IF($K61&lt;=$N$7,$L61,IF(($E61+($F61/12))&gt;=$N$7,0,((($M61-((($K61-$N$7)*12)*$N61))))))</f>
        <v>68587.899999999994</v>
      </c>
      <c r="R61" s="136">
        <f t="shared" ref="R61:R66" si="33">+IF(K61&lt;=$N$6,M61,IF(P61=0,Q61,Q61+P61))</f>
        <v>68587.899999999994</v>
      </c>
      <c r="S61" s="136">
        <f t="shared" ref="S61:S66" si="34">+L61-R61</f>
        <v>0</v>
      </c>
    </row>
    <row r="62" spans="1:19">
      <c r="A62" s="142">
        <v>109828</v>
      </c>
      <c r="B62" s="142"/>
      <c r="C62" s="141"/>
      <c r="D62" s="142" t="s">
        <v>276</v>
      </c>
      <c r="E62" s="143">
        <v>2013</v>
      </c>
      <c r="F62" s="143">
        <v>12</v>
      </c>
      <c r="G62" s="144">
        <v>0</v>
      </c>
      <c r="H62" s="141" t="s">
        <v>51</v>
      </c>
      <c r="I62" s="141">
        <v>5</v>
      </c>
      <c r="J62" s="141">
        <f t="shared" si="26"/>
        <v>2018</v>
      </c>
      <c r="K62" s="145">
        <f t="shared" si="27"/>
        <v>2019</v>
      </c>
      <c r="L62" s="136">
        <f>1404.28*3</f>
        <v>4212.84</v>
      </c>
      <c r="M62" s="136">
        <f t="shared" si="28"/>
        <v>4212.84</v>
      </c>
      <c r="N62" s="136">
        <f t="shared" si="29"/>
        <v>70.213999999999999</v>
      </c>
      <c r="O62" s="136">
        <f t="shared" si="30"/>
        <v>842.56799999999998</v>
      </c>
      <c r="P62" s="329">
        <f t="shared" si="31"/>
        <v>0</v>
      </c>
      <c r="Q62" s="329">
        <f t="shared" si="32"/>
        <v>4212.84</v>
      </c>
      <c r="R62" s="136">
        <f t="shared" si="33"/>
        <v>4212.84</v>
      </c>
      <c r="S62" s="136">
        <f t="shared" si="34"/>
        <v>0</v>
      </c>
    </row>
    <row r="63" spans="1:19">
      <c r="A63" s="142">
        <v>173834</v>
      </c>
      <c r="B63" s="142"/>
      <c r="C63" s="141">
        <v>772</v>
      </c>
      <c r="D63" s="142" t="s">
        <v>519</v>
      </c>
      <c r="E63" s="143">
        <v>2015</v>
      </c>
      <c r="F63" s="143">
        <v>4</v>
      </c>
      <c r="G63" s="144">
        <v>0</v>
      </c>
      <c r="H63" s="141" t="s">
        <v>51</v>
      </c>
      <c r="I63" s="141">
        <v>5</v>
      </c>
      <c r="J63" s="141">
        <f t="shared" si="26"/>
        <v>2020</v>
      </c>
      <c r="K63" s="145">
        <f t="shared" si="27"/>
        <v>2020.3333333333333</v>
      </c>
      <c r="L63" s="136">
        <v>89584.15</v>
      </c>
      <c r="M63" s="136">
        <f t="shared" si="28"/>
        <v>89584.15</v>
      </c>
      <c r="N63" s="136">
        <f t="shared" si="29"/>
        <v>1493.0691666666664</v>
      </c>
      <c r="O63" s="136">
        <f t="shared" si="30"/>
        <v>17916.829999999998</v>
      </c>
      <c r="P63" s="329">
        <f t="shared" si="31"/>
        <v>0</v>
      </c>
      <c r="Q63" s="329">
        <f t="shared" si="32"/>
        <v>89584.15</v>
      </c>
      <c r="R63" s="136">
        <f t="shared" si="33"/>
        <v>89584.15</v>
      </c>
      <c r="S63" s="136">
        <f t="shared" si="34"/>
        <v>0</v>
      </c>
    </row>
    <row r="64" spans="1:19">
      <c r="A64" s="180">
        <v>126398</v>
      </c>
      <c r="C64" s="130">
        <v>885</v>
      </c>
      <c r="D64" s="120" t="s">
        <v>947</v>
      </c>
      <c r="E64" s="139">
        <v>2015</v>
      </c>
      <c r="F64" s="139">
        <v>10</v>
      </c>
      <c r="G64" s="511">
        <v>0</v>
      </c>
      <c r="H64" s="141" t="s">
        <v>51</v>
      </c>
      <c r="I64" s="139">
        <v>5</v>
      </c>
      <c r="J64" s="141">
        <f t="shared" si="26"/>
        <v>2020</v>
      </c>
      <c r="K64" s="145">
        <f t="shared" si="27"/>
        <v>2020.8333333333333</v>
      </c>
      <c r="L64" s="136">
        <v>345402.75</v>
      </c>
      <c r="M64" s="136">
        <f>L64-L64*G64</f>
        <v>345402.75</v>
      </c>
      <c r="N64" s="136">
        <f>M64/I64/12</f>
        <v>5756.7125000000005</v>
      </c>
      <c r="O64" s="136">
        <f>N64*12</f>
        <v>69080.55</v>
      </c>
      <c r="P64" s="329">
        <f>+IF(K64&lt;=$N$6,0,O64)</f>
        <v>0</v>
      </c>
      <c r="Q64" s="329">
        <f t="shared" si="32"/>
        <v>345402.75</v>
      </c>
      <c r="R64" s="136">
        <f>+IF(K64&lt;=$N$6,M64,IF(P64=0,Q64,Q64+P64))</f>
        <v>345402.75</v>
      </c>
      <c r="S64" s="136">
        <f>+L64-R64</f>
        <v>0</v>
      </c>
    </row>
    <row r="66" spans="1:19">
      <c r="A66" s="142">
        <v>232597</v>
      </c>
      <c r="B66" s="142"/>
      <c r="C66" s="141">
        <v>771</v>
      </c>
      <c r="D66" s="142" t="s">
        <v>534</v>
      </c>
      <c r="E66" s="143">
        <v>2020</v>
      </c>
      <c r="F66" s="143">
        <v>5</v>
      </c>
      <c r="G66" s="144">
        <v>0</v>
      </c>
      <c r="H66" s="141" t="s">
        <v>51</v>
      </c>
      <c r="I66" s="141">
        <v>10</v>
      </c>
      <c r="J66" s="141">
        <f t="shared" si="26"/>
        <v>2030</v>
      </c>
      <c r="K66" s="145">
        <f t="shared" si="27"/>
        <v>2030.4166666666667</v>
      </c>
      <c r="L66" s="136">
        <v>323706.52</v>
      </c>
      <c r="M66" s="136">
        <f t="shared" si="28"/>
        <v>323706.52</v>
      </c>
      <c r="N66" s="136">
        <f t="shared" si="29"/>
        <v>2697.5543333333335</v>
      </c>
      <c r="O66" s="136">
        <f t="shared" si="30"/>
        <v>32370.652000000002</v>
      </c>
      <c r="P66" s="329">
        <f t="shared" si="31"/>
        <v>32370.652000000002</v>
      </c>
      <c r="Q66" s="329">
        <f t="shared" si="32"/>
        <v>72833.967000000004</v>
      </c>
      <c r="R66" s="136">
        <f t="shared" si="33"/>
        <v>105204.61900000001</v>
      </c>
      <c r="S66" s="136">
        <f t="shared" si="34"/>
        <v>218501.90100000001</v>
      </c>
    </row>
    <row r="67" spans="1:19">
      <c r="A67" s="142"/>
      <c r="B67" s="142"/>
      <c r="C67" s="141"/>
      <c r="D67" s="142"/>
      <c r="E67" s="143"/>
      <c r="F67" s="143"/>
      <c r="G67" s="144"/>
      <c r="H67" s="141"/>
      <c r="I67" s="141"/>
      <c r="J67" s="141"/>
      <c r="K67" s="141"/>
      <c r="L67" s="136"/>
      <c r="M67" s="136"/>
      <c r="N67" s="136"/>
      <c r="O67" s="136"/>
      <c r="P67" s="136"/>
      <c r="Q67" s="136"/>
      <c r="R67" s="136"/>
      <c r="S67" s="136"/>
    </row>
    <row r="68" spans="1:19">
      <c r="A68" s="284"/>
      <c r="B68" s="246"/>
      <c r="C68" s="245"/>
      <c r="D68" s="246" t="s">
        <v>524</v>
      </c>
      <c r="E68" s="227"/>
      <c r="F68" s="227"/>
      <c r="G68" s="228"/>
      <c r="H68" s="247"/>
      <c r="I68" s="227"/>
      <c r="J68" s="227"/>
      <c r="K68" s="227"/>
      <c r="L68" s="167">
        <f t="shared" ref="L68:S68" si="35">SUM(L61:L67)</f>
        <v>831494.16</v>
      </c>
      <c r="M68" s="167">
        <f t="shared" si="35"/>
        <v>831494.16</v>
      </c>
      <c r="N68" s="167">
        <f t="shared" si="35"/>
        <v>11922.769444444444</v>
      </c>
      <c r="O68" s="167">
        <f t="shared" si="35"/>
        <v>143073.23333333334</v>
      </c>
      <c r="P68" s="167">
        <f t="shared" si="35"/>
        <v>32370.652000000002</v>
      </c>
      <c r="Q68" s="167">
        <f t="shared" si="35"/>
        <v>580621.60700000008</v>
      </c>
      <c r="R68" s="167">
        <f t="shared" si="35"/>
        <v>612992.25900000008</v>
      </c>
      <c r="S68" s="167">
        <f t="shared" si="35"/>
        <v>218501.90100000001</v>
      </c>
    </row>
    <row r="69" spans="1:19">
      <c r="A69" s="142"/>
      <c r="B69" s="131"/>
      <c r="C69" s="165"/>
      <c r="D69" s="131"/>
      <c r="E69" s="127"/>
      <c r="F69" s="127"/>
      <c r="G69" s="166"/>
      <c r="H69" s="141"/>
      <c r="I69" s="127"/>
      <c r="J69" s="127"/>
      <c r="K69" s="127"/>
      <c r="L69" s="172"/>
      <c r="M69" s="172"/>
      <c r="N69" s="172"/>
      <c r="O69" s="172"/>
      <c r="P69" s="172"/>
      <c r="Q69" s="172"/>
      <c r="R69" s="172"/>
      <c r="S69" s="172"/>
    </row>
    <row r="70" spans="1:19">
      <c r="A70" s="142"/>
      <c r="B70" s="131"/>
      <c r="C70" s="165"/>
      <c r="D70" s="134" t="s">
        <v>313</v>
      </c>
      <c r="E70" s="127"/>
      <c r="F70" s="127"/>
      <c r="G70" s="166"/>
      <c r="H70" s="141"/>
      <c r="I70" s="127"/>
      <c r="J70" s="127"/>
      <c r="K70" s="127"/>
      <c r="L70" s="172"/>
      <c r="M70" s="172"/>
      <c r="N70" s="172"/>
      <c r="O70" s="172"/>
      <c r="P70" s="172"/>
      <c r="Q70" s="172"/>
      <c r="R70" s="172"/>
      <c r="S70" s="172"/>
    </row>
    <row r="71" spans="1:19">
      <c r="A71" s="142">
        <v>121803</v>
      </c>
      <c r="B71" s="142" t="s">
        <v>98</v>
      </c>
      <c r="C71" s="141">
        <v>8814</v>
      </c>
      <c r="D71" s="142" t="s">
        <v>311</v>
      </c>
      <c r="E71" s="143">
        <v>2015</v>
      </c>
      <c r="F71" s="143">
        <v>1</v>
      </c>
      <c r="G71" s="144">
        <v>0</v>
      </c>
      <c r="H71" s="141" t="s">
        <v>51</v>
      </c>
      <c r="I71" s="141">
        <v>3</v>
      </c>
      <c r="J71" s="141">
        <f>E71+I71</f>
        <v>2018</v>
      </c>
      <c r="K71" s="145">
        <f>+J71+(F71/12)</f>
        <v>2018.0833333333333</v>
      </c>
      <c r="L71" s="136">
        <v>2500</v>
      </c>
      <c r="M71" s="136">
        <f>L71-L71*G71</f>
        <v>2500</v>
      </c>
      <c r="N71" s="136">
        <f>M71/I71/12</f>
        <v>69.444444444444443</v>
      </c>
      <c r="O71" s="136">
        <f>N71*12</f>
        <v>833.33333333333326</v>
      </c>
      <c r="P71" s="329">
        <f>+IF(K71&lt;=$N$6,0,O71)</f>
        <v>0</v>
      </c>
      <c r="Q71" s="329">
        <f>+IF($K71&lt;=$N$7,$L71,IF(($E71+($F71/12))&gt;=$N$7,0,((($M71-((($K71-$N$7)*12)*$N71))))))</f>
        <v>2500</v>
      </c>
      <c r="R71" s="136">
        <f>+IF(K71&lt;=$N$6,M71,IF(P71=0,Q71,Q71+P71))</f>
        <v>2500</v>
      </c>
      <c r="S71" s="136">
        <f>+L71-R71</f>
        <v>0</v>
      </c>
    </row>
    <row r="72" spans="1:19">
      <c r="A72" s="142"/>
      <c r="B72" s="142"/>
      <c r="C72" s="141"/>
      <c r="D72" s="142"/>
      <c r="E72" s="143"/>
      <c r="F72" s="143"/>
      <c r="G72" s="144"/>
      <c r="H72" s="141"/>
      <c r="I72" s="141"/>
      <c r="J72" s="141"/>
      <c r="K72" s="141"/>
      <c r="L72" s="136"/>
      <c r="M72" s="136"/>
      <c r="N72" s="136"/>
      <c r="O72" s="136"/>
      <c r="P72" s="136"/>
      <c r="Q72" s="136"/>
      <c r="R72" s="136"/>
      <c r="S72" s="136"/>
    </row>
    <row r="73" spans="1:19">
      <c r="A73" s="284"/>
      <c r="B73" s="246"/>
      <c r="C73" s="245"/>
      <c r="D73" s="246" t="s">
        <v>264</v>
      </c>
      <c r="E73" s="227"/>
      <c r="F73" s="227"/>
      <c r="G73" s="228"/>
      <c r="H73" s="247"/>
      <c r="I73" s="227"/>
      <c r="J73" s="227"/>
      <c r="K73" s="227"/>
      <c r="L73" s="167">
        <f t="shared" ref="L73:S73" si="36">SUM(L71:L72)</f>
        <v>2500</v>
      </c>
      <c r="M73" s="167">
        <f t="shared" si="36"/>
        <v>2500</v>
      </c>
      <c r="N73" s="167">
        <f t="shared" si="36"/>
        <v>69.444444444444443</v>
      </c>
      <c r="O73" s="167">
        <f t="shared" si="36"/>
        <v>833.33333333333326</v>
      </c>
      <c r="P73" s="167">
        <f t="shared" si="36"/>
        <v>0</v>
      </c>
      <c r="Q73" s="167">
        <f t="shared" si="36"/>
        <v>2500</v>
      </c>
      <c r="R73" s="167">
        <f t="shared" si="36"/>
        <v>2500</v>
      </c>
      <c r="S73" s="167">
        <f t="shared" si="36"/>
        <v>0</v>
      </c>
    </row>
    <row r="74" spans="1:19">
      <c r="A74" s="142"/>
      <c r="B74" s="131"/>
      <c r="C74" s="165"/>
      <c r="D74" s="131"/>
      <c r="E74" s="127"/>
      <c r="F74" s="127"/>
      <c r="G74" s="166"/>
      <c r="H74" s="141"/>
      <c r="I74" s="127"/>
      <c r="J74" s="127"/>
      <c r="K74" s="127"/>
      <c r="L74" s="172"/>
      <c r="M74" s="172"/>
      <c r="N74" s="172"/>
      <c r="O74" s="172"/>
      <c r="P74" s="172"/>
      <c r="Q74" s="172"/>
      <c r="R74" s="172"/>
      <c r="S74" s="172"/>
    </row>
    <row r="75" spans="1:19">
      <c r="A75" s="142"/>
      <c r="B75" s="142"/>
      <c r="C75" s="141"/>
      <c r="D75" s="131"/>
      <c r="E75" s="143"/>
      <c r="F75" s="143"/>
      <c r="G75" s="144"/>
      <c r="H75" s="141"/>
      <c r="I75" s="141"/>
      <c r="J75" s="141"/>
      <c r="K75" s="141"/>
      <c r="L75" s="173"/>
      <c r="M75" s="173"/>
      <c r="N75" s="173"/>
      <c r="O75" s="173"/>
      <c r="P75" s="173"/>
      <c r="Q75" s="173"/>
      <c r="R75" s="173"/>
      <c r="S75" s="173"/>
    </row>
    <row r="76" spans="1:19">
      <c r="A76" s="142"/>
      <c r="B76" s="142"/>
      <c r="C76" s="141"/>
      <c r="D76" s="134" t="s">
        <v>297</v>
      </c>
      <c r="E76" s="143"/>
      <c r="F76" s="143"/>
      <c r="G76" s="144"/>
      <c r="H76" s="141"/>
      <c r="I76" s="141"/>
      <c r="J76" s="141"/>
      <c r="K76" s="141"/>
      <c r="L76" s="173"/>
      <c r="M76" s="173"/>
      <c r="N76" s="173"/>
      <c r="O76" s="173"/>
      <c r="P76" s="173"/>
      <c r="Q76" s="173"/>
      <c r="R76" s="173"/>
      <c r="S76" s="173"/>
    </row>
    <row r="79" spans="1:19">
      <c r="A79" s="142"/>
      <c r="B79" s="142"/>
      <c r="D79" s="142"/>
      <c r="E79" s="141"/>
      <c r="F79" s="141"/>
      <c r="G79" s="144"/>
      <c r="H79" s="141"/>
      <c r="I79" s="141"/>
      <c r="J79" s="141"/>
      <c r="K79" s="145"/>
      <c r="L79" s="170"/>
      <c r="M79" s="136"/>
      <c r="N79" s="136"/>
      <c r="O79" s="136"/>
      <c r="P79" s="329"/>
      <c r="Q79" s="329"/>
      <c r="R79" s="136"/>
      <c r="S79" s="136"/>
    </row>
    <row r="80" spans="1:19">
      <c r="A80" s="142"/>
      <c r="B80" s="142"/>
      <c r="D80" s="142"/>
      <c r="E80" s="141"/>
      <c r="F80" s="141"/>
      <c r="G80" s="144"/>
      <c r="H80" s="141"/>
      <c r="I80" s="127"/>
      <c r="J80" s="141"/>
      <c r="K80" s="145"/>
      <c r="L80" s="170"/>
      <c r="M80" s="136"/>
      <c r="N80" s="136"/>
      <c r="O80" s="136"/>
      <c r="P80" s="329"/>
      <c r="Q80" s="329"/>
      <c r="R80" s="136"/>
      <c r="S80" s="136"/>
    </row>
    <row r="81" spans="1:20">
      <c r="A81" s="142"/>
      <c r="B81" s="142"/>
      <c r="C81" s="141"/>
      <c r="D81" s="131"/>
      <c r="E81" s="143"/>
      <c r="F81" s="143"/>
      <c r="G81" s="144"/>
      <c r="H81" s="141"/>
      <c r="I81" s="141"/>
      <c r="J81" s="141"/>
      <c r="K81" s="141"/>
      <c r="L81" s="173"/>
      <c r="M81" s="173"/>
      <c r="N81" s="173"/>
      <c r="O81" s="173"/>
      <c r="P81" s="173"/>
      <c r="Q81" s="173"/>
      <c r="R81" s="173"/>
      <c r="S81" s="173"/>
    </row>
    <row r="82" spans="1:20">
      <c r="A82" s="284"/>
      <c r="B82" s="246"/>
      <c r="C82" s="245"/>
      <c r="D82" s="246" t="s">
        <v>298</v>
      </c>
      <c r="E82" s="227"/>
      <c r="F82" s="227"/>
      <c r="G82" s="228"/>
      <c r="H82" s="247"/>
      <c r="I82" s="227"/>
      <c r="J82" s="227"/>
      <c r="K82" s="227"/>
      <c r="L82" s="167">
        <f t="shared" ref="L82:S82" si="37">SUM(L77:L81)</f>
        <v>0</v>
      </c>
      <c r="M82" s="167">
        <f t="shared" si="37"/>
        <v>0</v>
      </c>
      <c r="N82" s="167">
        <f t="shared" si="37"/>
        <v>0</v>
      </c>
      <c r="O82" s="167">
        <f t="shared" si="37"/>
        <v>0</v>
      </c>
      <c r="P82" s="167">
        <f t="shared" si="37"/>
        <v>0</v>
      </c>
      <c r="Q82" s="167">
        <f t="shared" si="37"/>
        <v>0</v>
      </c>
      <c r="R82" s="167">
        <f t="shared" si="37"/>
        <v>0</v>
      </c>
      <c r="S82" s="167">
        <f t="shared" si="37"/>
        <v>0</v>
      </c>
    </row>
    <row r="83" spans="1:20">
      <c r="A83" s="142"/>
      <c r="B83" s="142"/>
      <c r="C83" s="141"/>
      <c r="D83" s="131"/>
      <c r="E83" s="143"/>
      <c r="F83" s="143"/>
      <c r="G83" s="144"/>
      <c r="H83" s="141"/>
      <c r="I83" s="141"/>
      <c r="J83" s="141"/>
      <c r="K83" s="141"/>
      <c r="L83" s="173"/>
      <c r="M83" s="173"/>
      <c r="N83" s="173"/>
      <c r="O83" s="173"/>
      <c r="P83" s="173"/>
      <c r="Q83" s="173"/>
      <c r="R83" s="173"/>
      <c r="S83" s="173"/>
    </row>
    <row r="84" spans="1:20">
      <c r="A84" s="142"/>
      <c r="B84" s="142"/>
      <c r="C84" s="141"/>
      <c r="D84" s="134" t="s">
        <v>502</v>
      </c>
      <c r="E84" s="143"/>
      <c r="F84" s="143"/>
      <c r="G84" s="144"/>
      <c r="H84" s="141"/>
      <c r="I84" s="141"/>
      <c r="J84" s="141"/>
      <c r="K84" s="141"/>
      <c r="L84" s="173"/>
      <c r="M84" s="173"/>
      <c r="N84" s="173"/>
      <c r="O84" s="173"/>
      <c r="P84" s="173"/>
      <c r="Q84" s="173"/>
      <c r="R84" s="173"/>
      <c r="S84" s="173"/>
    </row>
    <row r="85" spans="1:20">
      <c r="A85" s="142"/>
      <c r="B85" s="142"/>
      <c r="C85" s="141"/>
      <c r="D85" s="134"/>
      <c r="E85" s="143"/>
      <c r="F85" s="143"/>
      <c r="G85" s="144"/>
      <c r="H85" s="141"/>
      <c r="I85" s="141"/>
      <c r="J85" s="141"/>
      <c r="K85" s="141"/>
      <c r="L85" s="173"/>
      <c r="M85" s="173"/>
      <c r="N85" s="173"/>
      <c r="O85" s="173"/>
      <c r="P85" s="173"/>
      <c r="Q85" s="173"/>
      <c r="R85" s="173"/>
      <c r="S85" s="173"/>
    </row>
    <row r="86" spans="1:20">
      <c r="A86" s="142">
        <v>231665</v>
      </c>
      <c r="B86" s="142" t="s">
        <v>366</v>
      </c>
      <c r="C86" s="141">
        <v>668</v>
      </c>
      <c r="D86" s="142" t="s">
        <v>533</v>
      </c>
      <c r="E86" s="143">
        <v>2020</v>
      </c>
      <c r="F86" s="143">
        <v>4</v>
      </c>
      <c r="G86" s="144">
        <v>0</v>
      </c>
      <c r="H86" s="141" t="s">
        <v>51</v>
      </c>
      <c r="I86" s="141">
        <v>10</v>
      </c>
      <c r="J86" s="141">
        <f>E86+I86</f>
        <v>2030</v>
      </c>
      <c r="K86" s="145">
        <f>+J86+(F86/12)</f>
        <v>2030.3333333333333</v>
      </c>
      <c r="L86" s="170">
        <v>307842.78999999998</v>
      </c>
      <c r="M86" s="136">
        <f>L86-L86*G86</f>
        <v>307842.78999999998</v>
      </c>
      <c r="N86" s="136">
        <f>M86/I86/12</f>
        <v>2565.3565833333332</v>
      </c>
      <c r="O86" s="136">
        <f>N86*12</f>
        <v>30784.278999999999</v>
      </c>
      <c r="P86" s="329">
        <f>+IF(K86&lt;=$N$6,0,O86)</f>
        <v>30784.278999999999</v>
      </c>
      <c r="Q86" s="329">
        <f>+IF($K86&lt;=$N$7,$L86,IF(($E86+($F86/12))&gt;=$N$7,0,((($M86-((($K86-$N$7)*12)*$N86))))))</f>
        <v>71829.984333337983</v>
      </c>
      <c r="R86" s="136">
        <f>+IF(K86&lt;=$N$6,M86,IF(P86=0,Q86,Q86+P86))</f>
        <v>102614.26333333798</v>
      </c>
      <c r="S86" s="136">
        <f>+L86-R86</f>
        <v>205228.52666666202</v>
      </c>
      <c r="T86" s="130" t="s">
        <v>564</v>
      </c>
    </row>
    <row r="87" spans="1:20">
      <c r="A87" s="142">
        <v>231666</v>
      </c>
      <c r="B87" s="142" t="s">
        <v>366</v>
      </c>
      <c r="C87" s="141">
        <v>669</v>
      </c>
      <c r="D87" s="142" t="s">
        <v>533</v>
      </c>
      <c r="E87" s="143">
        <v>2020</v>
      </c>
      <c r="F87" s="143">
        <v>4</v>
      </c>
      <c r="G87" s="144">
        <v>0</v>
      </c>
      <c r="H87" s="141" t="s">
        <v>51</v>
      </c>
      <c r="I87" s="141">
        <v>10</v>
      </c>
      <c r="J87" s="141">
        <f>E87+I87</f>
        <v>2030</v>
      </c>
      <c r="K87" s="145">
        <f>+J87+(F87/12)</f>
        <v>2030.3333333333333</v>
      </c>
      <c r="L87" s="170">
        <v>307842.78999999998</v>
      </c>
      <c r="M87" s="136">
        <f>L87-L87*G87</f>
        <v>307842.78999999998</v>
      </c>
      <c r="N87" s="136">
        <f>M87/I87/12</f>
        <v>2565.3565833333332</v>
      </c>
      <c r="O87" s="136">
        <f>N87*12</f>
        <v>30784.278999999999</v>
      </c>
      <c r="P87" s="329">
        <f>+IF(K87&lt;=$N$6,0,O87)</f>
        <v>30784.278999999999</v>
      </c>
      <c r="Q87" s="329">
        <f>+IF($K87&lt;=$N$7,$L87,IF(($E87+($F87/12))&gt;=$N$7,0,((($M87-((($K87-$N$7)*12)*$N87))))))</f>
        <v>71829.984333337983</v>
      </c>
      <c r="R87" s="136">
        <f>+IF(K87&lt;=$N$6,M87,IF(P87=0,Q87,Q87+P87))</f>
        <v>102614.26333333798</v>
      </c>
      <c r="S87" s="136">
        <f>+L87-R87</f>
        <v>205228.52666666202</v>
      </c>
      <c r="T87" s="130" t="s">
        <v>565</v>
      </c>
    </row>
    <row r="88" spans="1:20">
      <c r="A88" s="142">
        <v>234108</v>
      </c>
      <c r="B88" s="142" t="s">
        <v>319</v>
      </c>
      <c r="C88" s="141">
        <v>893</v>
      </c>
      <c r="D88" s="142" t="s">
        <v>549</v>
      </c>
      <c r="E88" s="143">
        <v>2020</v>
      </c>
      <c r="F88" s="143">
        <v>4</v>
      </c>
      <c r="G88" s="144">
        <v>0</v>
      </c>
      <c r="H88" s="141" t="s">
        <v>51</v>
      </c>
      <c r="I88" s="141">
        <v>10</v>
      </c>
      <c r="J88" s="141">
        <f>E88+I88</f>
        <v>2030</v>
      </c>
      <c r="K88" s="145">
        <f>+J88+(F88/12)</f>
        <v>2030.3333333333333</v>
      </c>
      <c r="L88" s="170">
        <v>379185.66</v>
      </c>
      <c r="M88" s="136">
        <f>L88-L88*G88</f>
        <v>379185.66</v>
      </c>
      <c r="N88" s="136">
        <f>M88/I88/12</f>
        <v>3159.8804999999998</v>
      </c>
      <c r="O88" s="136">
        <f>N88*12</f>
        <v>37918.565999999999</v>
      </c>
      <c r="P88" s="329">
        <f>+IF(K88&lt;=$N$6,0,O88)</f>
        <v>37918.565999999999</v>
      </c>
      <c r="Q88" s="329">
        <f>+IF($K88&lt;=$N$7,$L88,IF(($E88+($F88/12))&gt;=$N$7,0,((($M88-((($K88-$N$7)*12)*$N88))))))</f>
        <v>88476.654000005743</v>
      </c>
      <c r="R88" s="136">
        <f>+IF(K88&lt;=$N$6,M88,IF(P88=0,Q88,Q88+P88))</f>
        <v>126395.22000000573</v>
      </c>
      <c r="S88" s="136">
        <f>+L88-R88</f>
        <v>252790.43999999424</v>
      </c>
      <c r="T88" s="130" t="s">
        <v>566</v>
      </c>
    </row>
    <row r="89" spans="1:20">
      <c r="A89" s="142"/>
      <c r="B89" s="142"/>
      <c r="C89" s="141"/>
      <c r="D89" s="131"/>
      <c r="E89" s="143"/>
      <c r="F89" s="143"/>
      <c r="G89" s="144"/>
      <c r="H89" s="141"/>
      <c r="I89" s="141"/>
      <c r="J89" s="141"/>
      <c r="K89" s="141"/>
      <c r="L89" s="173"/>
      <c r="M89" s="173"/>
      <c r="N89" s="173"/>
      <c r="O89" s="173"/>
      <c r="P89" s="173"/>
      <c r="Q89" s="173"/>
      <c r="R89" s="173"/>
      <c r="S89" s="173"/>
    </row>
    <row r="90" spans="1:20">
      <c r="A90" s="284"/>
      <c r="B90" s="246"/>
      <c r="C90" s="245"/>
      <c r="D90" s="246" t="s">
        <v>503</v>
      </c>
      <c r="E90" s="227"/>
      <c r="F90" s="227"/>
      <c r="G90" s="228"/>
      <c r="H90" s="247"/>
      <c r="I90" s="227"/>
      <c r="J90" s="227"/>
      <c r="K90" s="227"/>
      <c r="L90" s="167">
        <f t="shared" ref="L90:S90" si="38">+SUM(L86:L89)</f>
        <v>994871.24</v>
      </c>
      <c r="M90" s="167">
        <f t="shared" si="38"/>
        <v>994871.24</v>
      </c>
      <c r="N90" s="167">
        <f t="shared" si="38"/>
        <v>8290.5936666666657</v>
      </c>
      <c r="O90" s="167">
        <f t="shared" si="38"/>
        <v>99487.123999999996</v>
      </c>
      <c r="P90" s="167">
        <f t="shared" si="38"/>
        <v>99487.123999999996</v>
      </c>
      <c r="Q90" s="167">
        <f t="shared" si="38"/>
        <v>232136.62266668171</v>
      </c>
      <c r="R90" s="167">
        <f t="shared" si="38"/>
        <v>331623.74666668172</v>
      </c>
      <c r="S90" s="167">
        <f t="shared" si="38"/>
        <v>663247.49333331827</v>
      </c>
    </row>
    <row r="91" spans="1:20">
      <c r="A91" s="180"/>
      <c r="B91" s="180"/>
      <c r="D91" s="128"/>
      <c r="E91" s="139"/>
      <c r="F91" s="139"/>
      <c r="G91" s="175"/>
      <c r="H91" s="139"/>
      <c r="I91" s="139"/>
      <c r="J91" s="139"/>
      <c r="K91" s="139"/>
      <c r="L91" s="176"/>
      <c r="M91" s="177"/>
      <c r="N91" s="177"/>
      <c r="O91" s="177"/>
      <c r="P91" s="177"/>
      <c r="Q91" s="177"/>
      <c r="R91" s="177"/>
      <c r="S91" s="177"/>
    </row>
    <row r="92" spans="1:20" ht="12.75" thickBot="1">
      <c r="A92" s="285"/>
      <c r="B92" s="248"/>
      <c r="C92" s="237"/>
      <c r="D92" s="248" t="s">
        <v>50</v>
      </c>
      <c r="E92" s="249"/>
      <c r="F92" s="249"/>
      <c r="G92" s="250"/>
      <c r="H92" s="251"/>
      <c r="I92" s="249"/>
      <c r="J92" s="249"/>
      <c r="K92" s="249"/>
      <c r="L92" s="252">
        <f t="shared" ref="L92:S92" si="39">+L46+L58+L68+L73+L82+L90</f>
        <v>8733247.5999999996</v>
      </c>
      <c r="M92" s="253">
        <f t="shared" si="39"/>
        <v>8733247.5999999996</v>
      </c>
      <c r="N92" s="253">
        <f t="shared" si="39"/>
        <v>86480.580233333341</v>
      </c>
      <c r="O92" s="253">
        <f t="shared" si="39"/>
        <v>1037766.9627999999</v>
      </c>
      <c r="P92" s="253">
        <f t="shared" si="39"/>
        <v>721962.27799999993</v>
      </c>
      <c r="Q92" s="253">
        <f t="shared" si="39"/>
        <v>4191057.3860833938</v>
      </c>
      <c r="R92" s="253">
        <f t="shared" si="39"/>
        <v>4924173.4974167245</v>
      </c>
      <c r="S92" s="253">
        <f t="shared" si="39"/>
        <v>3809074.1025832756</v>
      </c>
    </row>
    <row r="93" spans="1:20">
      <c r="A93" s="180"/>
      <c r="B93" s="180"/>
      <c r="L93" s="178"/>
      <c r="M93" s="178"/>
      <c r="N93" s="178"/>
      <c r="O93" s="178"/>
      <c r="P93" s="178"/>
      <c r="Q93" s="178"/>
      <c r="R93" s="178"/>
      <c r="S93" s="178"/>
    </row>
    <row r="94" spans="1:20">
      <c r="A94" s="180"/>
      <c r="B94" s="180"/>
    </row>
    <row r="95" spans="1:20">
      <c r="A95" s="180"/>
      <c r="B95" s="180"/>
      <c r="L95" s="179"/>
      <c r="R95" s="488"/>
    </row>
    <row r="96" spans="1:20">
      <c r="A96" s="180"/>
      <c r="B96" s="180"/>
    </row>
    <row r="97" spans="1:19">
      <c r="A97" s="180"/>
      <c r="B97" s="180"/>
    </row>
    <row r="98" spans="1:19">
      <c r="A98" s="180"/>
      <c r="B98" s="180"/>
    </row>
    <row r="99" spans="1:19">
      <c r="A99" s="180"/>
      <c r="B99" s="180"/>
    </row>
    <row r="100" spans="1:19">
      <c r="A100" s="180"/>
      <c r="B100" s="180"/>
    </row>
    <row r="101" spans="1:19">
      <c r="A101" s="180"/>
      <c r="B101" s="180"/>
    </row>
    <row r="102" spans="1:19">
      <c r="A102" s="180"/>
      <c r="B102" s="180"/>
    </row>
    <row r="103" spans="1:19">
      <c r="A103" s="180"/>
      <c r="B103" s="180"/>
    </row>
    <row r="104" spans="1:19">
      <c r="A104" s="180"/>
      <c r="B104" s="180"/>
    </row>
    <row r="105" spans="1:19">
      <c r="A105" s="180"/>
      <c r="B105" s="180"/>
      <c r="D105" s="119" t="s">
        <v>263</v>
      </c>
    </row>
    <row r="106" spans="1:19">
      <c r="A106" s="180"/>
      <c r="B106" s="180" t="s">
        <v>208</v>
      </c>
      <c r="C106" s="141" t="s">
        <v>210</v>
      </c>
      <c r="D106" s="180" t="s">
        <v>209</v>
      </c>
      <c r="E106" s="181">
        <v>2007</v>
      </c>
      <c r="F106" s="181">
        <v>11</v>
      </c>
      <c r="G106" s="182">
        <v>0.33</v>
      </c>
      <c r="H106" s="139" t="s">
        <v>51</v>
      </c>
      <c r="I106" s="139">
        <v>5</v>
      </c>
      <c r="J106" s="139">
        <f>E106+I106</f>
        <v>2012</v>
      </c>
      <c r="K106" s="139"/>
      <c r="L106" s="183">
        <f>30747.2+8650.32</f>
        <v>39397.520000000004</v>
      </c>
      <c r="M106" s="124">
        <f>L106-L106*G106</f>
        <v>26396.338400000001</v>
      </c>
      <c r="N106" s="124">
        <f>M106/I106/12</f>
        <v>439.93897333333331</v>
      </c>
      <c r="O106" s="124"/>
      <c r="P106" s="124">
        <f>+IF(K106&lt;=$N$6,0,O106)</f>
        <v>0</v>
      </c>
      <c r="Q106" s="124">
        <f>+IF($K106&lt;=$N$7,$L106,IF(($E106+($F106/12))&gt;=$N$7,0,((($M106-((($K106-$N$7)*12)*$N106))))))</f>
        <v>39397.520000000004</v>
      </c>
      <c r="R106" s="124">
        <f>+IF(K106&lt;=$N$6,M106,IF(P106=0,Q106,Q106+P106))</f>
        <v>26396.338400000001</v>
      </c>
      <c r="S106" s="124">
        <f>+IF(P106=0,0,((L106-Q106)+(L106-R106))/2)</f>
        <v>0</v>
      </c>
    </row>
    <row r="107" spans="1:19">
      <c r="A107" s="180"/>
      <c r="B107" s="180" t="s">
        <v>113</v>
      </c>
      <c r="C107" s="141">
        <v>7157</v>
      </c>
      <c r="D107" s="180" t="s">
        <v>114</v>
      </c>
      <c r="E107" s="181">
        <v>2003</v>
      </c>
      <c r="F107" s="181">
        <v>12</v>
      </c>
      <c r="G107" s="182">
        <v>0.33</v>
      </c>
      <c r="H107" s="139" t="s">
        <v>51</v>
      </c>
      <c r="I107" s="139">
        <v>5</v>
      </c>
      <c r="J107" s="139">
        <f>E107+I107</f>
        <v>2008</v>
      </c>
      <c r="K107" s="139"/>
      <c r="L107" s="184">
        <f>65000.08-13001.6</f>
        <v>51998.48</v>
      </c>
      <c r="M107" s="124">
        <f>L107-L107*G107</f>
        <v>34838.981599999999</v>
      </c>
      <c r="N107" s="124">
        <f>M107/I107/12</f>
        <v>580.64969333333329</v>
      </c>
      <c r="O107" s="124"/>
      <c r="P107" s="124">
        <f>+IF(K107&lt;=$N$6,0,O107)</f>
        <v>0</v>
      </c>
      <c r="Q107" s="124">
        <f>+IF($K107&lt;=$N$7,$L107,IF(($E107+($F107/12))&gt;=$N$7,0,((($M107-((($K107-$N$7)*12)*$N107))))))</f>
        <v>51998.48</v>
      </c>
      <c r="R107" s="124">
        <f>+IF(K107&lt;=$N$6,M107,IF(P107=0,Q107,Q107+P107))</f>
        <v>34838.981599999999</v>
      </c>
      <c r="S107" s="124">
        <f>+IF(P107=0,0,((L107-Q107)+(L107-R107))/2)</f>
        <v>0</v>
      </c>
    </row>
    <row r="108" spans="1:19">
      <c r="A108" s="180"/>
      <c r="B108" s="180"/>
    </row>
    <row r="109" spans="1:19">
      <c r="A109" s="180"/>
      <c r="B109" s="180"/>
    </row>
    <row r="110" spans="1:19">
      <c r="A110" s="180"/>
      <c r="B110" s="180"/>
    </row>
    <row r="111" spans="1:19">
      <c r="A111" s="180"/>
      <c r="B111" s="180"/>
    </row>
    <row r="112" spans="1:19">
      <c r="A112" s="180"/>
      <c r="B112" s="180"/>
      <c r="D112" s="119" t="s">
        <v>288</v>
      </c>
    </row>
    <row r="113" spans="1:19">
      <c r="A113" s="185"/>
      <c r="B113" s="185" t="s">
        <v>217</v>
      </c>
      <c r="C113" s="141">
        <v>701</v>
      </c>
      <c r="D113" s="185" t="s">
        <v>85</v>
      </c>
      <c r="E113" s="186">
        <v>1991</v>
      </c>
      <c r="F113" s="186">
        <v>5</v>
      </c>
      <c r="G113" s="187">
        <v>0.2</v>
      </c>
      <c r="H113" s="188" t="s">
        <v>51</v>
      </c>
      <c r="I113" s="188">
        <v>7</v>
      </c>
      <c r="J113" s="188">
        <f t="shared" ref="J113:J142" si="40">E113+I113</f>
        <v>1998</v>
      </c>
      <c r="K113" s="188"/>
      <c r="L113" s="189">
        <v>76032</v>
      </c>
      <c r="M113" s="190">
        <f t="shared" ref="M113:M138" si="41">L113-L113*G113</f>
        <v>60825.599999999999</v>
      </c>
      <c r="N113" s="190">
        <f t="shared" ref="N113:N138" si="42">M113/I113/12</f>
        <v>724.11428571428576</v>
      </c>
      <c r="O113" s="190"/>
      <c r="P113" s="190">
        <f t="shared" ref="P113:P142" si="43">+IF(K113&lt;=$N$6,0,O113)</f>
        <v>0</v>
      </c>
      <c r="Q113" s="190">
        <f t="shared" ref="Q113:Q142" si="44">+IF($K113&lt;=$N$7,$L113,IF(($E113+($F113/12))&gt;=$N$7,0,((($M113-((($K113-$N$7)*12)*$N113))))))</f>
        <v>76032</v>
      </c>
      <c r="R113" s="190">
        <f t="shared" ref="R113:R142" si="45">+IF(K113&lt;=$N$6,M113,IF(P113=0,Q113,Q113+P113))</f>
        <v>60825.599999999999</v>
      </c>
      <c r="S113" s="190">
        <f>+IF(P113=0,0,((L113-Q113)+(L113-R113))/2)</f>
        <v>0</v>
      </c>
    </row>
    <row r="114" spans="1:19">
      <c r="A114" s="185"/>
      <c r="B114" s="185" t="s">
        <v>218</v>
      </c>
      <c r="C114" s="141">
        <v>702</v>
      </c>
      <c r="D114" s="185" t="s">
        <v>87</v>
      </c>
      <c r="E114" s="186">
        <v>1997</v>
      </c>
      <c r="F114" s="186">
        <v>12</v>
      </c>
      <c r="G114" s="187">
        <v>0.33</v>
      </c>
      <c r="H114" s="188" t="s">
        <v>51</v>
      </c>
      <c r="I114" s="188">
        <v>5</v>
      </c>
      <c r="J114" s="188">
        <f t="shared" si="40"/>
        <v>2002</v>
      </c>
      <c r="K114" s="188"/>
      <c r="L114" s="189">
        <f>57210.56/2</f>
        <v>28605.279999999999</v>
      </c>
      <c r="M114" s="190">
        <f t="shared" si="41"/>
        <v>19165.5376</v>
      </c>
      <c r="N114" s="190">
        <f t="shared" si="42"/>
        <v>319.42562666666669</v>
      </c>
      <c r="O114" s="190"/>
      <c r="P114" s="190">
        <f t="shared" si="43"/>
        <v>0</v>
      </c>
      <c r="Q114" s="190">
        <f t="shared" si="44"/>
        <v>28605.279999999999</v>
      </c>
      <c r="R114" s="190">
        <f t="shared" si="45"/>
        <v>19165.5376</v>
      </c>
      <c r="S114" s="190">
        <f>+IF(P114=0,0,((L114-Q114)+(L114-R114))/2)</f>
        <v>0</v>
      </c>
    </row>
    <row r="115" spans="1:19">
      <c r="A115" s="180"/>
      <c r="B115" s="180"/>
      <c r="C115" s="141"/>
      <c r="D115" s="180" t="s">
        <v>88</v>
      </c>
      <c r="E115" s="181">
        <v>1997</v>
      </c>
      <c r="F115" s="181">
        <v>12</v>
      </c>
      <c r="G115" s="181"/>
      <c r="H115" s="139" t="s">
        <v>51</v>
      </c>
      <c r="I115" s="139">
        <v>5</v>
      </c>
      <c r="J115" s="139">
        <f t="shared" si="40"/>
        <v>2002</v>
      </c>
      <c r="K115" s="139"/>
      <c r="L115" s="184">
        <v>1012.78</v>
      </c>
      <c r="M115" s="124">
        <f t="shared" si="41"/>
        <v>1012.78</v>
      </c>
      <c r="N115" s="124">
        <f t="shared" si="42"/>
        <v>16.879666666666665</v>
      </c>
      <c r="O115" s="124"/>
      <c r="P115" s="124">
        <f t="shared" si="43"/>
        <v>0</v>
      </c>
      <c r="Q115" s="124">
        <f t="shared" si="44"/>
        <v>1012.78</v>
      </c>
      <c r="R115" s="124">
        <f t="shared" si="45"/>
        <v>1012.78</v>
      </c>
      <c r="S115" s="124">
        <f t="shared" ref="S115:S142" si="46">+IF(P115=0,0,((L115-Q115)+(L115-R115))/2)</f>
        <v>0</v>
      </c>
    </row>
    <row r="116" spans="1:19">
      <c r="A116" s="185"/>
      <c r="B116" s="185" t="s">
        <v>89</v>
      </c>
      <c r="C116" s="141">
        <v>163</v>
      </c>
      <c r="D116" s="185" t="s">
        <v>90</v>
      </c>
      <c r="E116" s="186">
        <v>1998</v>
      </c>
      <c r="F116" s="186">
        <v>5</v>
      </c>
      <c r="G116" s="187">
        <v>0.2</v>
      </c>
      <c r="H116" s="188" t="s">
        <v>51</v>
      </c>
      <c r="I116" s="188">
        <v>7</v>
      </c>
      <c r="J116" s="188">
        <f t="shared" si="40"/>
        <v>2005</v>
      </c>
      <c r="K116" s="188"/>
      <c r="L116" s="189">
        <v>89283</v>
      </c>
      <c r="M116" s="190">
        <f t="shared" si="41"/>
        <v>71426.399999999994</v>
      </c>
      <c r="N116" s="190">
        <f t="shared" si="42"/>
        <v>850.31428571428569</v>
      </c>
      <c r="O116" s="190"/>
      <c r="P116" s="190">
        <f t="shared" si="43"/>
        <v>0</v>
      </c>
      <c r="Q116" s="190">
        <f t="shared" si="44"/>
        <v>89283</v>
      </c>
      <c r="R116" s="190">
        <f t="shared" si="45"/>
        <v>71426.399999999994</v>
      </c>
      <c r="S116" s="190">
        <f t="shared" si="46"/>
        <v>0</v>
      </c>
    </row>
    <row r="117" spans="1:19">
      <c r="A117" s="185"/>
      <c r="B117" s="185" t="s">
        <v>89</v>
      </c>
      <c r="C117" s="141">
        <v>164</v>
      </c>
      <c r="D117" s="185" t="s">
        <v>90</v>
      </c>
      <c r="E117" s="186">
        <v>1998</v>
      </c>
      <c r="F117" s="186">
        <v>5</v>
      </c>
      <c r="G117" s="187">
        <v>0.2</v>
      </c>
      <c r="H117" s="188" t="s">
        <v>51</v>
      </c>
      <c r="I117" s="188">
        <v>7</v>
      </c>
      <c r="J117" s="188">
        <f t="shared" si="40"/>
        <v>2005</v>
      </c>
      <c r="K117" s="188"/>
      <c r="L117" s="189">
        <v>89283</v>
      </c>
      <c r="M117" s="190">
        <f t="shared" si="41"/>
        <v>71426.399999999994</v>
      </c>
      <c r="N117" s="190">
        <f t="shared" si="42"/>
        <v>850.31428571428569</v>
      </c>
      <c r="O117" s="190"/>
      <c r="P117" s="190">
        <f t="shared" si="43"/>
        <v>0</v>
      </c>
      <c r="Q117" s="190">
        <f t="shared" si="44"/>
        <v>89283</v>
      </c>
      <c r="R117" s="190">
        <f t="shared" si="45"/>
        <v>71426.399999999994</v>
      </c>
      <c r="S117" s="190">
        <f t="shared" si="46"/>
        <v>0</v>
      </c>
    </row>
    <row r="118" spans="1:19">
      <c r="A118" s="180"/>
      <c r="B118" s="180"/>
      <c r="C118" s="141"/>
      <c r="D118" s="180" t="s">
        <v>91</v>
      </c>
      <c r="E118" s="181">
        <v>1999</v>
      </c>
      <c r="F118" s="181">
        <v>1</v>
      </c>
      <c r="G118" s="182"/>
      <c r="H118" s="139" t="s">
        <v>51</v>
      </c>
      <c r="I118" s="139">
        <v>3</v>
      </c>
      <c r="J118" s="139">
        <f t="shared" si="40"/>
        <v>2002</v>
      </c>
      <c r="K118" s="139"/>
      <c r="L118" s="184">
        <v>13266.97</v>
      </c>
      <c r="M118" s="124">
        <f t="shared" si="41"/>
        <v>13266.97</v>
      </c>
      <c r="N118" s="124">
        <f t="shared" si="42"/>
        <v>368.52694444444438</v>
      </c>
      <c r="O118" s="124"/>
      <c r="P118" s="124">
        <f t="shared" si="43"/>
        <v>0</v>
      </c>
      <c r="Q118" s="124">
        <f t="shared" si="44"/>
        <v>13266.97</v>
      </c>
      <c r="R118" s="124">
        <f t="shared" si="45"/>
        <v>13266.97</v>
      </c>
      <c r="S118" s="124">
        <f t="shared" si="46"/>
        <v>0</v>
      </c>
    </row>
    <row r="119" spans="1:19">
      <c r="A119" s="185"/>
      <c r="B119" s="185" t="s">
        <v>217</v>
      </c>
      <c r="C119" s="141">
        <v>7404</v>
      </c>
      <c r="D119" s="185" t="s">
        <v>112</v>
      </c>
      <c r="E119" s="186">
        <v>2001</v>
      </c>
      <c r="F119" s="186">
        <v>6</v>
      </c>
      <c r="G119" s="187">
        <v>0.33</v>
      </c>
      <c r="H119" s="188" t="s">
        <v>51</v>
      </c>
      <c r="I119" s="188">
        <v>5</v>
      </c>
      <c r="J119" s="188">
        <f t="shared" si="40"/>
        <v>2006</v>
      </c>
      <c r="K119" s="188"/>
      <c r="L119" s="189">
        <v>38388.28</v>
      </c>
      <c r="M119" s="190">
        <f t="shared" si="41"/>
        <v>25720.147599999997</v>
      </c>
      <c r="N119" s="190">
        <f t="shared" si="42"/>
        <v>428.66912666666661</v>
      </c>
      <c r="O119" s="190"/>
      <c r="P119" s="190">
        <f t="shared" si="43"/>
        <v>0</v>
      </c>
      <c r="Q119" s="190">
        <f t="shared" si="44"/>
        <v>38388.28</v>
      </c>
      <c r="R119" s="190">
        <f t="shared" si="45"/>
        <v>25720.147599999997</v>
      </c>
      <c r="S119" s="190">
        <f t="shared" si="46"/>
        <v>0</v>
      </c>
    </row>
    <row r="120" spans="1:19">
      <c r="A120" s="185"/>
      <c r="B120" s="185" t="s">
        <v>83</v>
      </c>
      <c r="C120" s="141">
        <v>7150</v>
      </c>
      <c r="D120" s="185" t="s">
        <v>94</v>
      </c>
      <c r="E120" s="186">
        <v>2001</v>
      </c>
      <c r="F120" s="186">
        <v>6</v>
      </c>
      <c r="G120" s="187">
        <v>0.33</v>
      </c>
      <c r="H120" s="188" t="s">
        <v>51</v>
      </c>
      <c r="I120" s="188">
        <v>5</v>
      </c>
      <c r="J120" s="188">
        <f t="shared" si="40"/>
        <v>2006</v>
      </c>
      <c r="K120" s="188"/>
      <c r="L120" s="189">
        <v>55284</v>
      </c>
      <c r="M120" s="190">
        <f t="shared" si="41"/>
        <v>37040.28</v>
      </c>
      <c r="N120" s="190">
        <f t="shared" si="42"/>
        <v>617.33799999999997</v>
      </c>
      <c r="O120" s="190"/>
      <c r="P120" s="190">
        <f t="shared" si="43"/>
        <v>0</v>
      </c>
      <c r="Q120" s="190">
        <f t="shared" si="44"/>
        <v>55284</v>
      </c>
      <c r="R120" s="190">
        <f t="shared" si="45"/>
        <v>37040.28</v>
      </c>
      <c r="S120" s="190">
        <f t="shared" si="46"/>
        <v>0</v>
      </c>
    </row>
    <row r="121" spans="1:19">
      <c r="A121" s="180"/>
      <c r="B121" s="180"/>
      <c r="C121" s="141">
        <v>713</v>
      </c>
      <c r="D121" s="180" t="s">
        <v>95</v>
      </c>
      <c r="E121" s="181">
        <v>2001</v>
      </c>
      <c r="F121" s="181">
        <v>11</v>
      </c>
      <c r="G121" s="182"/>
      <c r="H121" s="139" t="s">
        <v>51</v>
      </c>
      <c r="I121" s="139">
        <v>3</v>
      </c>
      <c r="J121" s="139">
        <f t="shared" si="40"/>
        <v>2004</v>
      </c>
      <c r="K121" s="139"/>
      <c r="L121" s="184">
        <v>673.55</v>
      </c>
      <c r="M121" s="124">
        <f t="shared" si="41"/>
        <v>673.55</v>
      </c>
      <c r="N121" s="124">
        <f t="shared" si="42"/>
        <v>18.709722222222222</v>
      </c>
      <c r="O121" s="124"/>
      <c r="P121" s="124">
        <f t="shared" si="43"/>
        <v>0</v>
      </c>
      <c r="Q121" s="124">
        <f t="shared" si="44"/>
        <v>673.55</v>
      </c>
      <c r="R121" s="124">
        <f t="shared" si="45"/>
        <v>673.55</v>
      </c>
      <c r="S121" s="124">
        <f t="shared" si="46"/>
        <v>0</v>
      </c>
    </row>
    <row r="122" spans="1:19">
      <c r="A122" s="180"/>
      <c r="B122" s="180"/>
      <c r="C122" s="141">
        <v>766</v>
      </c>
      <c r="D122" s="180" t="s">
        <v>96</v>
      </c>
      <c r="E122" s="181">
        <v>2001</v>
      </c>
      <c r="F122" s="181">
        <v>11</v>
      </c>
      <c r="G122" s="182"/>
      <c r="H122" s="139" t="s">
        <v>51</v>
      </c>
      <c r="I122" s="139">
        <v>3</v>
      </c>
      <c r="J122" s="139">
        <f t="shared" si="40"/>
        <v>2004</v>
      </c>
      <c r="K122" s="139"/>
      <c r="L122" s="184">
        <v>1513.58</v>
      </c>
      <c r="M122" s="124">
        <f t="shared" si="41"/>
        <v>1513.58</v>
      </c>
      <c r="N122" s="124">
        <f t="shared" si="42"/>
        <v>42.043888888888887</v>
      </c>
      <c r="O122" s="124"/>
      <c r="P122" s="124">
        <f t="shared" si="43"/>
        <v>0</v>
      </c>
      <c r="Q122" s="124">
        <f t="shared" si="44"/>
        <v>1513.58</v>
      </c>
      <c r="R122" s="124">
        <f t="shared" si="45"/>
        <v>1513.58</v>
      </c>
      <c r="S122" s="124">
        <f t="shared" si="46"/>
        <v>0</v>
      </c>
    </row>
    <row r="123" spans="1:19">
      <c r="A123" s="180"/>
      <c r="B123" s="180"/>
      <c r="C123" s="141">
        <v>728</v>
      </c>
      <c r="D123" s="180" t="s">
        <v>95</v>
      </c>
      <c r="E123" s="181">
        <v>2001</v>
      </c>
      <c r="F123" s="181">
        <v>11</v>
      </c>
      <c r="G123" s="182"/>
      <c r="H123" s="139" t="s">
        <v>51</v>
      </c>
      <c r="I123" s="139">
        <v>3</v>
      </c>
      <c r="J123" s="139">
        <f t="shared" si="40"/>
        <v>2004</v>
      </c>
      <c r="K123" s="139"/>
      <c r="L123" s="184">
        <v>4711.05</v>
      </c>
      <c r="M123" s="124">
        <f t="shared" si="41"/>
        <v>4711.05</v>
      </c>
      <c r="N123" s="124">
        <f t="shared" si="42"/>
        <v>130.86250000000001</v>
      </c>
      <c r="O123" s="124"/>
      <c r="P123" s="124">
        <f t="shared" si="43"/>
        <v>0</v>
      </c>
      <c r="Q123" s="124">
        <f t="shared" si="44"/>
        <v>4711.05</v>
      </c>
      <c r="R123" s="124">
        <f t="shared" si="45"/>
        <v>4711.05</v>
      </c>
      <c r="S123" s="124">
        <f t="shared" si="46"/>
        <v>0</v>
      </c>
    </row>
    <row r="124" spans="1:19">
      <c r="A124" s="180"/>
      <c r="B124" s="180" t="s">
        <v>83</v>
      </c>
      <c r="C124" s="141">
        <v>702</v>
      </c>
      <c r="D124" s="180" t="s">
        <v>95</v>
      </c>
      <c r="E124" s="181">
        <v>2001</v>
      </c>
      <c r="F124" s="181">
        <v>11</v>
      </c>
      <c r="G124" s="182"/>
      <c r="H124" s="139" t="s">
        <v>51</v>
      </c>
      <c r="I124" s="139">
        <v>3</v>
      </c>
      <c r="J124" s="139">
        <f t="shared" si="40"/>
        <v>2004</v>
      </c>
      <c r="K124" s="139"/>
      <c r="L124" s="184">
        <v>1963.83</v>
      </c>
      <c r="M124" s="124">
        <f t="shared" si="41"/>
        <v>1963.83</v>
      </c>
      <c r="N124" s="124">
        <f t="shared" si="42"/>
        <v>54.550833333333337</v>
      </c>
      <c r="O124" s="124"/>
      <c r="P124" s="124">
        <f t="shared" si="43"/>
        <v>0</v>
      </c>
      <c r="Q124" s="124">
        <f t="shared" si="44"/>
        <v>1963.83</v>
      </c>
      <c r="R124" s="124">
        <f t="shared" si="45"/>
        <v>1963.83</v>
      </c>
      <c r="S124" s="124">
        <f t="shared" si="46"/>
        <v>0</v>
      </c>
    </row>
    <row r="125" spans="1:19">
      <c r="A125" s="180"/>
      <c r="B125" s="180"/>
      <c r="C125" s="141"/>
      <c r="D125" s="180" t="s">
        <v>97</v>
      </c>
      <c r="E125" s="181">
        <v>2001</v>
      </c>
      <c r="F125" s="181">
        <v>11</v>
      </c>
      <c r="G125" s="182"/>
      <c r="H125" s="139" t="s">
        <v>51</v>
      </c>
      <c r="I125" s="139">
        <v>3</v>
      </c>
      <c r="J125" s="139">
        <f t="shared" si="40"/>
        <v>2004</v>
      </c>
      <c r="K125" s="139"/>
      <c r="L125" s="184">
        <v>1343.15</v>
      </c>
      <c r="M125" s="124">
        <f t="shared" si="41"/>
        <v>1343.15</v>
      </c>
      <c r="N125" s="124">
        <f t="shared" si="42"/>
        <v>37.309722222222227</v>
      </c>
      <c r="O125" s="124"/>
      <c r="P125" s="124">
        <f t="shared" si="43"/>
        <v>0</v>
      </c>
      <c r="Q125" s="124">
        <f t="shared" si="44"/>
        <v>1343.15</v>
      </c>
      <c r="R125" s="124">
        <f t="shared" si="45"/>
        <v>1343.15</v>
      </c>
      <c r="S125" s="124">
        <f t="shared" si="46"/>
        <v>0</v>
      </c>
    </row>
    <row r="126" spans="1:19">
      <c r="A126" s="180"/>
      <c r="B126" s="180"/>
      <c r="C126" s="141">
        <v>715</v>
      </c>
      <c r="D126" s="180" t="s">
        <v>67</v>
      </c>
      <c r="E126" s="181">
        <v>2002</v>
      </c>
      <c r="F126" s="181">
        <v>12</v>
      </c>
      <c r="G126" s="182"/>
      <c r="H126" s="139" t="s">
        <v>51</v>
      </c>
      <c r="I126" s="139">
        <v>3</v>
      </c>
      <c r="J126" s="139">
        <f t="shared" si="40"/>
        <v>2005</v>
      </c>
      <c r="K126" s="139"/>
      <c r="L126" s="184">
        <v>8341.15</v>
      </c>
      <c r="M126" s="124">
        <f t="shared" si="41"/>
        <v>8341.15</v>
      </c>
      <c r="N126" s="124">
        <f t="shared" si="42"/>
        <v>231.69861111111109</v>
      </c>
      <c r="O126" s="124"/>
      <c r="P126" s="124">
        <f t="shared" si="43"/>
        <v>0</v>
      </c>
      <c r="Q126" s="124">
        <f t="shared" si="44"/>
        <v>8341.15</v>
      </c>
      <c r="R126" s="124">
        <f t="shared" si="45"/>
        <v>8341.15</v>
      </c>
      <c r="S126" s="124">
        <f t="shared" si="46"/>
        <v>0</v>
      </c>
    </row>
    <row r="127" spans="1:19">
      <c r="A127" s="180"/>
      <c r="B127" s="180"/>
      <c r="C127" s="141">
        <v>7163</v>
      </c>
      <c r="D127" s="180" t="s">
        <v>103</v>
      </c>
      <c r="E127" s="181">
        <v>2004</v>
      </c>
      <c r="F127" s="181">
        <v>2</v>
      </c>
      <c r="G127" s="182"/>
      <c r="H127" s="139" t="s">
        <v>51</v>
      </c>
      <c r="I127" s="139">
        <v>3</v>
      </c>
      <c r="J127" s="139">
        <f t="shared" si="40"/>
        <v>2007</v>
      </c>
      <c r="K127" s="139"/>
      <c r="L127" s="184">
        <v>10600.14</v>
      </c>
      <c r="M127" s="124">
        <f t="shared" si="41"/>
        <v>10600.14</v>
      </c>
      <c r="N127" s="124">
        <f t="shared" si="42"/>
        <v>294.44833333333332</v>
      </c>
      <c r="O127" s="124"/>
      <c r="P127" s="124">
        <f t="shared" si="43"/>
        <v>0</v>
      </c>
      <c r="Q127" s="124">
        <f t="shared" si="44"/>
        <v>10600.14</v>
      </c>
      <c r="R127" s="124">
        <f t="shared" si="45"/>
        <v>10600.14</v>
      </c>
      <c r="S127" s="124">
        <f t="shared" si="46"/>
        <v>0</v>
      </c>
    </row>
    <row r="128" spans="1:19">
      <c r="A128" s="180"/>
      <c r="B128" s="180" t="s">
        <v>83</v>
      </c>
      <c r="C128" s="141">
        <v>7168</v>
      </c>
      <c r="D128" s="180" t="s">
        <v>105</v>
      </c>
      <c r="E128" s="181">
        <v>2004</v>
      </c>
      <c r="F128" s="181">
        <v>6</v>
      </c>
      <c r="G128" s="182">
        <v>0.2</v>
      </c>
      <c r="H128" s="139" t="s">
        <v>51</v>
      </c>
      <c r="I128" s="139">
        <v>7</v>
      </c>
      <c r="J128" s="139">
        <f t="shared" si="40"/>
        <v>2011</v>
      </c>
      <c r="K128" s="139"/>
      <c r="L128" s="184">
        <f>97800+8410</f>
        <v>106210</v>
      </c>
      <c r="M128" s="124">
        <f t="shared" si="41"/>
        <v>84968</v>
      </c>
      <c r="N128" s="124">
        <f t="shared" si="42"/>
        <v>1011.5238095238095</v>
      </c>
      <c r="O128" s="124"/>
      <c r="P128" s="124">
        <f t="shared" si="43"/>
        <v>0</v>
      </c>
      <c r="Q128" s="124">
        <f t="shared" si="44"/>
        <v>106210</v>
      </c>
      <c r="R128" s="124">
        <f t="shared" si="45"/>
        <v>84968</v>
      </c>
      <c r="S128" s="124">
        <f t="shared" si="46"/>
        <v>0</v>
      </c>
    </row>
    <row r="129" spans="1:19">
      <c r="A129" s="180"/>
      <c r="B129" s="180" t="s">
        <v>89</v>
      </c>
      <c r="C129" s="141">
        <v>163</v>
      </c>
      <c r="D129" s="180" t="s">
        <v>106</v>
      </c>
      <c r="E129" s="181">
        <v>2004</v>
      </c>
      <c r="F129" s="181">
        <v>7</v>
      </c>
      <c r="G129" s="182"/>
      <c r="H129" s="139" t="s">
        <v>51</v>
      </c>
      <c r="I129" s="139">
        <v>5</v>
      </c>
      <c r="J129" s="139">
        <f t="shared" si="40"/>
        <v>2009</v>
      </c>
      <c r="K129" s="139"/>
      <c r="L129" s="184">
        <v>2475</v>
      </c>
      <c r="M129" s="124">
        <f t="shared" si="41"/>
        <v>2475</v>
      </c>
      <c r="N129" s="124">
        <f t="shared" si="42"/>
        <v>41.25</v>
      </c>
      <c r="O129" s="124"/>
      <c r="P129" s="124">
        <f t="shared" si="43"/>
        <v>0</v>
      </c>
      <c r="Q129" s="124">
        <f t="shared" si="44"/>
        <v>2475</v>
      </c>
      <c r="R129" s="124">
        <f t="shared" si="45"/>
        <v>2475</v>
      </c>
      <c r="S129" s="124">
        <f t="shared" si="46"/>
        <v>0</v>
      </c>
    </row>
    <row r="130" spans="1:19">
      <c r="A130" s="180"/>
      <c r="B130" s="180" t="s">
        <v>89</v>
      </c>
      <c r="C130" s="141">
        <v>164</v>
      </c>
      <c r="D130" s="180" t="s">
        <v>106</v>
      </c>
      <c r="E130" s="181">
        <v>2004</v>
      </c>
      <c r="F130" s="181">
        <v>7</v>
      </c>
      <c r="G130" s="182"/>
      <c r="H130" s="139" t="s">
        <v>51</v>
      </c>
      <c r="I130" s="139">
        <v>5</v>
      </c>
      <c r="J130" s="139">
        <f t="shared" si="40"/>
        <v>2009</v>
      </c>
      <c r="K130" s="139"/>
      <c r="L130" s="184">
        <v>2475</v>
      </c>
      <c r="M130" s="124">
        <f t="shared" si="41"/>
        <v>2475</v>
      </c>
      <c r="N130" s="124">
        <f t="shared" si="42"/>
        <v>41.25</v>
      </c>
      <c r="O130" s="124"/>
      <c r="P130" s="124">
        <f t="shared" si="43"/>
        <v>0</v>
      </c>
      <c r="Q130" s="124">
        <f t="shared" si="44"/>
        <v>2475</v>
      </c>
      <c r="R130" s="124">
        <f t="shared" si="45"/>
        <v>2475</v>
      </c>
      <c r="S130" s="124">
        <f t="shared" si="46"/>
        <v>0</v>
      </c>
    </row>
    <row r="131" spans="1:19">
      <c r="A131" s="185"/>
      <c r="B131" s="185" t="s">
        <v>83</v>
      </c>
      <c r="C131" s="141">
        <v>668</v>
      </c>
      <c r="D131" s="185" t="s">
        <v>107</v>
      </c>
      <c r="E131" s="186">
        <v>2004</v>
      </c>
      <c r="F131" s="186">
        <v>8</v>
      </c>
      <c r="G131" s="187">
        <v>0.33</v>
      </c>
      <c r="H131" s="188" t="s">
        <v>51</v>
      </c>
      <c r="I131" s="188">
        <v>5</v>
      </c>
      <c r="J131" s="188">
        <f t="shared" si="40"/>
        <v>2009</v>
      </c>
      <c r="K131" s="188"/>
      <c r="L131" s="189">
        <f>17088+40742.91</f>
        <v>57830.91</v>
      </c>
      <c r="M131" s="190">
        <f t="shared" si="41"/>
        <v>38746.709700000007</v>
      </c>
      <c r="N131" s="190">
        <f t="shared" si="42"/>
        <v>645.77849500000013</v>
      </c>
      <c r="O131" s="190"/>
      <c r="P131" s="190">
        <f t="shared" si="43"/>
        <v>0</v>
      </c>
      <c r="Q131" s="190">
        <f t="shared" si="44"/>
        <v>57830.91</v>
      </c>
      <c r="R131" s="190">
        <f t="shared" si="45"/>
        <v>38746.709700000007</v>
      </c>
      <c r="S131" s="190">
        <f t="shared" si="46"/>
        <v>0</v>
      </c>
    </row>
    <row r="132" spans="1:19">
      <c r="A132" s="185"/>
      <c r="B132" s="185" t="s">
        <v>102</v>
      </c>
      <c r="C132" s="141">
        <v>915</v>
      </c>
      <c r="D132" s="185" t="s">
        <v>108</v>
      </c>
      <c r="E132" s="186">
        <v>2004</v>
      </c>
      <c r="F132" s="186">
        <v>12</v>
      </c>
      <c r="G132" s="187">
        <v>0.33</v>
      </c>
      <c r="H132" s="188" t="s">
        <v>51</v>
      </c>
      <c r="I132" s="188">
        <v>5</v>
      </c>
      <c r="J132" s="188">
        <f t="shared" si="40"/>
        <v>2009</v>
      </c>
      <c r="K132" s="188"/>
      <c r="L132" s="189">
        <f>158575.78-117089.76</f>
        <v>41486.020000000004</v>
      </c>
      <c r="M132" s="190">
        <f t="shared" si="41"/>
        <v>27795.633400000002</v>
      </c>
      <c r="N132" s="190">
        <f t="shared" si="42"/>
        <v>463.26055666666667</v>
      </c>
      <c r="O132" s="190"/>
      <c r="P132" s="190">
        <f t="shared" si="43"/>
        <v>0</v>
      </c>
      <c r="Q132" s="190">
        <f t="shared" si="44"/>
        <v>41486.020000000004</v>
      </c>
      <c r="R132" s="190">
        <f t="shared" si="45"/>
        <v>27795.633400000002</v>
      </c>
      <c r="S132" s="190">
        <f t="shared" si="46"/>
        <v>0</v>
      </c>
    </row>
    <row r="133" spans="1:19">
      <c r="A133" s="180"/>
      <c r="B133" s="180" t="s">
        <v>83</v>
      </c>
      <c r="C133" s="141">
        <v>668</v>
      </c>
      <c r="D133" s="180" t="s">
        <v>67</v>
      </c>
      <c r="E133" s="181">
        <v>2005</v>
      </c>
      <c r="F133" s="181">
        <v>3</v>
      </c>
      <c r="G133" s="182"/>
      <c r="H133" s="139" t="s">
        <v>51</v>
      </c>
      <c r="I133" s="139">
        <v>3</v>
      </c>
      <c r="J133" s="139">
        <f t="shared" si="40"/>
        <v>2008</v>
      </c>
      <c r="K133" s="139"/>
      <c r="L133" s="184">
        <f>13020.1+51.59-2611.2</f>
        <v>10460.490000000002</v>
      </c>
      <c r="M133" s="124">
        <f t="shared" si="41"/>
        <v>10460.490000000002</v>
      </c>
      <c r="N133" s="124">
        <f t="shared" si="42"/>
        <v>290.56916666666672</v>
      </c>
      <c r="O133" s="124"/>
      <c r="P133" s="124">
        <f t="shared" si="43"/>
        <v>0</v>
      </c>
      <c r="Q133" s="124">
        <f t="shared" si="44"/>
        <v>10460.490000000002</v>
      </c>
      <c r="R133" s="124">
        <f t="shared" si="45"/>
        <v>10460.490000000002</v>
      </c>
      <c r="S133" s="124">
        <f t="shared" si="46"/>
        <v>0</v>
      </c>
    </row>
    <row r="134" spans="1:19">
      <c r="A134" s="180"/>
      <c r="B134" s="180" t="s">
        <v>83</v>
      </c>
      <c r="C134" s="141">
        <v>668</v>
      </c>
      <c r="D134" s="180" t="s">
        <v>233</v>
      </c>
      <c r="E134" s="181">
        <v>2008</v>
      </c>
      <c r="F134" s="181">
        <v>5</v>
      </c>
      <c r="G134" s="182"/>
      <c r="H134" s="139" t="s">
        <v>51</v>
      </c>
      <c r="I134" s="139">
        <v>3</v>
      </c>
      <c r="J134" s="139">
        <f t="shared" si="40"/>
        <v>2011</v>
      </c>
      <c r="K134" s="139"/>
      <c r="L134" s="184">
        <v>9220.7199999999993</v>
      </c>
      <c r="M134" s="124">
        <f t="shared" si="41"/>
        <v>9220.7199999999993</v>
      </c>
      <c r="N134" s="124">
        <f t="shared" si="42"/>
        <v>256.13111111111112</v>
      </c>
      <c r="O134" s="124"/>
      <c r="P134" s="124">
        <f t="shared" si="43"/>
        <v>0</v>
      </c>
      <c r="Q134" s="124">
        <f t="shared" si="44"/>
        <v>9220.7199999999993</v>
      </c>
      <c r="R134" s="124">
        <f t="shared" si="45"/>
        <v>9220.7199999999993</v>
      </c>
      <c r="S134" s="124">
        <f t="shared" si="46"/>
        <v>0</v>
      </c>
    </row>
    <row r="135" spans="1:19">
      <c r="A135" s="180"/>
      <c r="B135" s="180" t="s">
        <v>102</v>
      </c>
      <c r="C135" s="141">
        <v>915</v>
      </c>
      <c r="D135" s="180" t="s">
        <v>214</v>
      </c>
      <c r="E135" s="181">
        <v>2008</v>
      </c>
      <c r="F135" s="181">
        <v>7</v>
      </c>
      <c r="G135" s="182"/>
      <c r="H135" s="139" t="s">
        <v>51</v>
      </c>
      <c r="I135" s="139">
        <v>3</v>
      </c>
      <c r="J135" s="139">
        <f t="shared" si="40"/>
        <v>2011</v>
      </c>
      <c r="K135" s="139"/>
      <c r="L135" s="184">
        <v>10731.6</v>
      </c>
      <c r="M135" s="124">
        <f t="shared" si="41"/>
        <v>10731.6</v>
      </c>
      <c r="N135" s="124">
        <f t="shared" si="42"/>
        <v>298.10000000000002</v>
      </c>
      <c r="O135" s="124"/>
      <c r="P135" s="124">
        <f t="shared" si="43"/>
        <v>0</v>
      </c>
      <c r="Q135" s="124">
        <f t="shared" si="44"/>
        <v>10731.6</v>
      </c>
      <c r="R135" s="124">
        <f t="shared" si="45"/>
        <v>10731.6</v>
      </c>
      <c r="S135" s="124">
        <f t="shared" si="46"/>
        <v>0</v>
      </c>
    </row>
    <row r="136" spans="1:19">
      <c r="A136" s="180"/>
      <c r="B136" s="180" t="s">
        <v>83</v>
      </c>
      <c r="C136" s="141"/>
      <c r="D136" s="180" t="s">
        <v>213</v>
      </c>
      <c r="E136" s="181">
        <v>2009</v>
      </c>
      <c r="F136" s="181">
        <v>5</v>
      </c>
      <c r="G136" s="182"/>
      <c r="H136" s="139" t="s">
        <v>51</v>
      </c>
      <c r="I136" s="139">
        <v>3</v>
      </c>
      <c r="J136" s="139">
        <f t="shared" si="40"/>
        <v>2012</v>
      </c>
      <c r="K136" s="139"/>
      <c r="L136" s="184">
        <v>13302.3</v>
      </c>
      <c r="M136" s="124">
        <f t="shared" si="41"/>
        <v>13302.3</v>
      </c>
      <c r="N136" s="124">
        <f t="shared" si="42"/>
        <v>369.50833333333327</v>
      </c>
      <c r="O136" s="124"/>
      <c r="P136" s="124">
        <f t="shared" si="43"/>
        <v>0</v>
      </c>
      <c r="Q136" s="124">
        <f t="shared" si="44"/>
        <v>13302.3</v>
      </c>
      <c r="R136" s="124">
        <f t="shared" si="45"/>
        <v>13302.3</v>
      </c>
      <c r="S136" s="124">
        <f t="shared" si="46"/>
        <v>0</v>
      </c>
    </row>
    <row r="137" spans="1:19">
      <c r="A137" s="180"/>
      <c r="B137" s="180"/>
      <c r="C137" s="141" t="s">
        <v>190</v>
      </c>
      <c r="D137" s="180" t="s">
        <v>220</v>
      </c>
      <c r="E137" s="181">
        <v>2009</v>
      </c>
      <c r="F137" s="181">
        <v>8</v>
      </c>
      <c r="G137" s="182"/>
      <c r="H137" s="139" t="s">
        <v>51</v>
      </c>
      <c r="I137" s="139">
        <v>7</v>
      </c>
      <c r="J137" s="139">
        <f t="shared" si="40"/>
        <v>2016</v>
      </c>
      <c r="K137" s="139"/>
      <c r="L137" s="184">
        <f>9*594.89+9*300</f>
        <v>8054.01</v>
      </c>
      <c r="M137" s="124">
        <f t="shared" si="41"/>
        <v>8054.01</v>
      </c>
      <c r="N137" s="124">
        <f t="shared" si="42"/>
        <v>95.881071428571431</v>
      </c>
      <c r="O137" s="124"/>
      <c r="P137" s="124">
        <f t="shared" si="43"/>
        <v>0</v>
      </c>
      <c r="Q137" s="124">
        <f t="shared" si="44"/>
        <v>8054.01</v>
      </c>
      <c r="R137" s="124">
        <f t="shared" si="45"/>
        <v>8054.01</v>
      </c>
      <c r="S137" s="124">
        <f t="shared" si="46"/>
        <v>0</v>
      </c>
    </row>
    <row r="138" spans="1:19">
      <c r="A138" s="185"/>
      <c r="B138" s="185" t="s">
        <v>53</v>
      </c>
      <c r="C138" s="141">
        <v>710</v>
      </c>
      <c r="D138" s="185" t="s">
        <v>84</v>
      </c>
      <c r="E138" s="186">
        <v>1997</v>
      </c>
      <c r="F138" s="186">
        <v>12</v>
      </c>
      <c r="G138" s="187">
        <v>0.33</v>
      </c>
      <c r="H138" s="188" t="s">
        <v>51</v>
      </c>
      <c r="I138" s="188">
        <v>5</v>
      </c>
      <c r="J138" s="188">
        <f t="shared" si="40"/>
        <v>2002</v>
      </c>
      <c r="K138" s="188"/>
      <c r="L138" s="189">
        <v>54506.06</v>
      </c>
      <c r="M138" s="190">
        <f t="shared" si="41"/>
        <v>36519.060199999993</v>
      </c>
      <c r="N138" s="190">
        <f t="shared" si="42"/>
        <v>608.65100333333328</v>
      </c>
      <c r="O138" s="190"/>
      <c r="P138" s="190">
        <f t="shared" si="43"/>
        <v>0</v>
      </c>
      <c r="Q138" s="190">
        <f t="shared" si="44"/>
        <v>54506.06</v>
      </c>
      <c r="R138" s="190">
        <f t="shared" si="45"/>
        <v>36519.060199999993</v>
      </c>
      <c r="S138" s="190">
        <f t="shared" si="46"/>
        <v>0</v>
      </c>
    </row>
    <row r="139" spans="1:19">
      <c r="A139" s="185"/>
      <c r="B139" s="185" t="s">
        <v>53</v>
      </c>
      <c r="C139" s="141" t="s">
        <v>92</v>
      </c>
      <c r="D139" s="185" t="s">
        <v>93</v>
      </c>
      <c r="E139" s="186">
        <v>2001</v>
      </c>
      <c r="F139" s="186">
        <v>6</v>
      </c>
      <c r="G139" s="187">
        <v>0.33</v>
      </c>
      <c r="H139" s="188" t="s">
        <v>51</v>
      </c>
      <c r="I139" s="188">
        <v>5</v>
      </c>
      <c r="J139" s="188">
        <f t="shared" si="40"/>
        <v>2006</v>
      </c>
      <c r="K139" s="188"/>
      <c r="L139" s="189">
        <v>10431.6</v>
      </c>
      <c r="M139" s="190">
        <v>6989.1720000000005</v>
      </c>
      <c r="N139" s="190">
        <v>116.48620000000001</v>
      </c>
      <c r="O139" s="190"/>
      <c r="P139" s="190">
        <f t="shared" si="43"/>
        <v>0</v>
      </c>
      <c r="Q139" s="190">
        <f t="shared" si="44"/>
        <v>10431.6</v>
      </c>
      <c r="R139" s="190">
        <f t="shared" si="45"/>
        <v>6989.1720000000005</v>
      </c>
      <c r="S139" s="190">
        <f t="shared" si="46"/>
        <v>0</v>
      </c>
    </row>
    <row r="140" spans="1:19">
      <c r="A140" s="180"/>
      <c r="B140" s="180" t="s">
        <v>53</v>
      </c>
      <c r="C140" s="141">
        <v>710</v>
      </c>
      <c r="D140" s="180" t="s">
        <v>104</v>
      </c>
      <c r="E140" s="181">
        <v>2004</v>
      </c>
      <c r="F140" s="181">
        <v>3</v>
      </c>
      <c r="G140" s="182"/>
      <c r="H140" s="139" t="s">
        <v>51</v>
      </c>
      <c r="I140" s="139">
        <v>3</v>
      </c>
      <c r="J140" s="139">
        <f t="shared" si="40"/>
        <v>2007</v>
      </c>
      <c r="K140" s="139"/>
      <c r="L140" s="184">
        <f>104.16+1082.55+2502.84+420+1650</f>
        <v>5759.55</v>
      </c>
      <c r="M140" s="124">
        <f>L140-L140*G140</f>
        <v>5759.55</v>
      </c>
      <c r="N140" s="124">
        <f>M140/I140/12</f>
        <v>159.98750000000001</v>
      </c>
      <c r="O140" s="124"/>
      <c r="P140" s="124">
        <f t="shared" si="43"/>
        <v>0</v>
      </c>
      <c r="Q140" s="124">
        <f t="shared" si="44"/>
        <v>5759.55</v>
      </c>
      <c r="R140" s="124">
        <f t="shared" si="45"/>
        <v>5759.55</v>
      </c>
      <c r="S140" s="124">
        <f t="shared" si="46"/>
        <v>0</v>
      </c>
    </row>
    <row r="141" spans="1:19">
      <c r="A141" s="185"/>
      <c r="B141" s="185" t="s">
        <v>86</v>
      </c>
      <c r="C141" s="141">
        <v>702</v>
      </c>
      <c r="D141" s="185" t="s">
        <v>87</v>
      </c>
      <c r="E141" s="186">
        <v>1997</v>
      </c>
      <c r="F141" s="186">
        <v>12</v>
      </c>
      <c r="G141" s="187">
        <v>0.33</v>
      </c>
      <c r="H141" s="188" t="s">
        <v>51</v>
      </c>
      <c r="I141" s="188">
        <v>5</v>
      </c>
      <c r="J141" s="188">
        <f t="shared" si="40"/>
        <v>2002</v>
      </c>
      <c r="K141" s="188"/>
      <c r="L141" s="189">
        <f>57210.56/2</f>
        <v>28605.279999999999</v>
      </c>
      <c r="M141" s="190">
        <f>L141-L141*G141</f>
        <v>19165.5376</v>
      </c>
      <c r="N141" s="190">
        <f>M141/I141/12</f>
        <v>319.42562666666669</v>
      </c>
      <c r="O141" s="190"/>
      <c r="P141" s="190">
        <f t="shared" si="43"/>
        <v>0</v>
      </c>
      <c r="Q141" s="190">
        <f t="shared" si="44"/>
        <v>28605.279999999999</v>
      </c>
      <c r="R141" s="190">
        <f t="shared" si="45"/>
        <v>19165.5376</v>
      </c>
      <c r="S141" s="190">
        <f t="shared" si="46"/>
        <v>0</v>
      </c>
    </row>
    <row r="142" spans="1:19">
      <c r="A142" s="142">
        <v>49932</v>
      </c>
      <c r="B142" s="142" t="s">
        <v>285</v>
      </c>
      <c r="C142" s="141">
        <v>604</v>
      </c>
      <c r="D142" s="142" t="s">
        <v>201</v>
      </c>
      <c r="E142" s="143">
        <v>2007</v>
      </c>
      <c r="F142" s="143">
        <v>4</v>
      </c>
      <c r="G142" s="144">
        <v>0.2</v>
      </c>
      <c r="H142" s="141" t="s">
        <v>51</v>
      </c>
      <c r="I142" s="141">
        <v>7</v>
      </c>
      <c r="J142" s="141">
        <f t="shared" si="40"/>
        <v>2014</v>
      </c>
      <c r="K142" s="141"/>
      <c r="L142" s="158">
        <v>166746.79999999999</v>
      </c>
      <c r="M142" s="123">
        <f>L142-L142*G142</f>
        <v>133397.44</v>
      </c>
      <c r="N142" s="123">
        <f>M142/I142/12</f>
        <v>1588.064761904762</v>
      </c>
      <c r="O142" s="123"/>
      <c r="P142" s="123">
        <f t="shared" si="43"/>
        <v>0</v>
      </c>
      <c r="Q142" s="123">
        <f t="shared" si="44"/>
        <v>166746.79999999999</v>
      </c>
      <c r="R142" s="123">
        <f t="shared" si="45"/>
        <v>133397.44</v>
      </c>
      <c r="S142" s="123">
        <f t="shared" si="46"/>
        <v>0</v>
      </c>
    </row>
    <row r="143" spans="1:19">
      <c r="A143" s="180"/>
      <c r="B143" s="180"/>
    </row>
    <row r="144" spans="1:19">
      <c r="A144" s="180"/>
      <c r="B144" s="180"/>
    </row>
    <row r="145" spans="1:19">
      <c r="A145" s="180"/>
      <c r="B145" s="180"/>
      <c r="D145" s="119" t="s">
        <v>312</v>
      </c>
    </row>
    <row r="146" spans="1:19">
      <c r="A146" s="142">
        <v>6867</v>
      </c>
      <c r="B146" s="142" t="s">
        <v>82</v>
      </c>
      <c r="C146" s="141">
        <v>709</v>
      </c>
      <c r="D146" s="142" t="s">
        <v>291</v>
      </c>
      <c r="E146" s="143">
        <v>1991</v>
      </c>
      <c r="F146" s="143">
        <v>7</v>
      </c>
      <c r="G146" s="144">
        <v>0.2</v>
      </c>
      <c r="H146" s="141" t="s">
        <v>51</v>
      </c>
      <c r="I146" s="141">
        <v>7</v>
      </c>
      <c r="J146" s="141">
        <f>E146+I146</f>
        <v>1998</v>
      </c>
      <c r="K146" s="141"/>
      <c r="L146" s="146">
        <v>67672</v>
      </c>
      <c r="M146" s="123">
        <f>L146-L146*G146</f>
        <v>54137.599999999999</v>
      </c>
      <c r="N146" s="123">
        <f>M146/I146/12</f>
        <v>644.49523809523805</v>
      </c>
      <c r="O146" s="123"/>
      <c r="P146" s="123">
        <f>+IF(K146&lt;=$N$6,0,O146)</f>
        <v>0</v>
      </c>
      <c r="Q146" s="123">
        <f>+IF($K146&lt;=$N$7,$L146,IF(($E146+($F146/12))&gt;=$N$7,0,((($M146-((($K146-$N$7)*12)*$N146))))))</f>
        <v>67672</v>
      </c>
      <c r="R146" s="123">
        <f>+IF(K146&lt;=$N$6,M146,IF(P146=0,Q146,Q146+P146))</f>
        <v>54137.599999999999</v>
      </c>
      <c r="S146" s="123">
        <f>+IF(P146=0,0,((L146-Q146)+(L146-R146))/2)</f>
        <v>0</v>
      </c>
    </row>
    <row r="147" spans="1:19">
      <c r="A147" s="180"/>
      <c r="B147" s="180"/>
    </row>
    <row r="148" spans="1:19">
      <c r="A148" s="180"/>
      <c r="B148" s="180"/>
    </row>
    <row r="149" spans="1:19">
      <c r="A149" s="180"/>
      <c r="B149" s="180"/>
    </row>
    <row r="150" spans="1:19">
      <c r="A150" s="180"/>
      <c r="B150" s="180"/>
    </row>
    <row r="151" spans="1:19">
      <c r="A151" s="180"/>
      <c r="B151" s="180"/>
    </row>
    <row r="152" spans="1:19">
      <c r="A152" s="142">
        <v>65444</v>
      </c>
      <c r="B152" s="142" t="s">
        <v>82</v>
      </c>
      <c r="C152" s="174">
        <v>228</v>
      </c>
      <c r="D152" s="142" t="s">
        <v>282</v>
      </c>
      <c r="E152" s="143">
        <v>1999</v>
      </c>
      <c r="F152" s="143">
        <v>1</v>
      </c>
      <c r="G152" s="144">
        <v>0.2</v>
      </c>
      <c r="H152" s="141" t="s">
        <v>51</v>
      </c>
      <c r="I152" s="141">
        <v>7</v>
      </c>
      <c r="J152" s="141">
        <f>E152+I152</f>
        <v>2006</v>
      </c>
      <c r="K152" s="141"/>
      <c r="L152" s="146">
        <f>99097+2372.92+3938.27</f>
        <v>105408.19</v>
      </c>
      <c r="M152" s="123">
        <f>L152-L152*G152</f>
        <v>84326.551999999996</v>
      </c>
      <c r="N152" s="123">
        <f>M152/I152/12</f>
        <v>1003.8875238095238</v>
      </c>
      <c r="O152" s="123"/>
      <c r="P152" s="123">
        <f>+IF(K152&lt;=$N$6,0,O152)</f>
        <v>0</v>
      </c>
      <c r="Q152" s="123">
        <f>+IF($K152&lt;=$N$7,$L152,IF(($E152+($F152/12))&gt;=$N$7,0,((($M152-((($K152-$N$7)*12)*$N152))))))</f>
        <v>105408.19</v>
      </c>
      <c r="R152" s="123">
        <f>+IF(K152&lt;=$N$6,M152,IF(P152=0,Q152,Q152+P152))</f>
        <v>84326.551999999996</v>
      </c>
      <c r="S152" s="123">
        <f>+IF(P152=0,0,((L152-Q152)+(L152-R152))/2)</f>
        <v>0</v>
      </c>
    </row>
    <row r="153" spans="1:19">
      <c r="A153" s="142">
        <v>65447</v>
      </c>
      <c r="B153" s="142"/>
      <c r="C153" s="174">
        <v>228</v>
      </c>
      <c r="D153" s="142" t="s">
        <v>283</v>
      </c>
      <c r="E153" s="143">
        <v>2006</v>
      </c>
      <c r="F153" s="143">
        <v>5</v>
      </c>
      <c r="G153" s="144">
        <v>0</v>
      </c>
      <c r="H153" s="141" t="s">
        <v>51</v>
      </c>
      <c r="I153" s="141">
        <v>3</v>
      </c>
      <c r="J153" s="141">
        <f>E153+I153</f>
        <v>2009</v>
      </c>
      <c r="K153" s="141"/>
      <c r="L153" s="146">
        <v>6643.33</v>
      </c>
      <c r="M153" s="123">
        <f>L153-L153*G153</f>
        <v>6643.33</v>
      </c>
      <c r="N153" s="123">
        <f>M153/I153/12</f>
        <v>184.53694444444443</v>
      </c>
      <c r="O153" s="123"/>
      <c r="P153" s="123">
        <f>+IF(K153&lt;=$N$6,0,O153)</f>
        <v>0</v>
      </c>
      <c r="Q153" s="123">
        <f>+IF($K153&lt;=$N$7,$L153,IF(($E153+($F153/12))&gt;=$N$7,0,((($M153-((($K153-$N$7)*12)*$N153))))))</f>
        <v>6643.33</v>
      </c>
      <c r="R153" s="123">
        <f>+IF(K153&lt;=$N$6,M153,IF(P153=0,Q153,Q153+P153))</f>
        <v>6643.33</v>
      </c>
      <c r="S153" s="123">
        <f>+IF(P153=0,0,((L153-Q153)+(L153-R153))/2)</f>
        <v>0</v>
      </c>
    </row>
    <row r="154" spans="1:19">
      <c r="A154" s="180"/>
      <c r="B154" s="180"/>
    </row>
    <row r="155" spans="1:19">
      <c r="A155" s="180"/>
      <c r="B155" s="180"/>
    </row>
    <row r="156" spans="1:19">
      <c r="A156" s="180"/>
      <c r="B156" s="180"/>
      <c r="D156" s="119" t="s">
        <v>397</v>
      </c>
    </row>
    <row r="157" spans="1:19">
      <c r="A157" s="142">
        <v>16062</v>
      </c>
      <c r="B157" s="142" t="s">
        <v>98</v>
      </c>
      <c r="C157" s="141">
        <v>7156</v>
      </c>
      <c r="D157" s="142" t="s">
        <v>99</v>
      </c>
      <c r="E157" s="143">
        <v>2002</v>
      </c>
      <c r="F157" s="143">
        <v>8</v>
      </c>
      <c r="G157" s="144">
        <v>0.33</v>
      </c>
      <c r="H157" s="141" t="s">
        <v>51</v>
      </c>
      <c r="I157" s="141">
        <v>5</v>
      </c>
      <c r="J157" s="141">
        <v>2007</v>
      </c>
      <c r="K157" s="141"/>
      <c r="L157" s="146">
        <v>65000</v>
      </c>
      <c r="M157" s="123">
        <v>43550</v>
      </c>
      <c r="N157" s="123">
        <v>725.83333333333337</v>
      </c>
      <c r="O157" s="123"/>
      <c r="P157" s="123">
        <f t="shared" ref="P157:P163" si="47">+IF(K157&lt;=$N$6,0,O157)</f>
        <v>0</v>
      </c>
      <c r="Q157" s="123">
        <f t="shared" ref="Q157:Q163" si="48">+IF($K157&lt;=$N$7,$L157,IF(($E157+($F157/12))&gt;=$N$7,0,((($M157-((($K157-$N$7)*12)*$N157))))))</f>
        <v>65000</v>
      </c>
      <c r="R157" s="123">
        <f t="shared" ref="R157:R163" si="49">+IF(K157&lt;=$N$6,M157,IF(P157=0,Q157,Q157+P157))</f>
        <v>43550</v>
      </c>
      <c r="S157" s="123">
        <f t="shared" ref="S157:S163" si="50">+IF(P157=0,0,((L157-Q157)+(L157-R157))/2)</f>
        <v>0</v>
      </c>
    </row>
    <row r="158" spans="1:19">
      <c r="A158" s="142"/>
      <c r="B158" s="142"/>
      <c r="C158" s="141">
        <v>7156</v>
      </c>
      <c r="D158" s="142" t="s">
        <v>221</v>
      </c>
      <c r="E158" s="143">
        <v>2009</v>
      </c>
      <c r="F158" s="143">
        <v>8</v>
      </c>
      <c r="G158" s="144"/>
      <c r="H158" s="141" t="s">
        <v>51</v>
      </c>
      <c r="I158" s="141">
        <v>7</v>
      </c>
      <c r="J158" s="141">
        <f t="shared" ref="J158:J163" si="51">E158+I158</f>
        <v>2016</v>
      </c>
      <c r="K158" s="141"/>
      <c r="L158" s="146">
        <f>584.89+300</f>
        <v>884.89</v>
      </c>
      <c r="M158" s="123">
        <f t="shared" ref="M158:M163" si="52">L158-L158*G158</f>
        <v>884.89</v>
      </c>
      <c r="N158" s="123">
        <f t="shared" ref="N158:N163" si="53">M158/I158/12</f>
        <v>10.534404761904762</v>
      </c>
      <c r="O158" s="123"/>
      <c r="P158" s="123">
        <f t="shared" si="47"/>
        <v>0</v>
      </c>
      <c r="Q158" s="123">
        <f t="shared" si="48"/>
        <v>884.89</v>
      </c>
      <c r="R158" s="123">
        <f t="shared" si="49"/>
        <v>884.89</v>
      </c>
      <c r="S158" s="123">
        <f t="shared" si="50"/>
        <v>0</v>
      </c>
    </row>
    <row r="159" spans="1:19">
      <c r="A159" s="142"/>
      <c r="B159" s="142" t="s">
        <v>98</v>
      </c>
      <c r="C159" s="141">
        <v>7156</v>
      </c>
      <c r="D159" s="142" t="s">
        <v>232</v>
      </c>
      <c r="E159" s="143">
        <v>2010</v>
      </c>
      <c r="F159" s="143">
        <v>6</v>
      </c>
      <c r="G159" s="144"/>
      <c r="H159" s="141" t="s">
        <v>51</v>
      </c>
      <c r="I159" s="141">
        <v>3</v>
      </c>
      <c r="J159" s="141">
        <f t="shared" si="51"/>
        <v>2013</v>
      </c>
      <c r="K159" s="141"/>
      <c r="L159" s="146">
        <v>5033.67</v>
      </c>
      <c r="M159" s="123">
        <f t="shared" si="52"/>
        <v>5033.67</v>
      </c>
      <c r="N159" s="123">
        <f t="shared" si="53"/>
        <v>139.82416666666668</v>
      </c>
      <c r="O159" s="123"/>
      <c r="P159" s="123">
        <f t="shared" si="47"/>
        <v>0</v>
      </c>
      <c r="Q159" s="123">
        <f t="shared" si="48"/>
        <v>5033.67</v>
      </c>
      <c r="R159" s="123">
        <f t="shared" si="49"/>
        <v>5033.67</v>
      </c>
      <c r="S159" s="123">
        <f t="shared" si="50"/>
        <v>0</v>
      </c>
    </row>
    <row r="160" spans="1:19">
      <c r="A160" s="142">
        <v>109828</v>
      </c>
      <c r="B160" s="142"/>
      <c r="C160" s="141">
        <v>7156</v>
      </c>
      <c r="D160" s="142" t="s">
        <v>277</v>
      </c>
      <c r="E160" s="143">
        <v>2013</v>
      </c>
      <c r="F160" s="143">
        <v>12</v>
      </c>
      <c r="G160" s="144">
        <v>0</v>
      </c>
      <c r="H160" s="141" t="s">
        <v>51</v>
      </c>
      <c r="I160" s="141">
        <v>7</v>
      </c>
      <c r="J160" s="141">
        <f t="shared" si="51"/>
        <v>2020</v>
      </c>
      <c r="K160" s="141"/>
      <c r="L160" s="146">
        <f>1404.28</f>
        <v>1404.28</v>
      </c>
      <c r="M160" s="123">
        <f t="shared" si="52"/>
        <v>1404.28</v>
      </c>
      <c r="N160" s="123">
        <f t="shared" si="53"/>
        <v>16.717619047619049</v>
      </c>
      <c r="O160" s="123"/>
      <c r="P160" s="123">
        <f t="shared" si="47"/>
        <v>0</v>
      </c>
      <c r="Q160" s="123">
        <f t="shared" si="48"/>
        <v>1404.28</v>
      </c>
      <c r="R160" s="123">
        <f t="shared" si="49"/>
        <v>1404.28</v>
      </c>
      <c r="S160" s="123">
        <f t="shared" si="50"/>
        <v>0</v>
      </c>
    </row>
    <row r="161" spans="1:20">
      <c r="A161" s="142">
        <v>85908</v>
      </c>
      <c r="B161" s="142" t="s">
        <v>113</v>
      </c>
      <c r="C161" s="141">
        <v>158</v>
      </c>
      <c r="D161" s="142" t="s">
        <v>246</v>
      </c>
      <c r="E161" s="143">
        <v>2011</v>
      </c>
      <c r="F161" s="143">
        <v>8</v>
      </c>
      <c r="G161" s="144">
        <v>0.33</v>
      </c>
      <c r="H161" s="141" t="s">
        <v>51</v>
      </c>
      <c r="I161" s="141">
        <v>5</v>
      </c>
      <c r="J161" s="141">
        <f t="shared" si="51"/>
        <v>2016</v>
      </c>
      <c r="K161" s="141"/>
      <c r="L161" s="146">
        <v>92612</v>
      </c>
      <c r="M161" s="123">
        <f t="shared" si="52"/>
        <v>62050.039999999994</v>
      </c>
      <c r="N161" s="123">
        <f t="shared" si="53"/>
        <v>1034.1673333333331</v>
      </c>
      <c r="O161" s="123"/>
      <c r="P161" s="123">
        <f t="shared" si="47"/>
        <v>0</v>
      </c>
      <c r="Q161" s="123">
        <f t="shared" si="48"/>
        <v>92612</v>
      </c>
      <c r="R161" s="123">
        <f t="shared" si="49"/>
        <v>62050.039999999994</v>
      </c>
      <c r="S161" s="123">
        <f t="shared" si="50"/>
        <v>0</v>
      </c>
    </row>
    <row r="162" spans="1:20">
      <c r="A162" s="142">
        <v>109828</v>
      </c>
      <c r="B162" s="142"/>
      <c r="C162" s="141">
        <v>158</v>
      </c>
      <c r="D162" s="142" t="s">
        <v>278</v>
      </c>
      <c r="E162" s="143">
        <v>2013</v>
      </c>
      <c r="F162" s="143">
        <v>12</v>
      </c>
      <c r="G162" s="144">
        <v>0</v>
      </c>
      <c r="H162" s="141" t="s">
        <v>51</v>
      </c>
      <c r="I162" s="141">
        <v>7</v>
      </c>
      <c r="J162" s="141">
        <f t="shared" si="51"/>
        <v>2020</v>
      </c>
      <c r="K162" s="141"/>
      <c r="L162" s="146">
        <f>1404.28*2</f>
        <v>2808.56</v>
      </c>
      <c r="M162" s="123">
        <f t="shared" si="52"/>
        <v>2808.56</v>
      </c>
      <c r="N162" s="123">
        <f t="shared" si="53"/>
        <v>33.435238095238098</v>
      </c>
      <c r="O162" s="123"/>
      <c r="P162" s="123">
        <f t="shared" si="47"/>
        <v>0</v>
      </c>
      <c r="Q162" s="123">
        <f t="shared" si="48"/>
        <v>2808.56</v>
      </c>
      <c r="R162" s="123">
        <f t="shared" si="49"/>
        <v>2808.56</v>
      </c>
      <c r="S162" s="123">
        <f t="shared" si="50"/>
        <v>0</v>
      </c>
    </row>
    <row r="163" spans="1:20">
      <c r="A163" s="142">
        <v>132130</v>
      </c>
      <c r="B163" s="142" t="s">
        <v>322</v>
      </c>
      <c r="C163" s="141">
        <v>440</v>
      </c>
      <c r="D163" s="142" t="s">
        <v>323</v>
      </c>
      <c r="E163" s="143">
        <v>2016</v>
      </c>
      <c r="F163" s="143">
        <v>3</v>
      </c>
      <c r="G163" s="144">
        <v>0</v>
      </c>
      <c r="H163" s="141" t="s">
        <v>51</v>
      </c>
      <c r="I163" s="141">
        <v>7</v>
      </c>
      <c r="J163" s="141">
        <f t="shared" si="51"/>
        <v>2023</v>
      </c>
      <c r="K163" s="141"/>
      <c r="L163" s="146">
        <v>302267.46999999997</v>
      </c>
      <c r="M163" s="123">
        <f t="shared" si="52"/>
        <v>302267.46999999997</v>
      </c>
      <c r="N163" s="123">
        <f t="shared" si="53"/>
        <v>3598.4222619047614</v>
      </c>
      <c r="O163" s="123"/>
      <c r="P163" s="123">
        <f t="shared" si="47"/>
        <v>0</v>
      </c>
      <c r="Q163" s="123">
        <f t="shared" si="48"/>
        <v>302267.46999999997</v>
      </c>
      <c r="R163" s="123">
        <f t="shared" si="49"/>
        <v>302267.46999999997</v>
      </c>
      <c r="S163" s="123">
        <f t="shared" si="50"/>
        <v>0</v>
      </c>
    </row>
    <row r="164" spans="1:20">
      <c r="A164" s="180"/>
      <c r="B164" s="180"/>
    </row>
    <row r="165" spans="1:20">
      <c r="A165" s="180"/>
      <c r="B165" s="180"/>
      <c r="D165" s="119" t="s">
        <v>450</v>
      </c>
    </row>
    <row r="166" spans="1:20">
      <c r="A166" s="160">
        <v>139650</v>
      </c>
      <c r="B166" s="160" t="s">
        <v>53</v>
      </c>
      <c r="C166" s="159">
        <v>7702</v>
      </c>
      <c r="D166" s="160" t="s">
        <v>330</v>
      </c>
      <c r="E166" s="161">
        <v>2016</v>
      </c>
      <c r="F166" s="161">
        <v>5</v>
      </c>
      <c r="G166" s="162">
        <v>0</v>
      </c>
      <c r="H166" s="159" t="s">
        <v>51</v>
      </c>
      <c r="I166" s="159">
        <v>3</v>
      </c>
      <c r="J166" s="159">
        <f>E166+I166</f>
        <v>2019</v>
      </c>
      <c r="K166" s="163">
        <f>+J166+(F166/12)</f>
        <v>2019.4166666666667</v>
      </c>
      <c r="L166" s="164">
        <v>12466</v>
      </c>
      <c r="M166" s="164">
        <f>L166-L166*G166</f>
        <v>12466</v>
      </c>
      <c r="N166" s="164">
        <f>M166/I166/12</f>
        <v>346.27777777777777</v>
      </c>
      <c r="O166" s="164">
        <f>N166*12</f>
        <v>4155.333333333333</v>
      </c>
      <c r="P166" s="164">
        <f>+IF(K166&lt;=$N$6,0,O166)</f>
        <v>0</v>
      </c>
      <c r="Q166" s="164">
        <f>+IF($K166&lt;=$N$7,$L166,IF(($E166+($F166/12))&gt;=$N$7,0,((($M166-((($K166-$N$7)*12)*$N166))))))</f>
        <v>12466</v>
      </c>
      <c r="R166" s="164">
        <f>+IF(K166&lt;=$N$6,M166,IF(P166=0,Q166,Q166+P166))</f>
        <v>12466</v>
      </c>
      <c r="S166" s="164">
        <f>+IF(P166=0,0,((L166-Q166)+(L166-R166))/2)</f>
        <v>0</v>
      </c>
    </row>
    <row r="167" spans="1:20">
      <c r="A167" s="142">
        <v>21743</v>
      </c>
      <c r="B167" s="142" t="s">
        <v>285</v>
      </c>
      <c r="C167" s="141">
        <v>705</v>
      </c>
      <c r="D167" s="142" t="s">
        <v>101</v>
      </c>
      <c r="E167" s="143">
        <v>2003</v>
      </c>
      <c r="F167" s="143">
        <v>9</v>
      </c>
      <c r="G167" s="144">
        <v>0</v>
      </c>
      <c r="H167" s="141" t="s">
        <v>51</v>
      </c>
      <c r="I167" s="141">
        <v>7</v>
      </c>
      <c r="J167" s="141">
        <f>E167+I167</f>
        <v>2010</v>
      </c>
      <c r="K167" s="145">
        <f>+J167+(F167/12)</f>
        <v>2010.75</v>
      </c>
      <c r="L167" s="146">
        <f>'2112 Trks - Orig.'!P13</f>
        <v>98343.104000000007</v>
      </c>
      <c r="M167" s="123">
        <f>L167-L167*G167</f>
        <v>98343.104000000007</v>
      </c>
      <c r="N167" s="123">
        <f>M167/I167/12</f>
        <v>1170.7512380952383</v>
      </c>
      <c r="O167" s="136">
        <f>N167*12</f>
        <v>14049.014857142858</v>
      </c>
      <c r="P167" s="136">
        <f>+IF(K167&lt;=$N$6,0,O167)</f>
        <v>0</v>
      </c>
      <c r="Q167" s="136">
        <f>+IF($K167&lt;=$N$7,$L167,IF(($E167+($F167/12))&gt;=$N$7,0,((($M167-((($K167-$N$7)*12)*$N167))))))</f>
        <v>98343.104000000007</v>
      </c>
      <c r="R167" s="136">
        <f>+IF(K167&lt;=$N$6,M167,IF(P167=0,Q167,Q167+P167))</f>
        <v>98343.104000000007</v>
      </c>
      <c r="S167" s="136">
        <f>+IF(P167=0,0,((L167-Q167)+(L167-R167))/2)</f>
        <v>0</v>
      </c>
      <c r="T167" s="157"/>
    </row>
    <row r="168" spans="1:20" s="156" customFormat="1">
      <c r="A168" s="149"/>
      <c r="B168" s="149"/>
      <c r="C168" s="148"/>
      <c r="D168" s="149"/>
      <c r="E168" s="150">
        <v>2018</v>
      </c>
      <c r="F168" s="150">
        <v>8</v>
      </c>
      <c r="G168" s="151">
        <v>0</v>
      </c>
      <c r="H168" s="148" t="s">
        <v>51</v>
      </c>
      <c r="I168" s="148">
        <f>+IF(J167-$M$3&gt;=3,J167-$M$3,3)</f>
        <v>2010</v>
      </c>
      <c r="J168" s="148">
        <f>E168+I168</f>
        <v>4028</v>
      </c>
      <c r="K168" s="152">
        <f>+J168+(F168/12)</f>
        <v>4028.6666666666665</v>
      </c>
      <c r="L168" s="153">
        <f>'2112 Trks - Orig.'!N13-'2112 Trks'!L167</f>
        <v>24585.775999999998</v>
      </c>
      <c r="M168" s="154">
        <f>L168-L168*G168</f>
        <v>24585.775999999998</v>
      </c>
      <c r="N168" s="154">
        <f>M168/I168/12</f>
        <v>1.0193107794361524</v>
      </c>
      <c r="O168" s="155">
        <f>N168*12</f>
        <v>12.231729353233829</v>
      </c>
      <c r="P168" s="155">
        <f>+IF(K168&lt;=$N$6,0,O168)</f>
        <v>12.231729353233829</v>
      </c>
      <c r="Q168" s="155">
        <f>+IF($K168&lt;=$N$7,$L168,IF(($E168+($F168/12))&gt;=$N$7,0,((($M168-((($K168-$N$7)*12)*$N168))))))</f>
        <v>48.926917412940384</v>
      </c>
      <c r="R168" s="155">
        <f>+IF(K168&lt;=$N$6,M168,IF(P168=0,Q168,Q168+P168))</f>
        <v>61.158646766174215</v>
      </c>
      <c r="S168" s="155">
        <f>+IF(P168=0,0,((L168-Q168)+(L168-R168))/2)</f>
        <v>24530.733217910441</v>
      </c>
      <c r="T168" s="147"/>
    </row>
    <row r="169" spans="1:20">
      <c r="A169" s="142">
        <v>107314</v>
      </c>
      <c r="B169" s="142" t="s">
        <v>273</v>
      </c>
      <c r="C169" s="141">
        <v>9130</v>
      </c>
      <c r="D169" s="142" t="s">
        <v>275</v>
      </c>
      <c r="E169" s="143">
        <v>2010</v>
      </c>
      <c r="F169" s="143">
        <v>12</v>
      </c>
      <c r="G169" s="144">
        <v>0</v>
      </c>
      <c r="H169" s="141" t="s">
        <v>51</v>
      </c>
      <c r="I169" s="141">
        <v>5</v>
      </c>
      <c r="J169" s="141">
        <f>E169+I169</f>
        <v>2015</v>
      </c>
      <c r="K169" s="145">
        <f>+J169+(F169/12)</f>
        <v>2016</v>
      </c>
      <c r="L169" s="136">
        <f>'2112 Trks - Orig.'!P70</f>
        <v>3954.4739999999997</v>
      </c>
      <c r="M169" s="136">
        <f>L169-L169*G169</f>
        <v>3954.4739999999997</v>
      </c>
      <c r="N169" s="136">
        <f>M169/I169/12</f>
        <v>65.907899999999998</v>
      </c>
      <c r="O169" s="136">
        <f>N169*12</f>
        <v>790.89480000000003</v>
      </c>
      <c r="P169" s="136">
        <f>+IF(K169&lt;=$N$6,0,O169)</f>
        <v>0</v>
      </c>
      <c r="Q169" s="136">
        <f>+IF($K169&lt;=$N$7,$L169,IF(($E169+($F169/12))&gt;=$N$7,0,((($M169-((($K169-$N$7)*12)*$N169))))))</f>
        <v>3954.4739999999997</v>
      </c>
      <c r="R169" s="136">
        <f>+IF(K169&lt;=$N$6,M169,IF(P169=0,Q169,Q169+P169))</f>
        <v>3954.4739999999997</v>
      </c>
      <c r="S169" s="136">
        <f>+IF(P169=0,0,((L169-Q169)+(L169-R169))/2)</f>
        <v>0</v>
      </c>
    </row>
    <row r="170" spans="1:20" s="156" customFormat="1">
      <c r="A170" s="149"/>
      <c r="B170" s="149"/>
      <c r="C170" s="148"/>
      <c r="D170" s="149"/>
      <c r="E170" s="150">
        <v>2018</v>
      </c>
      <c r="F170" s="150">
        <v>8</v>
      </c>
      <c r="G170" s="151">
        <v>0</v>
      </c>
      <c r="H170" s="148" t="s">
        <v>51</v>
      </c>
      <c r="I170" s="148">
        <f>+IF(J169-$M$3&gt;=3,J169-$M$3,3)</f>
        <v>2015</v>
      </c>
      <c r="J170" s="148">
        <f>E170+I170</f>
        <v>4033</v>
      </c>
      <c r="K170" s="152">
        <f>+J170+(F170/12)</f>
        <v>4033.6666666666665</v>
      </c>
      <c r="L170" s="155">
        <f>'2112 Trks - Orig.'!N70-'2112 Trks'!L169</f>
        <v>1947.7260000000001</v>
      </c>
      <c r="M170" s="155">
        <f>L170-L170*G170</f>
        <v>1947.7260000000001</v>
      </c>
      <c r="N170" s="155">
        <f>M170/I170/12</f>
        <v>8.0551116625310185E-2</v>
      </c>
      <c r="O170" s="155">
        <f>N170*12</f>
        <v>0.96661339950372227</v>
      </c>
      <c r="P170" s="155">
        <f>+IF(K170&lt;=$N$6,0,O170)</f>
        <v>0.96661339950372227</v>
      </c>
      <c r="Q170" s="155">
        <f>+IF($K170&lt;=$N$7,$L170,IF(($E170+($F170/12))&gt;=$N$7,0,((($M170-((($K170-$N$7)*12)*$N170))))))</f>
        <v>3.8664535980151413</v>
      </c>
      <c r="R170" s="155">
        <f>+IF(K170&lt;=$N$6,M170,IF(P170=0,Q170,Q170+P170))</f>
        <v>4.8330669975188636</v>
      </c>
      <c r="S170" s="155">
        <f>+IF(P170=0,0,((L170-Q170)+(L170-R170))/2)</f>
        <v>1943.3762397022331</v>
      </c>
    </row>
    <row r="171" spans="1:20">
      <c r="A171" s="180"/>
      <c r="B171" s="180"/>
    </row>
    <row r="172" spans="1:20">
      <c r="A172" s="180"/>
      <c r="B172" s="180"/>
      <c r="D172" s="119" t="s">
        <v>486</v>
      </c>
    </row>
    <row r="173" spans="1:20">
      <c r="A173" s="283">
        <v>193305</v>
      </c>
      <c r="B173" s="142"/>
      <c r="C173" s="141"/>
      <c r="D173" s="196" t="s">
        <v>413</v>
      </c>
      <c r="E173" s="143">
        <v>2008</v>
      </c>
      <c r="F173" s="143">
        <v>11</v>
      </c>
      <c r="G173" s="144">
        <v>0</v>
      </c>
      <c r="H173" s="141" t="s">
        <v>51</v>
      </c>
      <c r="I173" s="141">
        <v>3</v>
      </c>
      <c r="J173" s="141">
        <f t="shared" ref="J173:J181" si="54">E173+I173</f>
        <v>2011</v>
      </c>
      <c r="K173" s="145">
        <f t="shared" ref="K173:K181" si="55">+J173+(F173/12)</f>
        <v>2011.9166666666667</v>
      </c>
      <c r="L173" s="194">
        <v>28500</v>
      </c>
      <c r="M173" s="136">
        <f t="shared" ref="M173:M181" si="56">L173-L173*G173</f>
        <v>28500</v>
      </c>
      <c r="N173" s="136">
        <f t="shared" ref="N173:N181" si="57">M173/I173/12</f>
        <v>791.66666666666663</v>
      </c>
      <c r="O173" s="136">
        <f t="shared" ref="O173:O181" si="58">N173*12</f>
        <v>9500</v>
      </c>
      <c r="P173" s="136">
        <f t="shared" ref="P173:P183" si="59">+IF(K173&lt;=$N$6,0,O173)</f>
        <v>0</v>
      </c>
      <c r="Q173" s="136">
        <f t="shared" ref="Q173:Q183" si="60">+IF($K173&lt;=$N$7,$L173,IF(($E173+($F173/12))&gt;=$N$7,0,((($M173-((($K173-$N$7)*12)*$N173))))))</f>
        <v>28500</v>
      </c>
      <c r="R173" s="136">
        <f t="shared" ref="R173:R183" si="61">+IF(K173&lt;=$N$6,M173,IF(P173=0,Q173,Q173+P173))</f>
        <v>28500</v>
      </c>
      <c r="S173" s="136">
        <f t="shared" ref="S173:S181" si="62">+L173-R173</f>
        <v>0</v>
      </c>
    </row>
    <row r="174" spans="1:20">
      <c r="A174" s="283">
        <v>193302</v>
      </c>
      <c r="B174" s="142"/>
      <c r="C174" s="141"/>
      <c r="D174" s="193" t="s">
        <v>411</v>
      </c>
      <c r="E174" s="143">
        <v>2015</v>
      </c>
      <c r="F174" s="143">
        <v>9</v>
      </c>
      <c r="G174" s="144">
        <v>0</v>
      </c>
      <c r="H174" s="141" t="s">
        <v>51</v>
      </c>
      <c r="I174" s="141">
        <v>3</v>
      </c>
      <c r="J174" s="141">
        <f t="shared" si="54"/>
        <v>2018</v>
      </c>
      <c r="K174" s="145">
        <f t="shared" si="55"/>
        <v>2018.75</v>
      </c>
      <c r="L174" s="194">
        <v>3255</v>
      </c>
      <c r="M174" s="136">
        <f t="shared" si="56"/>
        <v>3255</v>
      </c>
      <c r="N174" s="136">
        <f t="shared" si="57"/>
        <v>90.416666666666671</v>
      </c>
      <c r="O174" s="136">
        <f t="shared" si="58"/>
        <v>1085</v>
      </c>
      <c r="P174" s="136">
        <f t="shared" si="59"/>
        <v>0</v>
      </c>
      <c r="Q174" s="136">
        <f t="shared" si="60"/>
        <v>3255</v>
      </c>
      <c r="R174" s="136">
        <f t="shared" si="61"/>
        <v>3255</v>
      </c>
      <c r="S174" s="136">
        <f t="shared" si="62"/>
        <v>0</v>
      </c>
    </row>
    <row r="175" spans="1:20">
      <c r="A175" s="283">
        <v>193303</v>
      </c>
      <c r="B175" s="142"/>
      <c r="C175" s="141"/>
      <c r="D175" s="195" t="s">
        <v>412</v>
      </c>
      <c r="E175" s="143">
        <v>2015</v>
      </c>
      <c r="F175" s="143">
        <v>9</v>
      </c>
      <c r="G175" s="144">
        <v>0</v>
      </c>
      <c r="H175" s="141" t="s">
        <v>51</v>
      </c>
      <c r="I175" s="141">
        <v>3</v>
      </c>
      <c r="J175" s="141">
        <f t="shared" si="54"/>
        <v>2018</v>
      </c>
      <c r="K175" s="145">
        <f t="shared" si="55"/>
        <v>2018.75</v>
      </c>
      <c r="L175" s="194">
        <v>500</v>
      </c>
      <c r="M175" s="136">
        <f t="shared" si="56"/>
        <v>500</v>
      </c>
      <c r="N175" s="136">
        <f t="shared" si="57"/>
        <v>13.888888888888888</v>
      </c>
      <c r="O175" s="136">
        <f t="shared" si="58"/>
        <v>166.66666666666666</v>
      </c>
      <c r="P175" s="136">
        <f t="shared" si="59"/>
        <v>0</v>
      </c>
      <c r="Q175" s="136">
        <f t="shared" si="60"/>
        <v>500</v>
      </c>
      <c r="R175" s="136">
        <f t="shared" si="61"/>
        <v>500</v>
      </c>
      <c r="S175" s="136">
        <f t="shared" si="62"/>
        <v>0</v>
      </c>
    </row>
    <row r="176" spans="1:20">
      <c r="A176" s="142">
        <v>46240</v>
      </c>
      <c r="B176" s="142" t="s">
        <v>83</v>
      </c>
      <c r="C176" s="141">
        <v>600</v>
      </c>
      <c r="D176" s="142" t="s">
        <v>200</v>
      </c>
      <c r="E176" s="143">
        <v>2006</v>
      </c>
      <c r="F176" s="143">
        <v>9</v>
      </c>
      <c r="G176" s="144">
        <v>0</v>
      </c>
      <c r="H176" s="141" t="s">
        <v>51</v>
      </c>
      <c r="I176" s="141">
        <v>7</v>
      </c>
      <c r="J176" s="141">
        <f t="shared" si="54"/>
        <v>2013</v>
      </c>
      <c r="K176" s="145">
        <f t="shared" si="55"/>
        <v>2013.75</v>
      </c>
      <c r="L176" s="158">
        <f>'2112 Trks - Orig.'!P15</f>
        <v>113797.768</v>
      </c>
      <c r="M176" s="123">
        <f t="shared" si="56"/>
        <v>113797.768</v>
      </c>
      <c r="N176" s="123">
        <f t="shared" si="57"/>
        <v>1354.7353333333333</v>
      </c>
      <c r="O176" s="136">
        <f t="shared" si="58"/>
        <v>16256.824000000001</v>
      </c>
      <c r="P176" s="136">
        <f t="shared" si="59"/>
        <v>0</v>
      </c>
      <c r="Q176" s="136">
        <f t="shared" si="60"/>
        <v>113797.768</v>
      </c>
      <c r="R176" s="136">
        <f t="shared" si="61"/>
        <v>113797.768</v>
      </c>
      <c r="S176" s="136">
        <f t="shared" si="62"/>
        <v>0</v>
      </c>
      <c r="T176" s="157"/>
    </row>
    <row r="177" spans="1:20" s="210" customFormat="1">
      <c r="A177" s="201"/>
      <c r="B177" s="201"/>
      <c r="C177" s="207"/>
      <c r="D177" s="207" t="s">
        <v>465</v>
      </c>
      <c r="E177" s="209">
        <v>2018</v>
      </c>
      <c r="F177" s="209">
        <v>9</v>
      </c>
      <c r="G177" s="208">
        <v>0</v>
      </c>
      <c r="H177" s="207" t="s">
        <v>51</v>
      </c>
      <c r="I177" s="207">
        <f>+IF(J176-$M$3&gt;=3,J176-$M$3,3)</f>
        <v>2013</v>
      </c>
      <c r="J177" s="207">
        <f t="shared" si="54"/>
        <v>4031</v>
      </c>
      <c r="K177" s="206">
        <f t="shared" si="55"/>
        <v>4031.75</v>
      </c>
      <c r="L177" s="205">
        <f>'2112 Trks - Orig.'!N15-'2112 Trks'!L176</f>
        <v>28449.441999999995</v>
      </c>
      <c r="M177" s="204">
        <f t="shared" si="56"/>
        <v>28449.441999999995</v>
      </c>
      <c r="N177" s="204">
        <f t="shared" si="57"/>
        <v>1.1777381188938565</v>
      </c>
      <c r="O177" s="203">
        <f t="shared" si="58"/>
        <v>14.132857426726279</v>
      </c>
      <c r="P177" s="203">
        <f t="shared" si="59"/>
        <v>14.132857426726279</v>
      </c>
      <c r="Q177" s="203">
        <f t="shared" si="60"/>
        <v>55.353691588010406</v>
      </c>
      <c r="R177" s="203">
        <f t="shared" si="61"/>
        <v>69.486549014736681</v>
      </c>
      <c r="S177" s="203">
        <f t="shared" si="62"/>
        <v>28379.955450985261</v>
      </c>
      <c r="T177" s="202"/>
    </row>
    <row r="178" spans="1:20">
      <c r="A178" s="142">
        <v>31774</v>
      </c>
      <c r="B178" s="142" t="s">
        <v>83</v>
      </c>
      <c r="C178" s="141">
        <v>601</v>
      </c>
      <c r="D178" s="142" t="s">
        <v>109</v>
      </c>
      <c r="E178" s="143">
        <v>2005</v>
      </c>
      <c r="F178" s="143">
        <v>5</v>
      </c>
      <c r="G178" s="144">
        <v>0</v>
      </c>
      <c r="H178" s="141" t="s">
        <v>51</v>
      </c>
      <c r="I178" s="141">
        <v>7</v>
      </c>
      <c r="J178" s="141">
        <f t="shared" si="54"/>
        <v>2012</v>
      </c>
      <c r="K178" s="145">
        <f t="shared" si="55"/>
        <v>2012.4166666666667</v>
      </c>
      <c r="L178" s="146">
        <f>'2112 Trks - Orig.'!P14</f>
        <v>107766.96</v>
      </c>
      <c r="M178" s="123">
        <f t="shared" si="56"/>
        <v>107766.96</v>
      </c>
      <c r="N178" s="123">
        <f t="shared" si="57"/>
        <v>1282.94</v>
      </c>
      <c r="O178" s="136">
        <f t="shared" si="58"/>
        <v>15395.28</v>
      </c>
      <c r="P178" s="136">
        <f t="shared" si="59"/>
        <v>0</v>
      </c>
      <c r="Q178" s="136">
        <f t="shared" si="60"/>
        <v>107766.96</v>
      </c>
      <c r="R178" s="136">
        <f t="shared" si="61"/>
        <v>107766.96</v>
      </c>
      <c r="S178" s="136">
        <f t="shared" si="62"/>
        <v>0</v>
      </c>
      <c r="T178" s="157"/>
    </row>
    <row r="179" spans="1:20" s="210" customFormat="1">
      <c r="A179" s="201"/>
      <c r="B179" s="201"/>
      <c r="C179" s="207"/>
      <c r="D179" s="207" t="s">
        <v>464</v>
      </c>
      <c r="E179" s="209">
        <v>2018</v>
      </c>
      <c r="F179" s="209">
        <v>9</v>
      </c>
      <c r="G179" s="208">
        <v>0</v>
      </c>
      <c r="H179" s="207" t="s">
        <v>51</v>
      </c>
      <c r="I179" s="207">
        <f>+IF(J178-$M$3&gt;=3,J178-$M$3,3)</f>
        <v>2012</v>
      </c>
      <c r="J179" s="207">
        <f t="shared" si="54"/>
        <v>4030</v>
      </c>
      <c r="K179" s="206">
        <f t="shared" si="55"/>
        <v>4030.75</v>
      </c>
      <c r="L179" s="205">
        <f>'2112 Trks - Orig.'!N14-'2112 Trks'!L178</f>
        <v>26941.740000000005</v>
      </c>
      <c r="M179" s="204">
        <f t="shared" si="56"/>
        <v>26941.740000000005</v>
      </c>
      <c r="N179" s="204">
        <f t="shared" si="57"/>
        <v>1.1158772365805172</v>
      </c>
      <c r="O179" s="203">
        <f t="shared" si="58"/>
        <v>13.390526838966206</v>
      </c>
      <c r="P179" s="203">
        <f t="shared" si="59"/>
        <v>13.390526838966206</v>
      </c>
      <c r="Q179" s="203">
        <f t="shared" si="60"/>
        <v>52.446230119283427</v>
      </c>
      <c r="R179" s="203">
        <f t="shared" si="61"/>
        <v>65.836756958249637</v>
      </c>
      <c r="S179" s="203">
        <f t="shared" si="62"/>
        <v>26875.903243041757</v>
      </c>
      <c r="T179" s="202"/>
    </row>
    <row r="180" spans="1:20">
      <c r="A180" s="142">
        <v>20084</v>
      </c>
      <c r="B180" s="142" t="s">
        <v>285</v>
      </c>
      <c r="C180" s="141">
        <v>703</v>
      </c>
      <c r="D180" s="142" t="s">
        <v>100</v>
      </c>
      <c r="E180" s="143">
        <v>2003</v>
      </c>
      <c r="F180" s="143">
        <v>5</v>
      </c>
      <c r="G180" s="144">
        <v>0</v>
      </c>
      <c r="H180" s="141" t="s">
        <v>51</v>
      </c>
      <c r="I180" s="141">
        <v>7</v>
      </c>
      <c r="J180" s="141">
        <f t="shared" si="54"/>
        <v>2010</v>
      </c>
      <c r="K180" s="145">
        <f t="shared" si="55"/>
        <v>2010.4166666666667</v>
      </c>
      <c r="L180" s="146">
        <f>'2112 Trks - Orig.'!P12</f>
        <v>96646.040000000008</v>
      </c>
      <c r="M180" s="123">
        <f t="shared" si="56"/>
        <v>96646.040000000008</v>
      </c>
      <c r="N180" s="123">
        <f t="shared" si="57"/>
        <v>1150.5480952380954</v>
      </c>
      <c r="O180" s="136">
        <f t="shared" si="58"/>
        <v>13806.577142857144</v>
      </c>
      <c r="P180" s="136">
        <f t="shared" si="59"/>
        <v>0</v>
      </c>
      <c r="Q180" s="136">
        <f t="shared" si="60"/>
        <v>96646.040000000008</v>
      </c>
      <c r="R180" s="136">
        <f t="shared" si="61"/>
        <v>96646.040000000008</v>
      </c>
      <c r="S180" s="136">
        <f t="shared" si="62"/>
        <v>0</v>
      </c>
      <c r="T180" s="147"/>
    </row>
    <row r="181" spans="1:20" s="210" customFormat="1">
      <c r="A181" s="201"/>
      <c r="B181" s="201"/>
      <c r="C181" s="207"/>
      <c r="D181" s="207" t="s">
        <v>463</v>
      </c>
      <c r="E181" s="209">
        <v>2018</v>
      </c>
      <c r="F181" s="209">
        <v>9</v>
      </c>
      <c r="G181" s="208">
        <v>0</v>
      </c>
      <c r="H181" s="207" t="s">
        <v>51</v>
      </c>
      <c r="I181" s="207">
        <f>+IF(J180-$M$3&gt;=3,J180-$M$3,3)</f>
        <v>2010</v>
      </c>
      <c r="J181" s="207">
        <f t="shared" si="54"/>
        <v>4028</v>
      </c>
      <c r="K181" s="206">
        <f t="shared" si="55"/>
        <v>4028.75</v>
      </c>
      <c r="L181" s="205">
        <f>'2112 Trks - Orig.'!N12-'2112 Trks'!L180</f>
        <v>24161.509999999995</v>
      </c>
      <c r="M181" s="204">
        <f t="shared" si="56"/>
        <v>24161.509999999995</v>
      </c>
      <c r="N181" s="204">
        <f t="shared" si="57"/>
        <v>1.0017209784411276</v>
      </c>
      <c r="O181" s="203">
        <f t="shared" si="58"/>
        <v>12.020651741293531</v>
      </c>
      <c r="P181" s="203">
        <f t="shared" si="59"/>
        <v>12.020651741293531</v>
      </c>
      <c r="Q181" s="203">
        <f t="shared" si="60"/>
        <v>47.08088598672839</v>
      </c>
      <c r="R181" s="203">
        <f t="shared" si="61"/>
        <v>59.101537728021924</v>
      </c>
      <c r="S181" s="203">
        <f t="shared" si="62"/>
        <v>24102.408462271971</v>
      </c>
      <c r="T181" s="202"/>
    </row>
    <row r="182" spans="1:20">
      <c r="A182" s="142">
        <v>49931</v>
      </c>
      <c r="B182" s="142" t="s">
        <v>202</v>
      </c>
      <c r="C182" s="141">
        <v>603</v>
      </c>
      <c r="D182" s="142" t="s">
        <v>201</v>
      </c>
      <c r="E182" s="143">
        <v>2007</v>
      </c>
      <c r="F182" s="143">
        <v>4</v>
      </c>
      <c r="G182" s="144">
        <v>0</v>
      </c>
      <c r="H182" s="141" t="s">
        <v>51</v>
      </c>
      <c r="I182" s="141">
        <v>7</v>
      </c>
      <c r="J182" s="141">
        <f>E182+I182</f>
        <v>2014</v>
      </c>
      <c r="K182" s="145">
        <f>+J182+(F182/12)</f>
        <v>2014.3333333333333</v>
      </c>
      <c r="L182" s="158">
        <f>'2112 Trks - Orig.'!P16</f>
        <v>133397.44</v>
      </c>
      <c r="M182" s="123">
        <f>L182-L182*G182</f>
        <v>133397.44</v>
      </c>
      <c r="N182" s="123">
        <f>M182/I182/12</f>
        <v>1588.064761904762</v>
      </c>
      <c r="O182" s="136">
        <f>N182*12</f>
        <v>19056.777142857143</v>
      </c>
      <c r="P182" s="136">
        <f t="shared" si="59"/>
        <v>0</v>
      </c>
      <c r="Q182" s="136">
        <f t="shared" si="60"/>
        <v>133397.44</v>
      </c>
      <c r="R182" s="136">
        <f t="shared" si="61"/>
        <v>133397.44</v>
      </c>
      <c r="S182" s="136">
        <f>+L182-R182</f>
        <v>0</v>
      </c>
      <c r="T182" s="157"/>
    </row>
    <row r="183" spans="1:20" s="210" customFormat="1">
      <c r="A183" s="201"/>
      <c r="B183" s="201"/>
      <c r="C183" s="207"/>
      <c r="D183" s="207" t="s">
        <v>466</v>
      </c>
      <c r="E183" s="209">
        <v>2018</v>
      </c>
      <c r="F183" s="209">
        <v>9</v>
      </c>
      <c r="G183" s="208">
        <v>0</v>
      </c>
      <c r="H183" s="207" t="s">
        <v>51</v>
      </c>
      <c r="I183" s="207">
        <f>+IF(J182-$M$3&gt;=3,J182-$M$3,3)</f>
        <v>2014</v>
      </c>
      <c r="J183" s="207">
        <f>E183+I183</f>
        <v>4032</v>
      </c>
      <c r="K183" s="206">
        <f>+J183+(F183/12)</f>
        <v>4032.75</v>
      </c>
      <c r="L183" s="205">
        <f>'2112 Trks - Orig.'!N16-'2112 Trks'!L182</f>
        <v>33349.359999999986</v>
      </c>
      <c r="M183" s="204">
        <f>L183-L183*G183</f>
        <v>33349.359999999986</v>
      </c>
      <c r="N183" s="204">
        <f>M183/I183/12</f>
        <v>1.379897384971863</v>
      </c>
      <c r="O183" s="203">
        <f>N183*12</f>
        <v>16.558768619662356</v>
      </c>
      <c r="P183" s="203">
        <f t="shared" si="59"/>
        <v>16.558768619662356</v>
      </c>
      <c r="Q183" s="203">
        <f t="shared" si="60"/>
        <v>64.855177093675593</v>
      </c>
      <c r="R183" s="203">
        <f t="shared" si="61"/>
        <v>81.413945713337952</v>
      </c>
      <c r="S183" s="203">
        <f>+L183-R183</f>
        <v>33267.946054286651</v>
      </c>
      <c r="T183" s="202"/>
    </row>
    <row r="184" spans="1:20">
      <c r="A184" s="180"/>
      <c r="B184" s="180"/>
    </row>
    <row r="185" spans="1:20">
      <c r="A185" s="180"/>
      <c r="B185" s="180"/>
      <c r="D185" s="119" t="s">
        <v>555</v>
      </c>
    </row>
    <row r="186" spans="1:20">
      <c r="A186" s="142">
        <v>228657</v>
      </c>
      <c r="B186" s="142" t="s">
        <v>366</v>
      </c>
      <c r="C186" s="141">
        <v>1026</v>
      </c>
      <c r="D186" s="141" t="s">
        <v>521</v>
      </c>
      <c r="E186" s="141">
        <v>2008</v>
      </c>
      <c r="F186" s="141">
        <v>11</v>
      </c>
      <c r="G186" s="141">
        <v>0</v>
      </c>
      <c r="H186" s="141" t="s">
        <v>51</v>
      </c>
      <c r="I186" s="141">
        <v>3</v>
      </c>
      <c r="J186" s="141">
        <f>E186+I186</f>
        <v>2011</v>
      </c>
      <c r="K186" s="145">
        <f>+J186+(F186/12)</f>
        <v>2011.9166666666667</v>
      </c>
      <c r="L186" s="146">
        <f>'2112 Trks - Orig.'!P16</f>
        <v>133397.44</v>
      </c>
      <c r="M186" s="136">
        <f>L186-L186*G186</f>
        <v>133397.44</v>
      </c>
      <c r="N186" s="123">
        <f>M186/I186/12</f>
        <v>3705.4844444444443</v>
      </c>
      <c r="O186" s="136">
        <f>N186*12</f>
        <v>44465.813333333332</v>
      </c>
      <c r="P186" s="136">
        <f>+IF(K186&lt;=$N$6,0,O186)</f>
        <v>0</v>
      </c>
      <c r="Q186" s="136">
        <f>+IF($K186&lt;=$N$7,$L186,IF(($E186+($F186/12))&gt;=$N$7,0,((($M186-((($K186-$N$7)*12)*$N186))))))</f>
        <v>133397.44</v>
      </c>
      <c r="R186" s="136">
        <f>+IF(K186&lt;=$N$6,M186,IF(P186=0,Q186,Q186+P186))</f>
        <v>133397.44</v>
      </c>
      <c r="S186" s="136">
        <f>+L186-R186</f>
        <v>0</v>
      </c>
    </row>
    <row r="187" spans="1:20">
      <c r="A187" s="283">
        <v>197491</v>
      </c>
      <c r="B187" s="142"/>
      <c r="C187" s="141"/>
      <c r="D187" s="192" t="s">
        <v>410</v>
      </c>
      <c r="E187" s="143">
        <v>2018</v>
      </c>
      <c r="F187" s="143">
        <v>5</v>
      </c>
      <c r="G187" s="144">
        <v>0</v>
      </c>
      <c r="H187" s="141" t="s">
        <v>51</v>
      </c>
      <c r="I187" s="141">
        <v>3</v>
      </c>
      <c r="J187" s="141">
        <f>E187+I187</f>
        <v>2021</v>
      </c>
      <c r="K187" s="145">
        <f>+J187+(F187/12)</f>
        <v>2021.4166666666667</v>
      </c>
      <c r="L187" s="136">
        <f>11743.29</f>
        <v>11743.29</v>
      </c>
      <c r="M187" s="136">
        <f>L187-L187*G187</f>
        <v>11743.29</v>
      </c>
      <c r="N187" s="136">
        <f>M187/I187/12</f>
        <v>326.20250000000004</v>
      </c>
      <c r="O187" s="136">
        <f>N187*12</f>
        <v>3914.4300000000003</v>
      </c>
      <c r="P187" s="136">
        <f>+IF(K187&lt;=$N$6,0,O187)</f>
        <v>0</v>
      </c>
      <c r="Q187" s="136">
        <f>+IF($K187&lt;=$N$7,$L187,IF(($E187+($F187/12))&gt;=$N$7,0,((($M187-((($K187-$N$7)*12)*$N187))))))</f>
        <v>11743.29</v>
      </c>
      <c r="R187" s="136">
        <f>+IF(K187&lt;=$N$6,M187,IF(P187=0,Q187,Q187+P187))</f>
        <v>11743.29</v>
      </c>
      <c r="S187" s="136">
        <f>+L187-R187</f>
        <v>0</v>
      </c>
    </row>
    <row r="188" spans="1:20">
      <c r="A188" s="283"/>
      <c r="B188" s="142"/>
      <c r="C188" s="141"/>
      <c r="D188" s="192"/>
      <c r="E188" s="143"/>
      <c r="F188" s="143"/>
      <c r="G188" s="144"/>
      <c r="H188" s="141"/>
      <c r="I188" s="141"/>
      <c r="J188" s="141"/>
      <c r="K188" s="145"/>
      <c r="L188" s="136"/>
      <c r="M188" s="136"/>
      <c r="N188" s="136"/>
      <c r="O188" s="136"/>
      <c r="P188" s="136"/>
      <c r="Q188" s="136"/>
      <c r="R188" s="136"/>
      <c r="S188" s="136"/>
    </row>
    <row r="189" spans="1:20">
      <c r="A189" s="283"/>
      <c r="B189" s="142"/>
      <c r="C189" s="141"/>
      <c r="D189" s="192"/>
      <c r="E189" s="143"/>
      <c r="F189" s="143"/>
      <c r="G189" s="144"/>
      <c r="H189" s="141"/>
      <c r="I189" s="141"/>
      <c r="J189" s="141"/>
      <c r="K189" s="145"/>
      <c r="L189" s="136"/>
      <c r="M189" s="136"/>
      <c r="N189" s="136"/>
      <c r="O189" s="136"/>
      <c r="P189" s="136"/>
      <c r="Q189" s="136"/>
      <c r="R189" s="136"/>
      <c r="S189" s="136"/>
    </row>
    <row r="190" spans="1:20">
      <c r="A190" s="283"/>
      <c r="B190" s="142"/>
      <c r="C190" s="141"/>
      <c r="D190" s="119" t="s">
        <v>1880</v>
      </c>
      <c r="E190" s="143"/>
      <c r="F190" s="143"/>
      <c r="G190" s="144"/>
      <c r="H190" s="141"/>
      <c r="I190" s="141"/>
      <c r="J190" s="141"/>
      <c r="K190" s="145"/>
      <c r="L190" s="136"/>
      <c r="M190" s="136"/>
      <c r="N190" s="136"/>
      <c r="O190" s="136"/>
      <c r="P190" s="136"/>
      <c r="Q190" s="136"/>
      <c r="R190" s="136"/>
      <c r="S190" s="136"/>
    </row>
    <row r="191" spans="1:20">
      <c r="A191" s="142">
        <v>34942</v>
      </c>
      <c r="B191" s="142" t="s">
        <v>53</v>
      </c>
      <c r="C191" s="141">
        <v>401</v>
      </c>
      <c r="D191" s="142" t="s">
        <v>110</v>
      </c>
      <c r="E191" s="143">
        <v>2005</v>
      </c>
      <c r="F191" s="143">
        <v>5</v>
      </c>
      <c r="G191" s="144">
        <v>0</v>
      </c>
      <c r="H191" s="141" t="s">
        <v>51</v>
      </c>
      <c r="I191" s="141">
        <v>7</v>
      </c>
      <c r="J191" s="141">
        <f>E191+I191</f>
        <v>2012</v>
      </c>
      <c r="K191" s="145">
        <f>+J191+(F191/12)</f>
        <v>2012.4166666666667</v>
      </c>
      <c r="L191" s="170">
        <f>'2112 Trks - Orig.'!P40</f>
        <v>132864.136</v>
      </c>
      <c r="M191" s="136">
        <f>L191-L191*G191</f>
        <v>132864.136</v>
      </c>
      <c r="N191" s="136">
        <f>M191/I191/12</f>
        <v>1581.7159047619045</v>
      </c>
      <c r="O191" s="136">
        <f>N191*12</f>
        <v>18980.590857142855</v>
      </c>
      <c r="P191" s="136">
        <f>+IF(K191&lt;=$N$6,0,O191)</f>
        <v>0</v>
      </c>
      <c r="Q191" s="136">
        <f>+IF($K191&lt;=$N$7,$L191,IF(($E191+($F191/12))&gt;=$N$7,0,((($M191-((($K191-$N$7)*12)*$N191))))))</f>
        <v>132864.136</v>
      </c>
      <c r="R191" s="136">
        <f>+IF(K191&lt;=$N$6,M191,IF(P191=0,Q191,Q191+P191))</f>
        <v>132864.136</v>
      </c>
      <c r="S191" s="136">
        <f>+L191-R191</f>
        <v>0</v>
      </c>
    </row>
    <row r="192" spans="1:20" s="210" customFormat="1">
      <c r="A192" s="201"/>
      <c r="B192" s="201"/>
      <c r="C192" s="207"/>
      <c r="D192" s="207" t="s">
        <v>472</v>
      </c>
      <c r="E192" s="209">
        <v>2018</v>
      </c>
      <c r="F192" s="209">
        <v>9</v>
      </c>
      <c r="G192" s="208">
        <v>0</v>
      </c>
      <c r="H192" s="207" t="s">
        <v>51</v>
      </c>
      <c r="I192" s="207">
        <f>+IF(J191-$M$3&gt;=3,J191-$M$3,3)</f>
        <v>2012</v>
      </c>
      <c r="J192" s="207">
        <f>E192+I192</f>
        <v>4030</v>
      </c>
      <c r="K192" s="206">
        <f>+J192+(F192/12)</f>
        <v>4030.75</v>
      </c>
      <c r="L192" s="200">
        <f>'2112 Trks - Orig.'!N40-'2112 Trks'!L191</f>
        <v>33216.033999999985</v>
      </c>
      <c r="M192" s="203">
        <f>L192-L192*G192</f>
        <v>33216.033999999985</v>
      </c>
      <c r="N192" s="203">
        <f>M192/I192/12</f>
        <v>1.3757469350563281</v>
      </c>
      <c r="O192" s="203">
        <f>N192*12</f>
        <v>16.508963220675938</v>
      </c>
      <c r="P192" s="203">
        <f>+IF(K192&lt;=$N$6,0,O192)</f>
        <v>16.508963220675938</v>
      </c>
      <c r="Q192" s="203">
        <f>+IF($K192&lt;=$N$7,$L192,IF(($E192+($F192/12))&gt;=$N$7,0,((($M192-((($K192-$N$7)*12)*$N192))))))</f>
        <v>64.660105947645206</v>
      </c>
      <c r="R192" s="203">
        <f>+IF(K192&lt;=$N$6,M192,IF(P192=0,Q192,Q192+P192))</f>
        <v>81.169069168321144</v>
      </c>
      <c r="S192" s="203">
        <f>+L192-R192</f>
        <v>33134.864930831667</v>
      </c>
    </row>
    <row r="193" spans="1:20">
      <c r="A193" s="142">
        <v>118505</v>
      </c>
      <c r="B193" s="142" t="s">
        <v>53</v>
      </c>
      <c r="C193" s="141">
        <v>401</v>
      </c>
      <c r="D193" s="142" t="s">
        <v>303</v>
      </c>
      <c r="E193" s="143">
        <v>2014</v>
      </c>
      <c r="F193" s="143">
        <v>12</v>
      </c>
      <c r="G193" s="144">
        <v>0</v>
      </c>
      <c r="H193" s="141" t="s">
        <v>51</v>
      </c>
      <c r="I193" s="141">
        <v>3</v>
      </c>
      <c r="J193" s="141">
        <f>E193+I193</f>
        <v>2017</v>
      </c>
      <c r="K193" s="145">
        <f>+J193+(F193/12)</f>
        <v>2018</v>
      </c>
      <c r="L193" s="136">
        <v>6532.56</v>
      </c>
      <c r="M193" s="136">
        <f>L193-L193*G193</f>
        <v>6532.56</v>
      </c>
      <c r="N193" s="136">
        <f>M193/I193/12</f>
        <v>181.46</v>
      </c>
      <c r="O193" s="136">
        <f>N193*12</f>
        <v>2177.52</v>
      </c>
      <c r="P193" s="136">
        <f>+IF(K193&lt;=$N$6,0,O193)</f>
        <v>0</v>
      </c>
      <c r="Q193" s="136">
        <f>+IF($K193&lt;=$N$7,$L193,IF(($E193+($F193/12))&gt;=$N$7,0,((($M193-((($K193-$N$7)*12)*$N193))))))</f>
        <v>6532.56</v>
      </c>
      <c r="R193" s="136">
        <f>+IF(K193&lt;=$N$6,M193,IF(P193=0,Q193,Q193+P193))</f>
        <v>6532.56</v>
      </c>
      <c r="S193" s="136">
        <f>+L193-R193</f>
        <v>0</v>
      </c>
    </row>
    <row r="194" spans="1:20">
      <c r="A194" s="142">
        <v>167087</v>
      </c>
      <c r="B194" s="142" t="s">
        <v>53</v>
      </c>
      <c r="C194" s="141">
        <v>401</v>
      </c>
      <c r="D194" s="171" t="s">
        <v>341</v>
      </c>
      <c r="E194" s="143">
        <v>2016</v>
      </c>
      <c r="F194" s="143">
        <v>4</v>
      </c>
      <c r="G194" s="144">
        <v>0</v>
      </c>
      <c r="H194" s="141" t="s">
        <v>51</v>
      </c>
      <c r="I194" s="141">
        <v>3</v>
      </c>
      <c r="J194" s="141">
        <f>E194+I194</f>
        <v>2019</v>
      </c>
      <c r="K194" s="145">
        <f>+J194+(F194/12)</f>
        <v>2019.3333333333333</v>
      </c>
      <c r="L194" s="136">
        <v>27913.74</v>
      </c>
      <c r="M194" s="136">
        <f>L194-L194*G194</f>
        <v>27913.74</v>
      </c>
      <c r="N194" s="136">
        <f>M194/I194/12</f>
        <v>775.38166666666666</v>
      </c>
      <c r="O194" s="136">
        <f>N194*12</f>
        <v>9304.58</v>
      </c>
      <c r="P194" s="136">
        <f>+IF(K194&lt;=$N$6,0,O194)</f>
        <v>0</v>
      </c>
      <c r="Q194" s="136">
        <f>+IF($K194&lt;=$N$7,$L194,IF(($E194+($F194/12))&gt;=$N$7,0,((($M194-((($K194-$N$7)*12)*$N194))))))</f>
        <v>27913.74</v>
      </c>
      <c r="R194" s="136">
        <f>+IF(K194&lt;=$N$6,M194,IF(P194=0,Q194,Q194+P194))</f>
        <v>27913.74</v>
      </c>
      <c r="S194" s="136">
        <f>+L194-R194</f>
        <v>0</v>
      </c>
    </row>
    <row r="195" spans="1:20">
      <c r="A195" s="180"/>
      <c r="B195" s="180"/>
    </row>
    <row r="196" spans="1:20">
      <c r="A196" s="180"/>
      <c r="B196" s="180"/>
      <c r="D196" s="119" t="s">
        <v>2142</v>
      </c>
    </row>
    <row r="197" spans="1:20">
      <c r="A197" s="142">
        <v>72014</v>
      </c>
      <c r="B197" s="142" t="s">
        <v>223</v>
      </c>
      <c r="C197" s="141">
        <v>800</v>
      </c>
      <c r="D197" s="142" t="s">
        <v>226</v>
      </c>
      <c r="E197" s="143">
        <v>2009</v>
      </c>
      <c r="F197" s="143">
        <v>12</v>
      </c>
      <c r="G197" s="144">
        <v>0</v>
      </c>
      <c r="H197" s="141" t="s">
        <v>51</v>
      </c>
      <c r="I197" s="141">
        <v>7</v>
      </c>
      <c r="J197" s="141">
        <f t="shared" ref="J197:J210" si="63">E197+I197</f>
        <v>2016</v>
      </c>
      <c r="K197" s="145">
        <f t="shared" ref="K197:K210" si="64">+J197+(F197/12)</f>
        <v>2017</v>
      </c>
      <c r="L197" s="158">
        <f>'2112 Trks - Orig.'!P19</f>
        <v>219720.27200000003</v>
      </c>
      <c r="M197" s="136">
        <f t="shared" ref="M197:M210" si="65">L197-L197*G197</f>
        <v>219720.27200000003</v>
      </c>
      <c r="N197" s="123">
        <f t="shared" ref="N197:N210" si="66">M197/I197/12</f>
        <v>2615.7175238095242</v>
      </c>
      <c r="O197" s="136">
        <f t="shared" ref="O197:O210" si="67">N197*12</f>
        <v>31388.610285714291</v>
      </c>
      <c r="P197" s="490">
        <f t="shared" ref="P197:P210" si="68">+IF(K197&lt;=$N$6,0,O197)</f>
        <v>0</v>
      </c>
      <c r="Q197" s="490">
        <f t="shared" ref="Q197:Q210" si="69">+IF($K197&lt;=$N$7,$L197,IF(($E197+($F197/12))&gt;=$N$7,0,((($M197-((($K197-$N$7)*12)*$N197))))))</f>
        <v>219720.27200000003</v>
      </c>
      <c r="R197" s="136">
        <f t="shared" ref="R197:R210" si="70">+IF(K197&lt;=$N$6,M197,IF(P197=0,Q197,Q197+P197))</f>
        <v>219720.27200000003</v>
      </c>
      <c r="S197" s="136">
        <f t="shared" ref="S197:S210" si="71">+L197-R197</f>
        <v>0</v>
      </c>
    </row>
    <row r="198" spans="1:20" s="210" customFormat="1">
      <c r="A198" s="201"/>
      <c r="B198" s="201"/>
      <c r="C198" s="207"/>
      <c r="D198" s="207" t="s">
        <v>468</v>
      </c>
      <c r="E198" s="209">
        <v>2018</v>
      </c>
      <c r="F198" s="209">
        <v>9</v>
      </c>
      <c r="G198" s="208">
        <v>0</v>
      </c>
      <c r="H198" s="207" t="s">
        <v>51</v>
      </c>
      <c r="I198" s="207">
        <f>+IF(J197-$M$3&gt;=3,J197-$M$3,3)</f>
        <v>2016</v>
      </c>
      <c r="J198" s="207">
        <f t="shared" si="63"/>
        <v>4034</v>
      </c>
      <c r="K198" s="206">
        <f t="shared" si="64"/>
        <v>4034.75</v>
      </c>
      <c r="L198" s="205">
        <f>'2112 Trks - Orig.'!N19-'2112 Trks'!L197</f>
        <v>54930.067999999999</v>
      </c>
      <c r="M198" s="203">
        <f t="shared" si="65"/>
        <v>54930.067999999999</v>
      </c>
      <c r="N198" s="204">
        <f t="shared" si="66"/>
        <v>2.2705881283068785</v>
      </c>
      <c r="O198" s="203">
        <f t="shared" si="67"/>
        <v>27.247057539682544</v>
      </c>
      <c r="P198" s="491">
        <f t="shared" si="68"/>
        <v>27.247057539682544</v>
      </c>
      <c r="Q198" s="491">
        <f t="shared" si="69"/>
        <v>106.71764203041676</v>
      </c>
      <c r="R198" s="203">
        <f t="shared" si="70"/>
        <v>133.9646995700993</v>
      </c>
      <c r="S198" s="203">
        <f t="shared" si="71"/>
        <v>54796.103300429902</v>
      </c>
      <c r="T198" s="492"/>
    </row>
    <row r="199" spans="1:20">
      <c r="A199" s="142">
        <v>72015</v>
      </c>
      <c r="B199" s="142" t="s">
        <v>223</v>
      </c>
      <c r="C199" s="141">
        <v>802</v>
      </c>
      <c r="D199" s="142" t="s">
        <v>228</v>
      </c>
      <c r="E199" s="143">
        <v>2009</v>
      </c>
      <c r="F199" s="143">
        <v>12</v>
      </c>
      <c r="G199" s="144">
        <v>0</v>
      </c>
      <c r="H199" s="141" t="s">
        <v>51</v>
      </c>
      <c r="I199" s="141">
        <v>7</v>
      </c>
      <c r="J199" s="141">
        <f t="shared" si="63"/>
        <v>2016</v>
      </c>
      <c r="K199" s="145">
        <f t="shared" si="64"/>
        <v>2017</v>
      </c>
      <c r="L199" s="158">
        <f>'2112 Trks - Orig.'!P21</f>
        <v>219720.27200000003</v>
      </c>
      <c r="M199" s="136">
        <f t="shared" si="65"/>
        <v>219720.27200000003</v>
      </c>
      <c r="N199" s="123">
        <f t="shared" si="66"/>
        <v>2615.7175238095242</v>
      </c>
      <c r="O199" s="136">
        <f t="shared" si="67"/>
        <v>31388.610285714291</v>
      </c>
      <c r="P199" s="490">
        <f t="shared" si="68"/>
        <v>0</v>
      </c>
      <c r="Q199" s="490">
        <f t="shared" si="69"/>
        <v>219720.27200000003</v>
      </c>
      <c r="R199" s="136">
        <f t="shared" si="70"/>
        <v>219720.27200000003</v>
      </c>
      <c r="S199" s="136">
        <f t="shared" si="71"/>
        <v>0</v>
      </c>
    </row>
    <row r="200" spans="1:20" s="210" customFormat="1">
      <c r="A200" s="201"/>
      <c r="B200" s="201"/>
      <c r="C200" s="207"/>
      <c r="D200" s="207" t="s">
        <v>470</v>
      </c>
      <c r="E200" s="209">
        <v>2018</v>
      </c>
      <c r="F200" s="209">
        <v>9</v>
      </c>
      <c r="G200" s="208">
        <v>0</v>
      </c>
      <c r="H200" s="207" t="s">
        <v>51</v>
      </c>
      <c r="I200" s="207">
        <f>+IF(J199-$M$3&gt;=3,J199-$M$3,3)</f>
        <v>2016</v>
      </c>
      <c r="J200" s="207">
        <f t="shared" si="63"/>
        <v>4034</v>
      </c>
      <c r="K200" s="206">
        <f t="shared" si="64"/>
        <v>4034.75</v>
      </c>
      <c r="L200" s="205">
        <f>'2112 Trks - Orig.'!N21-'2112 Trks'!L199</f>
        <v>54930.067999999999</v>
      </c>
      <c r="M200" s="203">
        <f t="shared" si="65"/>
        <v>54930.067999999999</v>
      </c>
      <c r="N200" s="204">
        <f t="shared" si="66"/>
        <v>2.2705881283068785</v>
      </c>
      <c r="O200" s="203">
        <f t="shared" si="67"/>
        <v>27.247057539682544</v>
      </c>
      <c r="P200" s="491">
        <f t="shared" si="68"/>
        <v>27.247057539682544</v>
      </c>
      <c r="Q200" s="491">
        <f t="shared" si="69"/>
        <v>106.71764203041676</v>
      </c>
      <c r="R200" s="203">
        <f t="shared" si="70"/>
        <v>133.9646995700993</v>
      </c>
      <c r="S200" s="203">
        <f t="shared" si="71"/>
        <v>54796.103300429902</v>
      </c>
      <c r="T200" s="492"/>
    </row>
    <row r="201" spans="1:20">
      <c r="A201" s="283" t="s">
        <v>447</v>
      </c>
      <c r="B201" s="142"/>
      <c r="C201" s="141">
        <v>882</v>
      </c>
      <c r="D201" s="198" t="s">
        <v>448</v>
      </c>
      <c r="E201" s="143">
        <v>2018</v>
      </c>
      <c r="F201" s="143">
        <v>7</v>
      </c>
      <c r="G201" s="144">
        <v>0</v>
      </c>
      <c r="H201" s="141" t="s">
        <v>51</v>
      </c>
      <c r="I201" s="141">
        <v>3</v>
      </c>
      <c r="J201" s="141">
        <f t="shared" si="63"/>
        <v>2021</v>
      </c>
      <c r="K201" s="145">
        <f t="shared" si="64"/>
        <v>2021.5833333333333</v>
      </c>
      <c r="L201" s="136">
        <v>11113.66</v>
      </c>
      <c r="M201" s="136">
        <f t="shared" si="65"/>
        <v>11113.66</v>
      </c>
      <c r="N201" s="136">
        <f t="shared" si="66"/>
        <v>308.71277777777777</v>
      </c>
      <c r="O201" s="136">
        <f t="shared" si="67"/>
        <v>3704.5533333333333</v>
      </c>
      <c r="P201" s="329">
        <f t="shared" si="68"/>
        <v>0</v>
      </c>
      <c r="Q201" s="329">
        <f t="shared" si="69"/>
        <v>11113.66</v>
      </c>
      <c r="R201" s="136">
        <f t="shared" si="70"/>
        <v>11113.66</v>
      </c>
      <c r="S201" s="136">
        <f t="shared" si="71"/>
        <v>0</v>
      </c>
    </row>
    <row r="202" spans="1:20" s="210" customFormat="1">
      <c r="A202" s="142">
        <v>74012</v>
      </c>
      <c r="B202" s="142" t="s">
        <v>53</v>
      </c>
      <c r="C202" s="141">
        <v>404</v>
      </c>
      <c r="D202" s="142" t="s">
        <v>284</v>
      </c>
      <c r="E202" s="143">
        <v>2008</v>
      </c>
      <c r="F202" s="143">
        <v>11</v>
      </c>
      <c r="G202" s="144">
        <v>0</v>
      </c>
      <c r="H202" s="141" t="s">
        <v>51</v>
      </c>
      <c r="I202" s="141">
        <v>5</v>
      </c>
      <c r="J202" s="141">
        <f t="shared" si="63"/>
        <v>2013</v>
      </c>
      <c r="K202" s="145">
        <f t="shared" si="64"/>
        <v>2013.9166666666667</v>
      </c>
      <c r="L202" s="170">
        <f>'2112 Trks - Orig.'!P42</f>
        <v>41205</v>
      </c>
      <c r="M202" s="136">
        <f t="shared" si="65"/>
        <v>41205</v>
      </c>
      <c r="N202" s="136">
        <f t="shared" si="66"/>
        <v>686.75</v>
      </c>
      <c r="O202" s="136">
        <f t="shared" si="67"/>
        <v>8241</v>
      </c>
      <c r="P202" s="329">
        <f t="shared" si="68"/>
        <v>0</v>
      </c>
      <c r="Q202" s="329">
        <f t="shared" si="69"/>
        <v>41205</v>
      </c>
      <c r="R202" s="136">
        <f t="shared" si="70"/>
        <v>41205</v>
      </c>
      <c r="S202" s="136">
        <f t="shared" si="71"/>
        <v>0</v>
      </c>
    </row>
    <row r="203" spans="1:20">
      <c r="A203" s="201"/>
      <c r="B203" s="201"/>
      <c r="C203" s="207"/>
      <c r="D203" s="207" t="s">
        <v>474</v>
      </c>
      <c r="E203" s="209">
        <v>2023</v>
      </c>
      <c r="F203" s="209">
        <v>7</v>
      </c>
      <c r="G203" s="208">
        <v>0</v>
      </c>
      <c r="H203" s="207" t="s">
        <v>51</v>
      </c>
      <c r="I203" s="207">
        <v>3</v>
      </c>
      <c r="J203" s="207">
        <f t="shared" si="63"/>
        <v>2026</v>
      </c>
      <c r="K203" s="206">
        <f t="shared" si="64"/>
        <v>2026.5833333333333</v>
      </c>
      <c r="L203" s="200">
        <f>'2112 Trks - Orig.'!N194-'2112 Trks'!L349</f>
        <v>0</v>
      </c>
      <c r="M203" s="203">
        <f t="shared" si="65"/>
        <v>0</v>
      </c>
      <c r="N203" s="203">
        <f t="shared" si="66"/>
        <v>0</v>
      </c>
      <c r="O203" s="203">
        <f t="shared" si="67"/>
        <v>0</v>
      </c>
      <c r="P203" s="491">
        <f t="shared" si="68"/>
        <v>0</v>
      </c>
      <c r="Q203" s="491">
        <f t="shared" si="69"/>
        <v>0</v>
      </c>
      <c r="R203" s="203">
        <f t="shared" si="70"/>
        <v>0</v>
      </c>
      <c r="S203" s="203">
        <f t="shared" si="71"/>
        <v>0</v>
      </c>
    </row>
    <row r="204" spans="1:20">
      <c r="A204" s="142" t="s">
        <v>395</v>
      </c>
      <c r="B204" s="142" t="s">
        <v>366</v>
      </c>
      <c r="C204" s="141">
        <v>31</v>
      </c>
      <c r="D204" s="142" t="s">
        <v>396</v>
      </c>
      <c r="E204" s="143">
        <v>2009</v>
      </c>
      <c r="F204" s="143">
        <v>9</v>
      </c>
      <c r="G204" s="144">
        <v>0</v>
      </c>
      <c r="H204" s="141" t="s">
        <v>51</v>
      </c>
      <c r="I204" s="141">
        <v>10</v>
      </c>
      <c r="J204" s="141">
        <f t="shared" si="63"/>
        <v>2019</v>
      </c>
      <c r="K204" s="145">
        <f t="shared" si="64"/>
        <v>2019.75</v>
      </c>
      <c r="L204" s="146">
        <f>131742+11461.55</f>
        <v>143203.54999999999</v>
      </c>
      <c r="M204" s="136">
        <f t="shared" si="65"/>
        <v>143203.54999999999</v>
      </c>
      <c r="N204" s="123">
        <f t="shared" si="66"/>
        <v>1193.3629166666667</v>
      </c>
      <c r="O204" s="136">
        <f t="shared" si="67"/>
        <v>14320.355</v>
      </c>
      <c r="P204" s="329">
        <f t="shared" si="68"/>
        <v>0</v>
      </c>
      <c r="Q204" s="329">
        <f t="shared" si="69"/>
        <v>143203.54999999999</v>
      </c>
      <c r="R204" s="136">
        <f t="shared" si="70"/>
        <v>143203.54999999999</v>
      </c>
      <c r="S204" s="136">
        <f t="shared" si="71"/>
        <v>0</v>
      </c>
    </row>
    <row r="205" spans="1:20">
      <c r="A205" s="142">
        <v>166338</v>
      </c>
      <c r="B205" s="142" t="s">
        <v>53</v>
      </c>
      <c r="C205" s="141">
        <v>159</v>
      </c>
      <c r="D205" s="171" t="s">
        <v>334</v>
      </c>
      <c r="E205" s="143">
        <v>2016</v>
      </c>
      <c r="F205" s="143">
        <v>8</v>
      </c>
      <c r="G205" s="144">
        <v>0</v>
      </c>
      <c r="H205" s="141" t="s">
        <v>51</v>
      </c>
      <c r="I205" s="141">
        <v>10</v>
      </c>
      <c r="J205" s="141">
        <f t="shared" si="63"/>
        <v>2026</v>
      </c>
      <c r="K205" s="145">
        <f t="shared" si="64"/>
        <v>2026.6666666666667</v>
      </c>
      <c r="L205" s="136">
        <v>214036.16</v>
      </c>
      <c r="M205" s="136">
        <f t="shared" si="65"/>
        <v>214036.16</v>
      </c>
      <c r="N205" s="136">
        <f t="shared" si="66"/>
        <v>1783.6346666666668</v>
      </c>
      <c r="O205" s="136">
        <f t="shared" si="67"/>
        <v>21403.616000000002</v>
      </c>
      <c r="P205" s="329">
        <f t="shared" si="68"/>
        <v>21403.616000000002</v>
      </c>
      <c r="Q205" s="329">
        <f t="shared" si="69"/>
        <v>128421.696</v>
      </c>
      <c r="R205" s="136">
        <f t="shared" si="70"/>
        <v>149825.31200000001</v>
      </c>
      <c r="S205" s="136">
        <f t="shared" si="71"/>
        <v>64210.847999999998</v>
      </c>
    </row>
    <row r="206" spans="1:20" s="210" customFormat="1">
      <c r="A206" s="142" t="s">
        <v>294</v>
      </c>
      <c r="B206" s="142" t="s">
        <v>295</v>
      </c>
      <c r="C206" s="141">
        <v>153</v>
      </c>
      <c r="D206" s="142" t="s">
        <v>296</v>
      </c>
      <c r="E206" s="143">
        <v>2006</v>
      </c>
      <c r="F206" s="143">
        <v>6</v>
      </c>
      <c r="G206" s="144">
        <v>0</v>
      </c>
      <c r="H206" s="141" t="s">
        <v>51</v>
      </c>
      <c r="I206" s="141">
        <v>5</v>
      </c>
      <c r="J206" s="141">
        <f t="shared" si="63"/>
        <v>2011</v>
      </c>
      <c r="K206" s="145">
        <f t="shared" si="64"/>
        <v>2011.5</v>
      </c>
      <c r="L206" s="136">
        <f>'2112 Trks - Orig.'!P80</f>
        <v>69405.60149999999</v>
      </c>
      <c r="M206" s="136">
        <f t="shared" si="65"/>
        <v>69405.60149999999</v>
      </c>
      <c r="N206" s="136">
        <f t="shared" si="66"/>
        <v>1156.7600249999998</v>
      </c>
      <c r="O206" s="136">
        <f t="shared" si="67"/>
        <v>13881.120299999999</v>
      </c>
      <c r="P206" s="329">
        <f t="shared" si="68"/>
        <v>0</v>
      </c>
      <c r="Q206" s="329">
        <f t="shared" si="69"/>
        <v>69405.60149999999</v>
      </c>
      <c r="R206" s="136">
        <f t="shared" si="70"/>
        <v>69405.60149999999</v>
      </c>
      <c r="S206" s="136">
        <f t="shared" si="71"/>
        <v>0</v>
      </c>
    </row>
    <row r="207" spans="1:20">
      <c r="A207" s="201"/>
      <c r="B207" s="201"/>
      <c r="C207" s="207"/>
      <c r="D207" s="207" t="s">
        <v>475</v>
      </c>
      <c r="E207" s="209">
        <v>2023</v>
      </c>
      <c r="F207" s="209">
        <v>7</v>
      </c>
      <c r="G207" s="208">
        <v>0</v>
      </c>
      <c r="H207" s="207" t="s">
        <v>51</v>
      </c>
      <c r="I207" s="207">
        <v>3</v>
      </c>
      <c r="J207" s="207">
        <f t="shared" si="63"/>
        <v>2026</v>
      </c>
      <c r="K207" s="206">
        <f t="shared" si="64"/>
        <v>2026.5833333333333</v>
      </c>
      <c r="L207" s="203">
        <f>'2112 Trks - Orig.'!N80-'2112 Trks'!L206</f>
        <v>34184.848500000007</v>
      </c>
      <c r="M207" s="203">
        <f t="shared" si="65"/>
        <v>34184.848500000007</v>
      </c>
      <c r="N207" s="203">
        <f t="shared" si="66"/>
        <v>949.5791250000002</v>
      </c>
      <c r="O207" s="203">
        <f t="shared" si="67"/>
        <v>11394.949500000002</v>
      </c>
      <c r="P207" s="491">
        <f t="shared" si="68"/>
        <v>11394.949500000002</v>
      </c>
      <c r="Q207" s="491">
        <f t="shared" si="69"/>
        <v>0</v>
      </c>
      <c r="R207" s="203">
        <f t="shared" si="70"/>
        <v>11394.949500000002</v>
      </c>
      <c r="S207" s="203">
        <f t="shared" si="71"/>
        <v>22789.899000000005</v>
      </c>
    </row>
    <row r="208" spans="1:20">
      <c r="A208" s="283" t="s">
        <v>488</v>
      </c>
      <c r="B208" s="142"/>
      <c r="C208" s="141">
        <v>2044</v>
      </c>
      <c r="D208" s="198" t="s">
        <v>477</v>
      </c>
      <c r="E208" s="143">
        <v>2014</v>
      </c>
      <c r="F208" s="143">
        <v>12</v>
      </c>
      <c r="G208" s="144">
        <v>0</v>
      </c>
      <c r="H208" s="141" t="s">
        <v>51</v>
      </c>
      <c r="I208" s="141">
        <v>7</v>
      </c>
      <c r="J208" s="141">
        <f t="shared" si="63"/>
        <v>2021</v>
      </c>
      <c r="K208" s="145">
        <f t="shared" si="64"/>
        <v>2022</v>
      </c>
      <c r="L208" s="136">
        <f>257933.15+22649</f>
        <v>280582.15000000002</v>
      </c>
      <c r="M208" s="136">
        <f t="shared" si="65"/>
        <v>280582.15000000002</v>
      </c>
      <c r="N208" s="136">
        <f t="shared" si="66"/>
        <v>3340.2636904761907</v>
      </c>
      <c r="O208" s="136">
        <f t="shared" si="67"/>
        <v>40083.164285714287</v>
      </c>
      <c r="P208" s="329">
        <f t="shared" si="68"/>
        <v>0</v>
      </c>
      <c r="Q208" s="329">
        <f t="shared" si="69"/>
        <v>280582.15000000002</v>
      </c>
      <c r="R208" s="136">
        <f t="shared" si="70"/>
        <v>280582.15000000002</v>
      </c>
      <c r="S208" s="136">
        <f t="shared" si="71"/>
        <v>0</v>
      </c>
    </row>
    <row r="209" spans="1:19">
      <c r="A209" s="142">
        <v>174651</v>
      </c>
      <c r="B209" s="142" t="s">
        <v>366</v>
      </c>
      <c r="C209" s="141">
        <v>32</v>
      </c>
      <c r="D209" s="142" t="s">
        <v>367</v>
      </c>
      <c r="E209" s="143">
        <v>2009</v>
      </c>
      <c r="F209" s="143">
        <v>11</v>
      </c>
      <c r="G209" s="144">
        <v>0</v>
      </c>
      <c r="H209" s="141" t="s">
        <v>51</v>
      </c>
      <c r="I209" s="141">
        <v>7</v>
      </c>
      <c r="J209" s="141">
        <f t="shared" si="63"/>
        <v>2016</v>
      </c>
      <c r="K209" s="145">
        <f t="shared" si="64"/>
        <v>2016.9166666666667</v>
      </c>
      <c r="L209" s="146">
        <v>143203.54999999999</v>
      </c>
      <c r="M209" s="136">
        <f t="shared" si="65"/>
        <v>143203.54999999999</v>
      </c>
      <c r="N209" s="123">
        <f t="shared" si="66"/>
        <v>1704.8041666666666</v>
      </c>
      <c r="O209" s="136">
        <f t="shared" si="67"/>
        <v>20457.649999999998</v>
      </c>
      <c r="P209" s="329">
        <f t="shared" si="68"/>
        <v>0</v>
      </c>
      <c r="Q209" s="329">
        <f t="shared" si="69"/>
        <v>143203.54999999999</v>
      </c>
      <c r="R209" s="136">
        <f t="shared" si="70"/>
        <v>143203.54999999999</v>
      </c>
      <c r="S209" s="136">
        <f t="shared" si="71"/>
        <v>0</v>
      </c>
    </row>
    <row r="210" spans="1:19">
      <c r="A210" s="283">
        <v>195931</v>
      </c>
      <c r="B210" s="142"/>
      <c r="C210" s="141">
        <v>33</v>
      </c>
      <c r="D210" s="489" t="s">
        <v>515</v>
      </c>
      <c r="E210" s="143">
        <v>2009</v>
      </c>
      <c r="F210" s="143">
        <v>11</v>
      </c>
      <c r="G210" s="144">
        <v>0</v>
      </c>
      <c r="H210" s="141" t="s">
        <v>51</v>
      </c>
      <c r="I210" s="141">
        <v>10</v>
      </c>
      <c r="J210" s="141">
        <f t="shared" si="63"/>
        <v>2019</v>
      </c>
      <c r="K210" s="145">
        <f t="shared" si="64"/>
        <v>2019.9166666666667</v>
      </c>
      <c r="L210" s="194">
        <f>143203.55</f>
        <v>143203.54999999999</v>
      </c>
      <c r="M210" s="136">
        <f t="shared" si="65"/>
        <v>143203.54999999999</v>
      </c>
      <c r="N210" s="136">
        <f t="shared" si="66"/>
        <v>1193.3629166666667</v>
      </c>
      <c r="O210" s="136">
        <f t="shared" si="67"/>
        <v>14320.355</v>
      </c>
      <c r="P210" s="490">
        <f t="shared" si="68"/>
        <v>0</v>
      </c>
      <c r="Q210" s="490">
        <f t="shared" si="69"/>
        <v>143203.54999999999</v>
      </c>
      <c r="R210" s="136">
        <f t="shared" si="70"/>
        <v>143203.54999999999</v>
      </c>
      <c r="S210" s="136">
        <f t="shared" si="71"/>
        <v>0</v>
      </c>
    </row>
    <row r="211" spans="1:19">
      <c r="A211" s="142" t="s">
        <v>516</v>
      </c>
      <c r="B211" s="142" t="s">
        <v>98</v>
      </c>
      <c r="C211" s="130">
        <v>154</v>
      </c>
      <c r="D211" s="142" t="s">
        <v>517</v>
      </c>
      <c r="E211" s="141">
        <v>2006</v>
      </c>
      <c r="F211" s="141">
        <v>6</v>
      </c>
      <c r="G211" s="144">
        <v>0</v>
      </c>
      <c r="H211" s="141" t="s">
        <v>51</v>
      </c>
      <c r="I211" s="141">
        <v>7</v>
      </c>
      <c r="J211" s="141">
        <f>E211+I211</f>
        <v>2013</v>
      </c>
      <c r="K211" s="145">
        <f>+J211+(F211/12)</f>
        <v>2013.5</v>
      </c>
      <c r="L211" s="170">
        <f>99553.75+37704.67</f>
        <v>137258.41999999998</v>
      </c>
      <c r="M211" s="136">
        <f>L211-L211*G211</f>
        <v>137258.41999999998</v>
      </c>
      <c r="N211" s="136">
        <f>M211/I211/12</f>
        <v>1634.0288095238093</v>
      </c>
      <c r="O211" s="136">
        <f>N211*12</f>
        <v>19608.345714285711</v>
      </c>
      <c r="P211" s="329">
        <f>+IF(K211&lt;=$N$6,0,O211)</f>
        <v>0</v>
      </c>
      <c r="Q211" s="329">
        <f>+IF($K211&lt;=$N$7,$L211,IF(($E211+($F211/12))&gt;=$N$7,0,((($M211-((($K211-$N$7)*12)*$N211))))))</f>
        <v>137258.41999999998</v>
      </c>
      <c r="R211" s="136">
        <f>+IF(K211&lt;=$N$6,M211,IF(P211=0,Q211,Q211+P211))</f>
        <v>137258.41999999998</v>
      </c>
      <c r="S211" s="136">
        <f>+L211-R211</f>
        <v>0</v>
      </c>
    </row>
    <row r="212" spans="1:19">
      <c r="A212" s="142" t="s">
        <v>518</v>
      </c>
      <c r="B212" s="142" t="s">
        <v>98</v>
      </c>
      <c r="C212" s="130">
        <v>152</v>
      </c>
      <c r="D212" s="142" t="s">
        <v>517</v>
      </c>
      <c r="E212" s="141">
        <v>2006</v>
      </c>
      <c r="F212" s="141">
        <v>6</v>
      </c>
      <c r="G212" s="144">
        <v>0</v>
      </c>
      <c r="H212" s="141" t="s">
        <v>51</v>
      </c>
      <c r="I212" s="127">
        <v>7</v>
      </c>
      <c r="J212" s="141">
        <f>E212+I212</f>
        <v>2013</v>
      </c>
      <c r="K212" s="145">
        <f>+J212+(F212/12)</f>
        <v>2013.5</v>
      </c>
      <c r="L212" s="170">
        <f>99553.75+17456.3</f>
        <v>117010.05</v>
      </c>
      <c r="M212" s="136">
        <f>L212-L212*G212</f>
        <v>117010.05</v>
      </c>
      <c r="N212" s="136">
        <f>M212/I212/12</f>
        <v>1392.9767857142858</v>
      </c>
      <c r="O212" s="136">
        <f>N212*12</f>
        <v>16715.721428571429</v>
      </c>
      <c r="P212" s="329">
        <f>+IF(K212&lt;=$N$6,0,O212)</f>
        <v>0</v>
      </c>
      <c r="Q212" s="329">
        <f>+IF($K212&lt;=$N$7,$L212,IF(($E212+($F212/12))&gt;=$N$7,0,((($M212-((($K212-$N$7)*12)*$N212))))))</f>
        <v>117010.05</v>
      </c>
      <c r="R212" s="136">
        <f>+IF(K212&lt;=$N$6,M212,IF(P212=0,Q212,Q212+P212))</f>
        <v>117010.05</v>
      </c>
      <c r="S212" s="136">
        <f>+L212-R212</f>
        <v>0</v>
      </c>
    </row>
  </sheetData>
  <autoFilter ref="E11:S88" xr:uid="{00000000-0001-0000-0100-000000000000}"/>
  <phoneticPr fontId="24" type="noConversion"/>
  <pageMargins left="0.75" right="0.75" top="1" bottom="1" header="0.5" footer="0.5"/>
  <pageSetup scale="64" orientation="landscape" r:id="rId1"/>
  <headerFooter alignWithMargins="0"/>
  <rowBreaks count="1" manualBreakCount="1">
    <brk id="58" min="3" max="2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theme="7" tint="0.59999389629810485"/>
  </sheetPr>
  <dimension ref="A1:BL605"/>
  <sheetViews>
    <sheetView tabSelected="1" topLeftCell="A230" workbookViewId="0">
      <selection activeCell="F37" sqref="F37"/>
    </sheetView>
  </sheetViews>
  <sheetFormatPr defaultColWidth="10.33203125" defaultRowHeight="12"/>
  <cols>
    <col min="1" max="1" width="16.44140625" style="130" customWidth="1"/>
    <col min="2" max="2" width="4" style="130" bestFit="1" customWidth="1"/>
    <col min="3" max="3" width="4.109375" style="130" bestFit="1" customWidth="1"/>
    <col min="4" max="4" width="27.21875" style="130" bestFit="1" customWidth="1"/>
    <col min="5" max="5" width="12" style="130" customWidth="1"/>
    <col min="6" max="6" width="4.77734375" style="130" customWidth="1"/>
    <col min="7" max="7" width="5.109375" style="130" customWidth="1"/>
    <col min="8" max="8" width="4.21875" style="130" customWidth="1"/>
    <col min="9" max="9" width="4.109375" style="141" customWidth="1"/>
    <col min="10" max="10" width="5.21875" style="141" customWidth="1"/>
    <col min="11" max="11" width="6.5546875" style="141" customWidth="1"/>
    <col min="12" max="13" width="9" style="130" bestFit="1" customWidth="1"/>
    <col min="14" max="16" width="7.6640625" style="130" customWidth="1"/>
    <col min="17" max="17" width="9" style="130" bestFit="1" customWidth="1"/>
    <col min="18" max="19" width="9.44140625" style="130" bestFit="1" customWidth="1"/>
    <col min="20" max="58" width="10.33203125" style="130"/>
    <col min="59" max="60" width="10.44140625" style="130" bestFit="1" customWidth="1"/>
    <col min="61" max="62" width="10.33203125" style="130"/>
    <col min="63" max="63" width="10.44140625" style="130" bestFit="1" customWidth="1"/>
    <col min="64" max="16384" width="10.33203125" style="130"/>
  </cols>
  <sheetData>
    <row r="1" spans="1:64">
      <c r="A1" s="220" t="s">
        <v>178</v>
      </c>
      <c r="E1" s="119" t="s">
        <v>404</v>
      </c>
      <c r="M1" s="123"/>
      <c r="N1" s="123"/>
      <c r="O1" s="123"/>
      <c r="P1" s="123"/>
      <c r="Q1" s="123"/>
      <c r="R1" s="123"/>
      <c r="S1" s="123"/>
    </row>
    <row r="2" spans="1:64" ht="15">
      <c r="A2" s="220" t="s">
        <v>0</v>
      </c>
      <c r="E2" s="120"/>
      <c r="M2" s="121"/>
      <c r="N2" s="324">
        <f>+'2112 Trks'!N2</f>
        <v>8</v>
      </c>
      <c r="O2" s="325" t="s">
        <v>1896</v>
      </c>
      <c r="P2" s="221"/>
      <c r="Q2" s="221"/>
      <c r="R2" s="221"/>
      <c r="S2" s="221"/>
      <c r="BH2" s="130" t="s">
        <v>2</v>
      </c>
    </row>
    <row r="3" spans="1:64" ht="15">
      <c r="A3" s="140">
        <f>Summary!H8</f>
        <v>45138</v>
      </c>
      <c r="E3" s="120"/>
      <c r="M3" s="121"/>
      <c r="N3" s="324">
        <f>+'2112 Trks'!N3</f>
        <v>7</v>
      </c>
      <c r="O3" s="325" t="s">
        <v>1897</v>
      </c>
      <c r="P3" s="221"/>
      <c r="Q3" s="221"/>
      <c r="R3" s="221"/>
      <c r="S3" s="221"/>
    </row>
    <row r="4" spans="1:64" ht="15">
      <c r="E4" s="120"/>
      <c r="M4" s="121"/>
      <c r="N4" s="324">
        <f>+'2112 Trks'!N4</f>
        <v>2022</v>
      </c>
      <c r="O4" s="325" t="s">
        <v>1834</v>
      </c>
      <c r="P4" s="221"/>
      <c r="Q4" s="221"/>
      <c r="R4" s="221"/>
      <c r="S4" s="221"/>
      <c r="BG4" s="130">
        <v>1</v>
      </c>
      <c r="BH4" s="130" t="s">
        <v>9</v>
      </c>
      <c r="BK4" s="130">
        <v>12</v>
      </c>
      <c r="BL4" s="130" t="s">
        <v>10</v>
      </c>
    </row>
    <row r="5" spans="1:64" ht="15">
      <c r="E5" s="120"/>
      <c r="M5" s="213"/>
      <c r="N5" s="324">
        <f>+'2112 Trks'!N5</f>
        <v>2023</v>
      </c>
      <c r="O5" s="325" t="s">
        <v>11</v>
      </c>
      <c r="P5" s="221"/>
      <c r="Q5" s="221"/>
      <c r="R5" s="221"/>
      <c r="S5" s="221"/>
      <c r="BH5" s="130">
        <v>1993</v>
      </c>
      <c r="BK5" s="130">
        <v>0</v>
      </c>
      <c r="BL5" s="130" t="s">
        <v>14</v>
      </c>
    </row>
    <row r="6" spans="1:64" ht="15">
      <c r="D6" s="165"/>
      <c r="N6" s="514">
        <f>+'2112 Trks'!N6</f>
        <v>2023.5833333333333</v>
      </c>
      <c r="O6" s="325" t="s">
        <v>1898</v>
      </c>
      <c r="BK6" s="130">
        <v>94</v>
      </c>
      <c r="BL6" s="130" t="s">
        <v>22</v>
      </c>
    </row>
    <row r="7" spans="1:64" ht="15">
      <c r="A7" s="120"/>
      <c r="B7" s="120"/>
      <c r="C7" s="123"/>
      <c r="D7" s="124"/>
      <c r="E7" s="124"/>
      <c r="F7" s="124"/>
      <c r="G7" s="124"/>
      <c r="H7" s="124"/>
      <c r="I7" s="125"/>
      <c r="J7" s="125"/>
      <c r="K7" s="125"/>
      <c r="L7" s="120"/>
      <c r="M7" s="120"/>
      <c r="N7" s="514">
        <f>+'2112 Trks'!N7</f>
        <v>2022.6666666666667</v>
      </c>
      <c r="O7" s="328" t="s">
        <v>1899</v>
      </c>
      <c r="P7" s="120"/>
      <c r="Q7" s="126" t="s">
        <v>18</v>
      </c>
      <c r="R7" s="126" t="s">
        <v>19</v>
      </c>
      <c r="S7" s="120"/>
    </row>
    <row r="8" spans="1:64">
      <c r="A8" s="120"/>
      <c r="B8" s="126"/>
      <c r="C8" s="127" t="s">
        <v>54</v>
      </c>
      <c r="D8" s="128"/>
      <c r="E8" s="126" t="s">
        <v>56</v>
      </c>
      <c r="F8" s="126"/>
      <c r="G8" s="129" t="s">
        <v>23</v>
      </c>
      <c r="H8" s="126" t="s">
        <v>54</v>
      </c>
      <c r="I8" s="126"/>
      <c r="J8" s="126" t="s">
        <v>24</v>
      </c>
      <c r="K8" s="126"/>
      <c r="L8" s="126" t="s">
        <v>54</v>
      </c>
      <c r="M8" s="128" t="s">
        <v>54</v>
      </c>
      <c r="N8" s="128"/>
      <c r="O8" s="128"/>
      <c r="P8" s="128" t="s">
        <v>65</v>
      </c>
      <c r="Q8" s="128" t="s">
        <v>26</v>
      </c>
      <c r="R8" s="128" t="s">
        <v>26</v>
      </c>
      <c r="S8" s="128" t="s">
        <v>38</v>
      </c>
    </row>
    <row r="9" spans="1:64">
      <c r="B9" s="127"/>
      <c r="C9" s="127"/>
      <c r="D9" s="131"/>
      <c r="E9" s="127" t="s">
        <v>58</v>
      </c>
      <c r="F9" s="127"/>
      <c r="G9" s="132" t="s">
        <v>29</v>
      </c>
      <c r="H9" s="127" t="s">
        <v>30</v>
      </c>
      <c r="I9" s="127" t="s">
        <v>61</v>
      </c>
      <c r="J9" s="127" t="s">
        <v>62</v>
      </c>
      <c r="K9" s="127" t="s">
        <v>406</v>
      </c>
      <c r="L9" s="127" t="s">
        <v>31</v>
      </c>
      <c r="M9" s="127" t="s">
        <v>64</v>
      </c>
      <c r="N9" s="127" t="s">
        <v>66</v>
      </c>
      <c r="O9" s="127" t="s">
        <v>405</v>
      </c>
      <c r="P9" s="127" t="s">
        <v>24</v>
      </c>
      <c r="Q9" s="127" t="s">
        <v>35</v>
      </c>
      <c r="R9" s="127" t="s">
        <v>35</v>
      </c>
      <c r="S9" s="127" t="s">
        <v>45</v>
      </c>
      <c r="BG9" s="130">
        <v>2</v>
      </c>
      <c r="BH9" s="130" t="s">
        <v>48</v>
      </c>
    </row>
    <row r="10" spans="1:64">
      <c r="A10" s="133" t="s">
        <v>261</v>
      </c>
      <c r="B10" s="133" t="s">
        <v>52</v>
      </c>
      <c r="C10" s="133" t="s">
        <v>408</v>
      </c>
      <c r="D10" s="134" t="s">
        <v>60</v>
      </c>
      <c r="E10" s="133" t="s">
        <v>24</v>
      </c>
      <c r="F10" s="133" t="s">
        <v>39</v>
      </c>
      <c r="G10" s="135" t="s">
        <v>34</v>
      </c>
      <c r="H10" s="133" t="s">
        <v>40</v>
      </c>
      <c r="I10" s="133" t="s">
        <v>63</v>
      </c>
      <c r="J10" s="133" t="s">
        <v>64</v>
      </c>
      <c r="K10" s="133" t="s">
        <v>407</v>
      </c>
      <c r="L10" s="133" t="s">
        <v>42</v>
      </c>
      <c r="M10" s="133" t="s">
        <v>42</v>
      </c>
      <c r="N10" s="133" t="s">
        <v>64</v>
      </c>
      <c r="O10" s="133" t="s">
        <v>64</v>
      </c>
      <c r="P10" s="133" t="s">
        <v>64</v>
      </c>
      <c r="Q10" s="211">
        <f>'2112 Trks'!Q11</f>
        <v>44774</v>
      </c>
      <c r="R10" s="211">
        <f>'2112 Trks'!R11</f>
        <v>45138</v>
      </c>
      <c r="S10" s="211">
        <f>'2112 Trks'!S11</f>
        <v>45138</v>
      </c>
    </row>
    <row r="11" spans="1:64">
      <c r="A11" s="142"/>
      <c r="C11" s="141"/>
      <c r="D11" s="134" t="s">
        <v>267</v>
      </c>
      <c r="E11" s="141"/>
      <c r="F11" s="141"/>
      <c r="G11" s="222"/>
      <c r="H11" s="141"/>
      <c r="L11" s="158"/>
      <c r="M11" s="123"/>
      <c r="N11" s="123"/>
      <c r="O11" s="123"/>
      <c r="P11" s="123"/>
      <c r="Q11" s="123"/>
      <c r="R11" s="123"/>
      <c r="S11" s="123"/>
    </row>
    <row r="12" spans="1:64">
      <c r="A12" s="142"/>
      <c r="C12" s="141">
        <v>43</v>
      </c>
      <c r="D12" s="142" t="s">
        <v>118</v>
      </c>
      <c r="E12" s="141">
        <v>1997</v>
      </c>
      <c r="F12" s="141">
        <v>12</v>
      </c>
      <c r="G12" s="222">
        <v>0</v>
      </c>
      <c r="H12" s="141" t="s">
        <v>51</v>
      </c>
      <c r="I12" s="141">
        <v>5</v>
      </c>
      <c r="J12" s="141">
        <f t="shared" ref="J12:J43" si="0">E12+I12</f>
        <v>2002</v>
      </c>
      <c r="K12" s="223">
        <f t="shared" ref="K12:K43" si="1">+J12+(F12/12)</f>
        <v>2003</v>
      </c>
      <c r="L12" s="224">
        <v>8225</v>
      </c>
      <c r="M12" s="136">
        <f t="shared" ref="M12:M43" si="2">L12-L12*G12</f>
        <v>8225</v>
      </c>
      <c r="N12" s="136">
        <f t="shared" ref="N12:N43" si="3">M12/I12/12</f>
        <v>137.08333333333334</v>
      </c>
      <c r="O12" s="136">
        <f t="shared" ref="O12:O43" si="4">N12*12</f>
        <v>1645</v>
      </c>
      <c r="P12" s="329">
        <f t="shared" ref="P12:P43" si="5">+IF(K12&lt;=$N$6,0,O12)</f>
        <v>0</v>
      </c>
      <c r="Q12" s="329">
        <f t="shared" ref="Q12:Q43" si="6">+IF($K12&lt;=$N$7,$L12,IF(($E12+($F12/12))&gt;=$N$7,0,((($M12-((($K12-$N$7)*12)*$N12))))))</f>
        <v>8225</v>
      </c>
      <c r="R12" s="136">
        <f t="shared" ref="R12:R43" si="7">+IF(K12&lt;=$N$6,M12,IF(P12=0,Q12,Q12+P12))</f>
        <v>8225</v>
      </c>
      <c r="S12" s="136">
        <f t="shared" ref="S12:S43" si="8">+L12-R12</f>
        <v>0</v>
      </c>
    </row>
    <row r="13" spans="1:64">
      <c r="A13" s="142"/>
      <c r="C13" s="141">
        <v>85</v>
      </c>
      <c r="D13" s="142" t="s">
        <v>117</v>
      </c>
      <c r="E13" s="141">
        <v>1997</v>
      </c>
      <c r="F13" s="141">
        <v>12</v>
      </c>
      <c r="G13" s="222">
        <v>0</v>
      </c>
      <c r="H13" s="141" t="s">
        <v>51</v>
      </c>
      <c r="I13" s="141">
        <v>5</v>
      </c>
      <c r="J13" s="141">
        <f t="shared" si="0"/>
        <v>2002</v>
      </c>
      <c r="K13" s="223">
        <f t="shared" si="1"/>
        <v>2003</v>
      </c>
      <c r="L13" s="224">
        <v>12388</v>
      </c>
      <c r="M13" s="136">
        <f t="shared" si="2"/>
        <v>12388</v>
      </c>
      <c r="N13" s="136">
        <f t="shared" si="3"/>
        <v>206.46666666666667</v>
      </c>
      <c r="O13" s="136">
        <f t="shared" si="4"/>
        <v>2477.6</v>
      </c>
      <c r="P13" s="329">
        <f t="shared" si="5"/>
        <v>0</v>
      </c>
      <c r="Q13" s="329">
        <f t="shared" si="6"/>
        <v>12388</v>
      </c>
      <c r="R13" s="136">
        <f t="shared" si="7"/>
        <v>12388</v>
      </c>
      <c r="S13" s="136">
        <f t="shared" si="8"/>
        <v>0</v>
      </c>
    </row>
    <row r="14" spans="1:64">
      <c r="A14" s="142">
        <v>6882</v>
      </c>
      <c r="C14" s="141">
        <v>46</v>
      </c>
      <c r="D14" s="142" t="s">
        <v>122</v>
      </c>
      <c r="E14" s="141">
        <v>1997</v>
      </c>
      <c r="F14" s="141">
        <v>12</v>
      </c>
      <c r="G14" s="222">
        <v>0</v>
      </c>
      <c r="H14" s="141" t="s">
        <v>51</v>
      </c>
      <c r="I14" s="141">
        <v>7</v>
      </c>
      <c r="J14" s="141">
        <f t="shared" si="0"/>
        <v>2004</v>
      </c>
      <c r="K14" s="223">
        <f t="shared" si="1"/>
        <v>2005</v>
      </c>
      <c r="L14" s="224">
        <v>13274</v>
      </c>
      <c r="M14" s="136">
        <f t="shared" si="2"/>
        <v>13274</v>
      </c>
      <c r="N14" s="136">
        <f t="shared" si="3"/>
        <v>158.02380952380952</v>
      </c>
      <c r="O14" s="136">
        <f t="shared" si="4"/>
        <v>1896.2857142857142</v>
      </c>
      <c r="P14" s="329">
        <f t="shared" si="5"/>
        <v>0</v>
      </c>
      <c r="Q14" s="329">
        <f t="shared" si="6"/>
        <v>13274</v>
      </c>
      <c r="R14" s="136">
        <f t="shared" si="7"/>
        <v>13274</v>
      </c>
      <c r="S14" s="136">
        <f t="shared" si="8"/>
        <v>0</v>
      </c>
    </row>
    <row r="15" spans="1:64">
      <c r="A15" s="142"/>
      <c r="C15" s="141">
        <v>40</v>
      </c>
      <c r="D15" s="142" t="s">
        <v>69</v>
      </c>
      <c r="E15" s="141">
        <v>1997</v>
      </c>
      <c r="F15" s="141">
        <v>12</v>
      </c>
      <c r="G15" s="222">
        <v>0</v>
      </c>
      <c r="H15" s="141" t="s">
        <v>51</v>
      </c>
      <c r="I15" s="141">
        <v>10</v>
      </c>
      <c r="J15" s="141">
        <f t="shared" si="0"/>
        <v>2007</v>
      </c>
      <c r="K15" s="223">
        <f t="shared" si="1"/>
        <v>2008</v>
      </c>
      <c r="L15" s="224">
        <v>11776</v>
      </c>
      <c r="M15" s="136">
        <f t="shared" si="2"/>
        <v>11776</v>
      </c>
      <c r="N15" s="136">
        <f t="shared" si="3"/>
        <v>98.133333333333326</v>
      </c>
      <c r="O15" s="136">
        <f t="shared" si="4"/>
        <v>1177.5999999999999</v>
      </c>
      <c r="P15" s="329">
        <f t="shared" si="5"/>
        <v>0</v>
      </c>
      <c r="Q15" s="329">
        <f t="shared" si="6"/>
        <v>11776</v>
      </c>
      <c r="R15" s="136">
        <f t="shared" si="7"/>
        <v>11776</v>
      </c>
      <c r="S15" s="136">
        <f t="shared" si="8"/>
        <v>0</v>
      </c>
    </row>
    <row r="16" spans="1:64">
      <c r="A16" s="142"/>
      <c r="C16" s="141">
        <v>20</v>
      </c>
      <c r="D16" s="142" t="s">
        <v>123</v>
      </c>
      <c r="E16" s="141">
        <v>1997</v>
      </c>
      <c r="F16" s="141">
        <v>12</v>
      </c>
      <c r="G16" s="222">
        <v>0</v>
      </c>
      <c r="H16" s="141" t="s">
        <v>51</v>
      </c>
      <c r="I16" s="141">
        <v>7</v>
      </c>
      <c r="J16" s="141">
        <f t="shared" si="0"/>
        <v>2004</v>
      </c>
      <c r="K16" s="223">
        <f t="shared" si="1"/>
        <v>2005</v>
      </c>
      <c r="L16" s="224">
        <v>5822</v>
      </c>
      <c r="M16" s="136">
        <f t="shared" si="2"/>
        <v>5822</v>
      </c>
      <c r="N16" s="136">
        <f t="shared" si="3"/>
        <v>69.30952380952381</v>
      </c>
      <c r="O16" s="136">
        <f t="shared" si="4"/>
        <v>831.71428571428578</v>
      </c>
      <c r="P16" s="329">
        <f t="shared" si="5"/>
        <v>0</v>
      </c>
      <c r="Q16" s="329">
        <f t="shared" si="6"/>
        <v>5822</v>
      </c>
      <c r="R16" s="136">
        <f t="shared" si="7"/>
        <v>5822</v>
      </c>
      <c r="S16" s="136">
        <f t="shared" si="8"/>
        <v>0</v>
      </c>
    </row>
    <row r="17" spans="1:19">
      <c r="A17" s="142"/>
      <c r="C17" s="141">
        <v>65</v>
      </c>
      <c r="D17" s="142" t="s">
        <v>119</v>
      </c>
      <c r="E17" s="141">
        <v>1997</v>
      </c>
      <c r="F17" s="141">
        <v>12</v>
      </c>
      <c r="G17" s="222">
        <v>0</v>
      </c>
      <c r="H17" s="141" t="s">
        <v>51</v>
      </c>
      <c r="I17" s="141">
        <v>5</v>
      </c>
      <c r="J17" s="141">
        <f t="shared" si="0"/>
        <v>2002</v>
      </c>
      <c r="K17" s="223">
        <f t="shared" si="1"/>
        <v>2003</v>
      </c>
      <c r="L17" s="224">
        <v>17169</v>
      </c>
      <c r="M17" s="136">
        <f t="shared" si="2"/>
        <v>17169</v>
      </c>
      <c r="N17" s="136">
        <f t="shared" si="3"/>
        <v>286.15000000000003</v>
      </c>
      <c r="O17" s="136">
        <f t="shared" si="4"/>
        <v>3433.8</v>
      </c>
      <c r="P17" s="329">
        <f t="shared" si="5"/>
        <v>0</v>
      </c>
      <c r="Q17" s="329">
        <f t="shared" si="6"/>
        <v>17169</v>
      </c>
      <c r="R17" s="136">
        <f t="shared" si="7"/>
        <v>17169</v>
      </c>
      <c r="S17" s="136">
        <f t="shared" si="8"/>
        <v>0</v>
      </c>
    </row>
    <row r="18" spans="1:19">
      <c r="A18" s="142"/>
      <c r="C18" s="141">
        <v>50</v>
      </c>
      <c r="D18" s="142" t="s">
        <v>127</v>
      </c>
      <c r="E18" s="141">
        <v>1997</v>
      </c>
      <c r="F18" s="141">
        <v>12</v>
      </c>
      <c r="G18" s="222">
        <v>0</v>
      </c>
      <c r="H18" s="141" t="s">
        <v>51</v>
      </c>
      <c r="I18" s="141">
        <v>10</v>
      </c>
      <c r="J18" s="141">
        <f t="shared" si="0"/>
        <v>2007</v>
      </c>
      <c r="K18" s="223">
        <f t="shared" si="1"/>
        <v>2008</v>
      </c>
      <c r="L18" s="224">
        <v>18752</v>
      </c>
      <c r="M18" s="136">
        <f t="shared" si="2"/>
        <v>18752</v>
      </c>
      <c r="N18" s="136">
        <f t="shared" si="3"/>
        <v>156.26666666666668</v>
      </c>
      <c r="O18" s="136">
        <f t="shared" si="4"/>
        <v>1875.2000000000003</v>
      </c>
      <c r="P18" s="329">
        <f t="shared" si="5"/>
        <v>0</v>
      </c>
      <c r="Q18" s="329">
        <f t="shared" si="6"/>
        <v>18752</v>
      </c>
      <c r="R18" s="136">
        <f t="shared" si="7"/>
        <v>18752</v>
      </c>
      <c r="S18" s="136">
        <f t="shared" si="8"/>
        <v>0</v>
      </c>
    </row>
    <row r="19" spans="1:19">
      <c r="A19" s="142"/>
      <c r="C19" s="141">
        <v>1</v>
      </c>
      <c r="D19" s="142" t="s">
        <v>120</v>
      </c>
      <c r="E19" s="141">
        <v>1997</v>
      </c>
      <c r="F19" s="141">
        <v>12</v>
      </c>
      <c r="G19" s="222">
        <v>0</v>
      </c>
      <c r="H19" s="141" t="s">
        <v>51</v>
      </c>
      <c r="I19" s="141">
        <v>5</v>
      </c>
      <c r="J19" s="141">
        <f t="shared" si="0"/>
        <v>2002</v>
      </c>
      <c r="K19" s="223">
        <f t="shared" si="1"/>
        <v>2003</v>
      </c>
      <c r="L19" s="136">
        <v>964</v>
      </c>
      <c r="M19" s="136">
        <f t="shared" si="2"/>
        <v>964</v>
      </c>
      <c r="N19" s="136">
        <f t="shared" si="3"/>
        <v>16.066666666666666</v>
      </c>
      <c r="O19" s="136">
        <f t="shared" si="4"/>
        <v>192.8</v>
      </c>
      <c r="P19" s="329">
        <f t="shared" si="5"/>
        <v>0</v>
      </c>
      <c r="Q19" s="329">
        <f t="shared" si="6"/>
        <v>964</v>
      </c>
      <c r="R19" s="136">
        <f t="shared" si="7"/>
        <v>964</v>
      </c>
      <c r="S19" s="136">
        <f t="shared" si="8"/>
        <v>0</v>
      </c>
    </row>
    <row r="20" spans="1:19">
      <c r="A20" s="142"/>
      <c r="C20" s="141"/>
      <c r="D20" s="142" t="s">
        <v>115</v>
      </c>
      <c r="E20" s="141">
        <v>1997</v>
      </c>
      <c r="F20" s="141">
        <v>12</v>
      </c>
      <c r="G20" s="222">
        <v>0</v>
      </c>
      <c r="H20" s="141" t="s">
        <v>51</v>
      </c>
      <c r="I20" s="141">
        <v>5</v>
      </c>
      <c r="J20" s="141">
        <f t="shared" si="0"/>
        <v>2002</v>
      </c>
      <c r="K20" s="223">
        <f t="shared" si="1"/>
        <v>2003</v>
      </c>
      <c r="L20" s="224">
        <v>142652</v>
      </c>
      <c r="M20" s="136">
        <f t="shared" si="2"/>
        <v>142652</v>
      </c>
      <c r="N20" s="136">
        <f t="shared" si="3"/>
        <v>2377.5333333333333</v>
      </c>
      <c r="O20" s="136">
        <f t="shared" si="4"/>
        <v>28530.400000000001</v>
      </c>
      <c r="P20" s="329">
        <f t="shared" si="5"/>
        <v>0</v>
      </c>
      <c r="Q20" s="329">
        <f t="shared" si="6"/>
        <v>142652</v>
      </c>
      <c r="R20" s="136">
        <f t="shared" si="7"/>
        <v>142652</v>
      </c>
      <c r="S20" s="136">
        <f t="shared" si="8"/>
        <v>0</v>
      </c>
    </row>
    <row r="21" spans="1:19">
      <c r="A21" s="142"/>
      <c r="C21" s="141">
        <v>40</v>
      </c>
      <c r="D21" s="142" t="s">
        <v>68</v>
      </c>
      <c r="E21" s="141">
        <v>1998</v>
      </c>
      <c r="F21" s="141">
        <v>2</v>
      </c>
      <c r="G21" s="222">
        <v>0</v>
      </c>
      <c r="H21" s="141" t="s">
        <v>51</v>
      </c>
      <c r="I21" s="141">
        <v>10</v>
      </c>
      <c r="J21" s="141">
        <f t="shared" si="0"/>
        <v>2008</v>
      </c>
      <c r="K21" s="223">
        <f t="shared" si="1"/>
        <v>2008.1666666666667</v>
      </c>
      <c r="L21" s="224">
        <v>13945.65</v>
      </c>
      <c r="M21" s="136">
        <f t="shared" si="2"/>
        <v>13945.65</v>
      </c>
      <c r="N21" s="136">
        <f t="shared" si="3"/>
        <v>116.21375</v>
      </c>
      <c r="O21" s="136">
        <f t="shared" si="4"/>
        <v>1394.5650000000001</v>
      </c>
      <c r="P21" s="329">
        <f t="shared" si="5"/>
        <v>0</v>
      </c>
      <c r="Q21" s="329">
        <f t="shared" si="6"/>
        <v>13945.65</v>
      </c>
      <c r="R21" s="136">
        <f t="shared" si="7"/>
        <v>13945.65</v>
      </c>
      <c r="S21" s="136">
        <f t="shared" si="8"/>
        <v>0</v>
      </c>
    </row>
    <row r="22" spans="1:19">
      <c r="A22" s="142"/>
      <c r="C22" s="141">
        <v>20</v>
      </c>
      <c r="D22" s="142" t="s">
        <v>69</v>
      </c>
      <c r="E22" s="141">
        <v>1998</v>
      </c>
      <c r="F22" s="141">
        <v>4</v>
      </c>
      <c r="G22" s="222">
        <v>0</v>
      </c>
      <c r="H22" s="141" t="s">
        <v>51</v>
      </c>
      <c r="I22" s="141">
        <v>10</v>
      </c>
      <c r="J22" s="141">
        <f t="shared" si="0"/>
        <v>2008</v>
      </c>
      <c r="K22" s="223">
        <f t="shared" si="1"/>
        <v>2008.3333333333333</v>
      </c>
      <c r="L22" s="224">
        <v>6132.19</v>
      </c>
      <c r="M22" s="136">
        <f t="shared" si="2"/>
        <v>6132.19</v>
      </c>
      <c r="N22" s="136">
        <f t="shared" si="3"/>
        <v>51.10158333333333</v>
      </c>
      <c r="O22" s="136">
        <f t="shared" si="4"/>
        <v>613.21899999999994</v>
      </c>
      <c r="P22" s="329">
        <f t="shared" si="5"/>
        <v>0</v>
      </c>
      <c r="Q22" s="329">
        <f t="shared" si="6"/>
        <v>6132.19</v>
      </c>
      <c r="R22" s="136">
        <f t="shared" si="7"/>
        <v>6132.19</v>
      </c>
      <c r="S22" s="136">
        <f t="shared" si="8"/>
        <v>0</v>
      </c>
    </row>
    <row r="23" spans="1:19">
      <c r="A23" s="142"/>
      <c r="C23" s="141">
        <v>20</v>
      </c>
      <c r="D23" s="142" t="s">
        <v>127</v>
      </c>
      <c r="E23" s="141">
        <v>1998</v>
      </c>
      <c r="F23" s="141">
        <v>4</v>
      </c>
      <c r="G23" s="222">
        <v>0</v>
      </c>
      <c r="H23" s="141" t="s">
        <v>51</v>
      </c>
      <c r="I23" s="141">
        <v>10</v>
      </c>
      <c r="J23" s="141">
        <f t="shared" si="0"/>
        <v>2008</v>
      </c>
      <c r="K23" s="223">
        <f t="shared" si="1"/>
        <v>2008.3333333333333</v>
      </c>
      <c r="L23" s="224">
        <v>7064.43</v>
      </c>
      <c r="M23" s="136">
        <f t="shared" si="2"/>
        <v>7064.43</v>
      </c>
      <c r="N23" s="136">
        <f t="shared" si="3"/>
        <v>58.870249999999999</v>
      </c>
      <c r="O23" s="136">
        <f t="shared" si="4"/>
        <v>706.44299999999998</v>
      </c>
      <c r="P23" s="329">
        <f t="shared" si="5"/>
        <v>0</v>
      </c>
      <c r="Q23" s="329">
        <f t="shared" si="6"/>
        <v>7064.43</v>
      </c>
      <c r="R23" s="136">
        <f t="shared" si="7"/>
        <v>7064.43</v>
      </c>
      <c r="S23" s="136">
        <f t="shared" si="8"/>
        <v>0</v>
      </c>
    </row>
    <row r="24" spans="1:19">
      <c r="A24" s="142"/>
      <c r="C24" s="141">
        <v>24</v>
      </c>
      <c r="D24" s="142" t="s">
        <v>127</v>
      </c>
      <c r="E24" s="141">
        <v>1998</v>
      </c>
      <c r="F24" s="141">
        <v>6</v>
      </c>
      <c r="G24" s="222">
        <v>0</v>
      </c>
      <c r="H24" s="141" t="s">
        <v>51</v>
      </c>
      <c r="I24" s="141">
        <v>10</v>
      </c>
      <c r="J24" s="141">
        <f t="shared" si="0"/>
        <v>2008</v>
      </c>
      <c r="K24" s="223">
        <f t="shared" si="1"/>
        <v>2008.5</v>
      </c>
      <c r="L24" s="224">
        <v>9373.09</v>
      </c>
      <c r="M24" s="136">
        <f t="shared" si="2"/>
        <v>9373.09</v>
      </c>
      <c r="N24" s="136">
        <f t="shared" si="3"/>
        <v>78.109083333333331</v>
      </c>
      <c r="O24" s="136">
        <f t="shared" si="4"/>
        <v>937.30899999999997</v>
      </c>
      <c r="P24" s="329">
        <f t="shared" si="5"/>
        <v>0</v>
      </c>
      <c r="Q24" s="329">
        <f t="shared" si="6"/>
        <v>9373.09</v>
      </c>
      <c r="R24" s="136">
        <f t="shared" si="7"/>
        <v>9373.09</v>
      </c>
      <c r="S24" s="136">
        <f t="shared" si="8"/>
        <v>0</v>
      </c>
    </row>
    <row r="25" spans="1:19">
      <c r="A25" s="142"/>
      <c r="C25" s="141">
        <v>10</v>
      </c>
      <c r="D25" s="142" t="s">
        <v>133</v>
      </c>
      <c r="E25" s="141">
        <v>1999</v>
      </c>
      <c r="F25" s="141">
        <v>2</v>
      </c>
      <c r="G25" s="222">
        <v>0</v>
      </c>
      <c r="H25" s="141" t="s">
        <v>51</v>
      </c>
      <c r="I25" s="141">
        <v>10</v>
      </c>
      <c r="J25" s="141">
        <f t="shared" si="0"/>
        <v>2009</v>
      </c>
      <c r="K25" s="223">
        <f t="shared" si="1"/>
        <v>2009.1666666666667</v>
      </c>
      <c r="L25" s="224">
        <v>5351.71</v>
      </c>
      <c r="M25" s="136">
        <f t="shared" si="2"/>
        <v>5351.71</v>
      </c>
      <c r="N25" s="136">
        <f t="shared" si="3"/>
        <v>44.59758333333334</v>
      </c>
      <c r="O25" s="136">
        <f t="shared" si="4"/>
        <v>535.17100000000005</v>
      </c>
      <c r="P25" s="329">
        <f t="shared" si="5"/>
        <v>0</v>
      </c>
      <c r="Q25" s="329">
        <f t="shared" si="6"/>
        <v>5351.71</v>
      </c>
      <c r="R25" s="136">
        <f t="shared" si="7"/>
        <v>5351.71</v>
      </c>
      <c r="S25" s="136">
        <f t="shared" si="8"/>
        <v>0</v>
      </c>
    </row>
    <row r="26" spans="1:19">
      <c r="A26" s="142"/>
      <c r="C26" s="141">
        <v>40</v>
      </c>
      <c r="D26" s="142" t="s">
        <v>69</v>
      </c>
      <c r="E26" s="141">
        <v>1999</v>
      </c>
      <c r="F26" s="141">
        <v>6</v>
      </c>
      <c r="G26" s="222">
        <v>0</v>
      </c>
      <c r="H26" s="141" t="s">
        <v>51</v>
      </c>
      <c r="I26" s="141">
        <v>10</v>
      </c>
      <c r="J26" s="141">
        <f t="shared" si="0"/>
        <v>2009</v>
      </c>
      <c r="K26" s="223">
        <f t="shared" si="1"/>
        <v>2009.5</v>
      </c>
      <c r="L26" s="224">
        <v>12068.39</v>
      </c>
      <c r="M26" s="136">
        <f t="shared" si="2"/>
        <v>12068.39</v>
      </c>
      <c r="N26" s="136">
        <f t="shared" si="3"/>
        <v>100.56991666666666</v>
      </c>
      <c r="O26" s="136">
        <f t="shared" si="4"/>
        <v>1206.8389999999999</v>
      </c>
      <c r="P26" s="329">
        <f t="shared" si="5"/>
        <v>0</v>
      </c>
      <c r="Q26" s="329">
        <f t="shared" si="6"/>
        <v>12068.39</v>
      </c>
      <c r="R26" s="136">
        <f t="shared" si="7"/>
        <v>12068.39</v>
      </c>
      <c r="S26" s="136">
        <f t="shared" si="8"/>
        <v>0</v>
      </c>
    </row>
    <row r="27" spans="1:19">
      <c r="A27" s="142"/>
      <c r="C27" s="141">
        <v>20</v>
      </c>
      <c r="D27" s="142" t="s">
        <v>134</v>
      </c>
      <c r="E27" s="141">
        <v>1999</v>
      </c>
      <c r="F27" s="141">
        <v>9</v>
      </c>
      <c r="G27" s="222">
        <v>0</v>
      </c>
      <c r="H27" s="141" t="s">
        <v>51</v>
      </c>
      <c r="I27" s="141">
        <v>10</v>
      </c>
      <c r="J27" s="141">
        <f t="shared" si="0"/>
        <v>2009</v>
      </c>
      <c r="K27" s="223">
        <f t="shared" si="1"/>
        <v>2009.75</v>
      </c>
      <c r="L27" s="224">
        <v>12838.03</v>
      </c>
      <c r="M27" s="136">
        <f t="shared" si="2"/>
        <v>12838.03</v>
      </c>
      <c r="N27" s="136">
        <f t="shared" si="3"/>
        <v>106.98358333333334</v>
      </c>
      <c r="O27" s="136">
        <f t="shared" si="4"/>
        <v>1283.8030000000001</v>
      </c>
      <c r="P27" s="329">
        <f t="shared" si="5"/>
        <v>0</v>
      </c>
      <c r="Q27" s="329">
        <f t="shared" si="6"/>
        <v>12838.03</v>
      </c>
      <c r="R27" s="136">
        <f t="shared" si="7"/>
        <v>12838.03</v>
      </c>
      <c r="S27" s="136">
        <f t="shared" si="8"/>
        <v>0</v>
      </c>
    </row>
    <row r="28" spans="1:19">
      <c r="A28" s="142"/>
      <c r="C28" s="141">
        <v>15</v>
      </c>
      <c r="D28" s="142" t="s">
        <v>135</v>
      </c>
      <c r="E28" s="141">
        <v>2000</v>
      </c>
      <c r="F28" s="141">
        <v>5</v>
      </c>
      <c r="G28" s="222">
        <v>0</v>
      </c>
      <c r="H28" s="141" t="s">
        <v>51</v>
      </c>
      <c r="I28" s="141">
        <v>10</v>
      </c>
      <c r="J28" s="141">
        <f t="shared" si="0"/>
        <v>2010</v>
      </c>
      <c r="K28" s="223">
        <f t="shared" si="1"/>
        <v>2010.4166666666667</v>
      </c>
      <c r="L28" s="224">
        <v>4786.29</v>
      </c>
      <c r="M28" s="136">
        <f t="shared" si="2"/>
        <v>4786.29</v>
      </c>
      <c r="N28" s="136">
        <f t="shared" si="3"/>
        <v>39.885750000000002</v>
      </c>
      <c r="O28" s="136">
        <f t="shared" si="4"/>
        <v>478.62900000000002</v>
      </c>
      <c r="P28" s="329">
        <f t="shared" si="5"/>
        <v>0</v>
      </c>
      <c r="Q28" s="329">
        <f t="shared" si="6"/>
        <v>4786.29</v>
      </c>
      <c r="R28" s="136">
        <f t="shared" si="7"/>
        <v>4786.29</v>
      </c>
      <c r="S28" s="136">
        <f t="shared" si="8"/>
        <v>0</v>
      </c>
    </row>
    <row r="29" spans="1:19">
      <c r="A29" s="142"/>
      <c r="C29" s="141">
        <v>17</v>
      </c>
      <c r="D29" s="142" t="s">
        <v>138</v>
      </c>
      <c r="E29" s="141">
        <v>2001</v>
      </c>
      <c r="F29" s="141">
        <v>7</v>
      </c>
      <c r="G29" s="222">
        <v>0</v>
      </c>
      <c r="H29" s="141" t="s">
        <v>51</v>
      </c>
      <c r="I29" s="141">
        <v>10</v>
      </c>
      <c r="J29" s="141">
        <f t="shared" si="0"/>
        <v>2011</v>
      </c>
      <c r="K29" s="223">
        <f t="shared" si="1"/>
        <v>2011.5833333333333</v>
      </c>
      <c r="L29" s="224">
        <v>5260.68</v>
      </c>
      <c r="M29" s="136">
        <f t="shared" si="2"/>
        <v>5260.68</v>
      </c>
      <c r="N29" s="136">
        <f t="shared" si="3"/>
        <v>43.838999999999999</v>
      </c>
      <c r="O29" s="136">
        <f t="shared" si="4"/>
        <v>526.06799999999998</v>
      </c>
      <c r="P29" s="329">
        <f t="shared" si="5"/>
        <v>0</v>
      </c>
      <c r="Q29" s="329">
        <f t="shared" si="6"/>
        <v>5260.68</v>
      </c>
      <c r="R29" s="136">
        <f t="shared" si="7"/>
        <v>5260.68</v>
      </c>
      <c r="S29" s="136">
        <f t="shared" si="8"/>
        <v>0</v>
      </c>
    </row>
    <row r="30" spans="1:19">
      <c r="A30" s="142"/>
      <c r="C30" s="141">
        <f>19-8</f>
        <v>11</v>
      </c>
      <c r="D30" s="142" t="s">
        <v>137</v>
      </c>
      <c r="E30" s="141">
        <v>2001</v>
      </c>
      <c r="F30" s="141">
        <v>7</v>
      </c>
      <c r="G30" s="222">
        <v>0</v>
      </c>
      <c r="H30" s="141" t="s">
        <v>51</v>
      </c>
      <c r="I30" s="141">
        <v>10</v>
      </c>
      <c r="J30" s="141">
        <f t="shared" si="0"/>
        <v>2011</v>
      </c>
      <c r="K30" s="223">
        <f t="shared" si="1"/>
        <v>2011.5833333333333</v>
      </c>
      <c r="L30" s="224">
        <f>7473.51/19*11</f>
        <v>4326.7689473684213</v>
      </c>
      <c r="M30" s="136">
        <f t="shared" si="2"/>
        <v>4326.7689473684213</v>
      </c>
      <c r="N30" s="136">
        <f t="shared" si="3"/>
        <v>36.056407894736843</v>
      </c>
      <c r="O30" s="136">
        <f t="shared" si="4"/>
        <v>432.67689473684209</v>
      </c>
      <c r="P30" s="329">
        <f t="shared" si="5"/>
        <v>0</v>
      </c>
      <c r="Q30" s="329">
        <f t="shared" si="6"/>
        <v>4326.7689473684213</v>
      </c>
      <c r="R30" s="136">
        <f t="shared" si="7"/>
        <v>4326.7689473684213</v>
      </c>
      <c r="S30" s="136">
        <f t="shared" si="8"/>
        <v>0</v>
      </c>
    </row>
    <row r="31" spans="1:19">
      <c r="A31" s="142"/>
      <c r="C31" s="141"/>
      <c r="D31" s="142" t="s">
        <v>140</v>
      </c>
      <c r="E31" s="141">
        <v>2002</v>
      </c>
      <c r="F31" s="141">
        <v>8</v>
      </c>
      <c r="G31" s="222">
        <v>0</v>
      </c>
      <c r="H31" s="141" t="s">
        <v>51</v>
      </c>
      <c r="I31" s="141">
        <v>10</v>
      </c>
      <c r="J31" s="141">
        <f t="shared" si="0"/>
        <v>2012</v>
      </c>
      <c r="K31" s="223">
        <f t="shared" si="1"/>
        <v>2012.6666666666667</v>
      </c>
      <c r="L31" s="224">
        <v>10045.290000000001</v>
      </c>
      <c r="M31" s="136">
        <f t="shared" si="2"/>
        <v>10045.290000000001</v>
      </c>
      <c r="N31" s="136">
        <f t="shared" si="3"/>
        <v>83.710750000000004</v>
      </c>
      <c r="O31" s="136">
        <f t="shared" si="4"/>
        <v>1004.529</v>
      </c>
      <c r="P31" s="329">
        <f t="shared" si="5"/>
        <v>0</v>
      </c>
      <c r="Q31" s="329">
        <f t="shared" si="6"/>
        <v>10045.290000000001</v>
      </c>
      <c r="R31" s="136">
        <f t="shared" si="7"/>
        <v>10045.290000000001</v>
      </c>
      <c r="S31" s="136">
        <f t="shared" si="8"/>
        <v>0</v>
      </c>
    </row>
    <row r="32" spans="1:19">
      <c r="A32" s="142"/>
      <c r="C32" s="141">
        <v>48</v>
      </c>
      <c r="D32" s="142" t="s">
        <v>150</v>
      </c>
      <c r="E32" s="141">
        <v>2003</v>
      </c>
      <c r="F32" s="141">
        <v>9</v>
      </c>
      <c r="G32" s="222">
        <v>0</v>
      </c>
      <c r="H32" s="141" t="s">
        <v>51</v>
      </c>
      <c r="I32" s="141">
        <v>10</v>
      </c>
      <c r="J32" s="141">
        <f t="shared" si="0"/>
        <v>2013</v>
      </c>
      <c r="K32" s="223">
        <f t="shared" si="1"/>
        <v>2013.75</v>
      </c>
      <c r="L32" s="224">
        <v>14105.71</v>
      </c>
      <c r="M32" s="136">
        <f t="shared" si="2"/>
        <v>14105.71</v>
      </c>
      <c r="N32" s="136">
        <f t="shared" si="3"/>
        <v>117.54758333333332</v>
      </c>
      <c r="O32" s="136">
        <f t="shared" si="4"/>
        <v>1410.5709999999999</v>
      </c>
      <c r="P32" s="329">
        <f t="shared" si="5"/>
        <v>0</v>
      </c>
      <c r="Q32" s="329">
        <f t="shared" si="6"/>
        <v>14105.71</v>
      </c>
      <c r="R32" s="136">
        <f t="shared" si="7"/>
        <v>14105.71</v>
      </c>
      <c r="S32" s="136">
        <f t="shared" si="8"/>
        <v>0</v>
      </c>
    </row>
    <row r="33" spans="1:19">
      <c r="A33" s="142"/>
      <c r="C33" s="141">
        <v>52</v>
      </c>
      <c r="D33" s="142" t="s">
        <v>152</v>
      </c>
      <c r="E33" s="141">
        <v>2003</v>
      </c>
      <c r="F33" s="141">
        <v>9</v>
      </c>
      <c r="G33" s="222">
        <v>0</v>
      </c>
      <c r="H33" s="141" t="s">
        <v>51</v>
      </c>
      <c r="I33" s="141">
        <v>10</v>
      </c>
      <c r="J33" s="141">
        <f t="shared" si="0"/>
        <v>2013</v>
      </c>
      <c r="K33" s="223">
        <f t="shared" si="1"/>
        <v>2013.75</v>
      </c>
      <c r="L33" s="224">
        <v>18129.38</v>
      </c>
      <c r="M33" s="136">
        <f t="shared" si="2"/>
        <v>18129.38</v>
      </c>
      <c r="N33" s="136">
        <f t="shared" si="3"/>
        <v>151.07816666666668</v>
      </c>
      <c r="O33" s="136">
        <f t="shared" si="4"/>
        <v>1812.9380000000001</v>
      </c>
      <c r="P33" s="329">
        <f t="shared" si="5"/>
        <v>0</v>
      </c>
      <c r="Q33" s="329">
        <f t="shared" si="6"/>
        <v>18129.38</v>
      </c>
      <c r="R33" s="136">
        <f t="shared" si="7"/>
        <v>18129.38</v>
      </c>
      <c r="S33" s="136">
        <f t="shared" si="8"/>
        <v>0</v>
      </c>
    </row>
    <row r="34" spans="1:19">
      <c r="A34" s="142"/>
      <c r="C34" s="141">
        <v>10</v>
      </c>
      <c r="D34" s="142" t="s">
        <v>148</v>
      </c>
      <c r="E34" s="141">
        <v>2003</v>
      </c>
      <c r="F34" s="141">
        <v>9</v>
      </c>
      <c r="G34" s="222">
        <v>0</v>
      </c>
      <c r="H34" s="141" t="s">
        <v>51</v>
      </c>
      <c r="I34" s="141">
        <v>10</v>
      </c>
      <c r="J34" s="141">
        <f t="shared" si="0"/>
        <v>2013</v>
      </c>
      <c r="K34" s="223">
        <f t="shared" si="1"/>
        <v>2013.75</v>
      </c>
      <c r="L34" s="224">
        <v>4330.24</v>
      </c>
      <c r="M34" s="136">
        <f t="shared" si="2"/>
        <v>4330.24</v>
      </c>
      <c r="N34" s="136">
        <f t="shared" si="3"/>
        <v>36.085333333333331</v>
      </c>
      <c r="O34" s="136">
        <f t="shared" si="4"/>
        <v>433.024</v>
      </c>
      <c r="P34" s="329">
        <f t="shared" si="5"/>
        <v>0</v>
      </c>
      <c r="Q34" s="329">
        <f t="shared" si="6"/>
        <v>4330.24</v>
      </c>
      <c r="R34" s="136">
        <f t="shared" si="7"/>
        <v>4330.24</v>
      </c>
      <c r="S34" s="136">
        <f t="shared" si="8"/>
        <v>0</v>
      </c>
    </row>
    <row r="35" spans="1:19">
      <c r="A35" s="142"/>
      <c r="C35" s="141"/>
      <c r="D35" s="142" t="s">
        <v>147</v>
      </c>
      <c r="E35" s="141">
        <v>2003</v>
      </c>
      <c r="F35" s="141">
        <v>9</v>
      </c>
      <c r="G35" s="222">
        <v>0</v>
      </c>
      <c r="H35" s="141" t="s">
        <v>51</v>
      </c>
      <c r="I35" s="141">
        <v>10</v>
      </c>
      <c r="J35" s="141">
        <f t="shared" si="0"/>
        <v>2013</v>
      </c>
      <c r="K35" s="223">
        <f t="shared" si="1"/>
        <v>2013.75</v>
      </c>
      <c r="L35" s="224">
        <v>1178.3</v>
      </c>
      <c r="M35" s="136">
        <f t="shared" si="2"/>
        <v>1178.3</v>
      </c>
      <c r="N35" s="136">
        <f t="shared" si="3"/>
        <v>9.8191666666666659</v>
      </c>
      <c r="O35" s="136">
        <f t="shared" si="4"/>
        <v>117.82999999999998</v>
      </c>
      <c r="P35" s="329">
        <f t="shared" si="5"/>
        <v>0</v>
      </c>
      <c r="Q35" s="329">
        <f t="shared" si="6"/>
        <v>1178.3</v>
      </c>
      <c r="R35" s="136">
        <f t="shared" si="7"/>
        <v>1178.3</v>
      </c>
      <c r="S35" s="136">
        <f t="shared" si="8"/>
        <v>0</v>
      </c>
    </row>
    <row r="36" spans="1:19">
      <c r="A36" s="142"/>
      <c r="C36" s="141"/>
      <c r="D36" s="142" t="s">
        <v>154</v>
      </c>
      <c r="E36" s="141">
        <v>2003</v>
      </c>
      <c r="F36" s="141">
        <v>12</v>
      </c>
      <c r="G36" s="222">
        <v>0</v>
      </c>
      <c r="H36" s="141" t="s">
        <v>51</v>
      </c>
      <c r="I36" s="141">
        <v>10</v>
      </c>
      <c r="J36" s="141">
        <f t="shared" si="0"/>
        <v>2013</v>
      </c>
      <c r="K36" s="223">
        <f t="shared" si="1"/>
        <v>2014</v>
      </c>
      <c r="L36" s="224">
        <v>1262.08</v>
      </c>
      <c r="M36" s="136">
        <f t="shared" si="2"/>
        <v>1262.08</v>
      </c>
      <c r="N36" s="136">
        <f t="shared" si="3"/>
        <v>10.517333333333333</v>
      </c>
      <c r="O36" s="136">
        <f t="shared" si="4"/>
        <v>126.208</v>
      </c>
      <c r="P36" s="329">
        <f t="shared" si="5"/>
        <v>0</v>
      </c>
      <c r="Q36" s="329">
        <f t="shared" si="6"/>
        <v>1262.08</v>
      </c>
      <c r="R36" s="136">
        <f t="shared" si="7"/>
        <v>1262.08</v>
      </c>
      <c r="S36" s="136">
        <f t="shared" si="8"/>
        <v>0</v>
      </c>
    </row>
    <row r="37" spans="1:19">
      <c r="A37" s="142"/>
      <c r="C37" s="141">
        <v>40</v>
      </c>
      <c r="D37" s="142" t="s">
        <v>160</v>
      </c>
      <c r="E37" s="141">
        <v>2004</v>
      </c>
      <c r="F37" s="141">
        <v>5</v>
      </c>
      <c r="G37" s="222">
        <v>0</v>
      </c>
      <c r="H37" s="141" t="s">
        <v>51</v>
      </c>
      <c r="I37" s="141">
        <v>10</v>
      </c>
      <c r="J37" s="141">
        <f t="shared" si="0"/>
        <v>2014</v>
      </c>
      <c r="K37" s="223">
        <f t="shared" si="1"/>
        <v>2014.4166666666667</v>
      </c>
      <c r="L37" s="224">
        <v>17190.400000000001</v>
      </c>
      <c r="M37" s="136">
        <f t="shared" si="2"/>
        <v>17190.400000000001</v>
      </c>
      <c r="N37" s="136">
        <f t="shared" si="3"/>
        <v>143.25333333333336</v>
      </c>
      <c r="O37" s="136">
        <f t="shared" si="4"/>
        <v>1719.0400000000004</v>
      </c>
      <c r="P37" s="329">
        <f t="shared" si="5"/>
        <v>0</v>
      </c>
      <c r="Q37" s="329">
        <f t="shared" si="6"/>
        <v>17190.400000000001</v>
      </c>
      <c r="R37" s="136">
        <f t="shared" si="7"/>
        <v>17190.400000000001</v>
      </c>
      <c r="S37" s="136">
        <f t="shared" si="8"/>
        <v>0</v>
      </c>
    </row>
    <row r="38" spans="1:19">
      <c r="A38" s="142"/>
      <c r="C38" s="141">
        <v>4</v>
      </c>
      <c r="D38" s="142" t="s">
        <v>162</v>
      </c>
      <c r="E38" s="141">
        <v>2004</v>
      </c>
      <c r="F38" s="141">
        <v>5</v>
      </c>
      <c r="G38" s="222">
        <v>0</v>
      </c>
      <c r="H38" s="141" t="s">
        <v>51</v>
      </c>
      <c r="I38" s="141">
        <v>10</v>
      </c>
      <c r="J38" s="141">
        <f t="shared" si="0"/>
        <v>2014</v>
      </c>
      <c r="K38" s="223">
        <f t="shared" si="1"/>
        <v>2014.4166666666667</v>
      </c>
      <c r="L38" s="224">
        <v>2110.7199999999998</v>
      </c>
      <c r="M38" s="136">
        <f t="shared" si="2"/>
        <v>2110.7199999999998</v>
      </c>
      <c r="N38" s="136">
        <f t="shared" si="3"/>
        <v>17.589333333333332</v>
      </c>
      <c r="O38" s="136">
        <f t="shared" si="4"/>
        <v>211.072</v>
      </c>
      <c r="P38" s="329">
        <f t="shared" si="5"/>
        <v>0</v>
      </c>
      <c r="Q38" s="329">
        <f t="shared" si="6"/>
        <v>2110.7199999999998</v>
      </c>
      <c r="R38" s="136">
        <f t="shared" si="7"/>
        <v>2110.7199999999998</v>
      </c>
      <c r="S38" s="136">
        <f t="shared" si="8"/>
        <v>0</v>
      </c>
    </row>
    <row r="39" spans="1:19">
      <c r="A39" s="142"/>
      <c r="C39" s="141">
        <v>4</v>
      </c>
      <c r="D39" s="142" t="s">
        <v>161</v>
      </c>
      <c r="E39" s="141">
        <v>2004</v>
      </c>
      <c r="F39" s="141">
        <v>5</v>
      </c>
      <c r="G39" s="222">
        <v>0</v>
      </c>
      <c r="H39" s="141" t="s">
        <v>51</v>
      </c>
      <c r="I39" s="141">
        <v>10</v>
      </c>
      <c r="J39" s="141">
        <f t="shared" si="0"/>
        <v>2014</v>
      </c>
      <c r="K39" s="223">
        <f t="shared" si="1"/>
        <v>2014.4166666666667</v>
      </c>
      <c r="L39" s="224">
        <v>2881.02</v>
      </c>
      <c r="M39" s="136">
        <f t="shared" si="2"/>
        <v>2881.02</v>
      </c>
      <c r="N39" s="136">
        <f t="shared" si="3"/>
        <v>24.008499999999998</v>
      </c>
      <c r="O39" s="136">
        <f t="shared" si="4"/>
        <v>288.10199999999998</v>
      </c>
      <c r="P39" s="329">
        <f t="shared" si="5"/>
        <v>0</v>
      </c>
      <c r="Q39" s="329">
        <f t="shared" si="6"/>
        <v>2881.02</v>
      </c>
      <c r="R39" s="136">
        <f t="shared" si="7"/>
        <v>2881.02</v>
      </c>
      <c r="S39" s="136">
        <f t="shared" si="8"/>
        <v>0</v>
      </c>
    </row>
    <row r="40" spans="1:19">
      <c r="A40" s="142"/>
      <c r="C40" s="141">
        <v>130</v>
      </c>
      <c r="D40" s="142" t="s">
        <v>156</v>
      </c>
      <c r="E40" s="141">
        <v>2004</v>
      </c>
      <c r="F40" s="141">
        <v>5</v>
      </c>
      <c r="G40" s="222">
        <v>0</v>
      </c>
      <c r="H40" s="141" t="s">
        <v>51</v>
      </c>
      <c r="I40" s="141">
        <v>10</v>
      </c>
      <c r="J40" s="141">
        <f t="shared" si="0"/>
        <v>2014</v>
      </c>
      <c r="K40" s="223">
        <f t="shared" si="1"/>
        <v>2014.4166666666667</v>
      </c>
      <c r="L40" s="224">
        <v>3000.7</v>
      </c>
      <c r="M40" s="136">
        <f t="shared" si="2"/>
        <v>3000.7</v>
      </c>
      <c r="N40" s="136">
        <f t="shared" si="3"/>
        <v>25.005833333333332</v>
      </c>
      <c r="O40" s="136">
        <f t="shared" si="4"/>
        <v>300.07</v>
      </c>
      <c r="P40" s="329">
        <f t="shared" si="5"/>
        <v>0</v>
      </c>
      <c r="Q40" s="329">
        <f t="shared" si="6"/>
        <v>3000.7</v>
      </c>
      <c r="R40" s="136">
        <f t="shared" si="7"/>
        <v>3000.7</v>
      </c>
      <c r="S40" s="136">
        <f t="shared" si="8"/>
        <v>0</v>
      </c>
    </row>
    <row r="41" spans="1:19">
      <c r="A41" s="142"/>
      <c r="C41" s="141">
        <v>30</v>
      </c>
      <c r="D41" s="142" t="s">
        <v>166</v>
      </c>
      <c r="E41" s="141">
        <v>2004</v>
      </c>
      <c r="F41" s="141">
        <v>6</v>
      </c>
      <c r="G41" s="222">
        <v>0</v>
      </c>
      <c r="H41" s="141" t="s">
        <v>51</v>
      </c>
      <c r="I41" s="141">
        <v>10</v>
      </c>
      <c r="J41" s="141">
        <f t="shared" si="0"/>
        <v>2014</v>
      </c>
      <c r="K41" s="223">
        <f t="shared" si="1"/>
        <v>2014.5</v>
      </c>
      <c r="L41" s="224">
        <v>11424</v>
      </c>
      <c r="M41" s="136">
        <f t="shared" si="2"/>
        <v>11424</v>
      </c>
      <c r="N41" s="136">
        <f t="shared" si="3"/>
        <v>95.2</v>
      </c>
      <c r="O41" s="136">
        <f t="shared" si="4"/>
        <v>1142.4000000000001</v>
      </c>
      <c r="P41" s="329">
        <f t="shared" si="5"/>
        <v>0</v>
      </c>
      <c r="Q41" s="329">
        <f t="shared" si="6"/>
        <v>11424</v>
      </c>
      <c r="R41" s="136">
        <f t="shared" si="7"/>
        <v>11424</v>
      </c>
      <c r="S41" s="136">
        <f t="shared" si="8"/>
        <v>0</v>
      </c>
    </row>
    <row r="42" spans="1:19">
      <c r="A42" s="142"/>
      <c r="C42" s="141">
        <v>25</v>
      </c>
      <c r="D42" s="142" t="s">
        <v>166</v>
      </c>
      <c r="E42" s="141">
        <v>2004</v>
      </c>
      <c r="F42" s="141">
        <v>8</v>
      </c>
      <c r="G42" s="222">
        <v>0</v>
      </c>
      <c r="H42" s="141" t="s">
        <v>51</v>
      </c>
      <c r="I42" s="141">
        <v>10</v>
      </c>
      <c r="J42" s="141">
        <f t="shared" si="0"/>
        <v>2014</v>
      </c>
      <c r="K42" s="223">
        <f t="shared" si="1"/>
        <v>2014.6666666666667</v>
      </c>
      <c r="L42" s="224">
        <v>11083.9</v>
      </c>
      <c r="M42" s="136">
        <f t="shared" si="2"/>
        <v>11083.9</v>
      </c>
      <c r="N42" s="136">
        <f t="shared" si="3"/>
        <v>92.365833333333327</v>
      </c>
      <c r="O42" s="136">
        <f t="shared" si="4"/>
        <v>1108.3899999999999</v>
      </c>
      <c r="P42" s="329">
        <f t="shared" si="5"/>
        <v>0</v>
      </c>
      <c r="Q42" s="329">
        <f t="shared" si="6"/>
        <v>11083.9</v>
      </c>
      <c r="R42" s="136">
        <f t="shared" si="7"/>
        <v>11083.9</v>
      </c>
      <c r="S42" s="136">
        <f t="shared" si="8"/>
        <v>0</v>
      </c>
    </row>
    <row r="43" spans="1:19">
      <c r="A43" s="142"/>
      <c r="C43" s="141">
        <v>25</v>
      </c>
      <c r="D43" s="142" t="s">
        <v>160</v>
      </c>
      <c r="E43" s="141">
        <v>2004</v>
      </c>
      <c r="F43" s="141">
        <v>8</v>
      </c>
      <c r="G43" s="222">
        <v>0</v>
      </c>
      <c r="H43" s="141" t="s">
        <v>51</v>
      </c>
      <c r="I43" s="141">
        <v>10</v>
      </c>
      <c r="J43" s="141">
        <f t="shared" si="0"/>
        <v>2014</v>
      </c>
      <c r="K43" s="223">
        <f t="shared" si="1"/>
        <v>2014.6666666666667</v>
      </c>
      <c r="L43" s="224">
        <v>11625.9</v>
      </c>
      <c r="M43" s="136">
        <f t="shared" si="2"/>
        <v>11625.9</v>
      </c>
      <c r="N43" s="136">
        <f t="shared" si="3"/>
        <v>96.882499999999993</v>
      </c>
      <c r="O43" s="136">
        <f t="shared" si="4"/>
        <v>1162.5899999999999</v>
      </c>
      <c r="P43" s="329">
        <f t="shared" si="5"/>
        <v>0</v>
      </c>
      <c r="Q43" s="329">
        <f t="shared" si="6"/>
        <v>11625.9</v>
      </c>
      <c r="R43" s="136">
        <f t="shared" si="7"/>
        <v>11625.9</v>
      </c>
      <c r="S43" s="136">
        <f t="shared" si="8"/>
        <v>0</v>
      </c>
    </row>
    <row r="44" spans="1:19">
      <c r="A44" s="142"/>
      <c r="C44" s="141">
        <v>16</v>
      </c>
      <c r="D44" s="142" t="s">
        <v>169</v>
      </c>
      <c r="E44" s="141">
        <v>2005</v>
      </c>
      <c r="F44" s="141">
        <v>5</v>
      </c>
      <c r="G44" s="222">
        <v>0</v>
      </c>
      <c r="H44" s="141" t="s">
        <v>51</v>
      </c>
      <c r="I44" s="141">
        <v>10</v>
      </c>
      <c r="J44" s="141">
        <f t="shared" ref="J44:J75" si="9">E44+I44</f>
        <v>2015</v>
      </c>
      <c r="K44" s="223">
        <f t="shared" ref="K44:K75" si="10">+J44+(F44/12)</f>
        <v>2015.4166666666667</v>
      </c>
      <c r="L44" s="224">
        <v>6885.57</v>
      </c>
      <c r="M44" s="136">
        <f t="shared" ref="M44:M75" si="11">L44-L44*G44</f>
        <v>6885.57</v>
      </c>
      <c r="N44" s="136">
        <f t="shared" ref="N44:N75" si="12">M44/I44/12</f>
        <v>57.379750000000001</v>
      </c>
      <c r="O44" s="136">
        <f t="shared" ref="O44:O75" si="13">N44*12</f>
        <v>688.55700000000002</v>
      </c>
      <c r="P44" s="329">
        <f t="shared" ref="P44:P75" si="14">+IF(K44&lt;=$N$6,0,O44)</f>
        <v>0</v>
      </c>
      <c r="Q44" s="329">
        <f t="shared" ref="Q44:Q75" si="15">+IF($K44&lt;=$N$7,$L44,IF(($E44+($F44/12))&gt;=$N$7,0,((($M44-((($K44-$N$7)*12)*$N44))))))</f>
        <v>6885.57</v>
      </c>
      <c r="R44" s="136">
        <f t="shared" ref="R44:R75" si="16">+IF(K44&lt;=$N$6,M44,IF(P44=0,Q44,Q44+P44))</f>
        <v>6885.57</v>
      </c>
      <c r="S44" s="136">
        <f t="shared" ref="S44:S75" si="17">+L44-R44</f>
        <v>0</v>
      </c>
    </row>
    <row r="45" spans="1:19">
      <c r="A45" s="142"/>
      <c r="C45" s="141">
        <v>16</v>
      </c>
      <c r="D45" s="142" t="s">
        <v>170</v>
      </c>
      <c r="E45" s="141">
        <v>2005</v>
      </c>
      <c r="F45" s="141">
        <v>5</v>
      </c>
      <c r="G45" s="222">
        <v>0</v>
      </c>
      <c r="H45" s="141" t="s">
        <v>51</v>
      </c>
      <c r="I45" s="141">
        <v>10</v>
      </c>
      <c r="J45" s="141">
        <f t="shared" si="9"/>
        <v>2015</v>
      </c>
      <c r="K45" s="223">
        <f t="shared" si="10"/>
        <v>2015.4166666666667</v>
      </c>
      <c r="L45" s="224">
        <v>7561.98</v>
      </c>
      <c r="M45" s="136">
        <f t="shared" si="11"/>
        <v>7561.98</v>
      </c>
      <c r="N45" s="136">
        <f t="shared" si="12"/>
        <v>63.016500000000001</v>
      </c>
      <c r="O45" s="136">
        <f t="shared" si="13"/>
        <v>756.19799999999998</v>
      </c>
      <c r="P45" s="329">
        <f t="shared" si="14"/>
        <v>0</v>
      </c>
      <c r="Q45" s="329">
        <f t="shared" si="15"/>
        <v>7561.98</v>
      </c>
      <c r="R45" s="136">
        <f t="shared" si="16"/>
        <v>7561.98</v>
      </c>
      <c r="S45" s="136">
        <f t="shared" si="17"/>
        <v>0</v>
      </c>
    </row>
    <row r="46" spans="1:19">
      <c r="A46" s="142"/>
      <c r="C46" s="141">
        <v>11</v>
      </c>
      <c r="D46" s="142" t="s">
        <v>171</v>
      </c>
      <c r="E46" s="141">
        <v>2005</v>
      </c>
      <c r="F46" s="141">
        <v>5</v>
      </c>
      <c r="G46" s="222">
        <v>0</v>
      </c>
      <c r="H46" s="141" t="s">
        <v>51</v>
      </c>
      <c r="I46" s="141">
        <v>10</v>
      </c>
      <c r="J46" s="141">
        <f t="shared" si="9"/>
        <v>2015</v>
      </c>
      <c r="K46" s="223">
        <f t="shared" si="10"/>
        <v>2015.4166666666667</v>
      </c>
      <c r="L46" s="224">
        <v>6737.06</v>
      </c>
      <c r="M46" s="136">
        <f t="shared" si="11"/>
        <v>6737.06</v>
      </c>
      <c r="N46" s="136">
        <f t="shared" si="12"/>
        <v>56.142166666666668</v>
      </c>
      <c r="O46" s="136">
        <f t="shared" si="13"/>
        <v>673.70600000000002</v>
      </c>
      <c r="P46" s="329">
        <f t="shared" si="14"/>
        <v>0</v>
      </c>
      <c r="Q46" s="329">
        <f t="shared" si="15"/>
        <v>6737.06</v>
      </c>
      <c r="R46" s="136">
        <f t="shared" si="16"/>
        <v>6737.06</v>
      </c>
      <c r="S46" s="136">
        <f t="shared" si="17"/>
        <v>0</v>
      </c>
    </row>
    <row r="47" spans="1:19">
      <c r="A47" s="142"/>
      <c r="C47" s="141">
        <v>11</v>
      </c>
      <c r="D47" s="142" t="s">
        <v>172</v>
      </c>
      <c r="E47" s="141">
        <v>2005</v>
      </c>
      <c r="F47" s="141">
        <v>5</v>
      </c>
      <c r="G47" s="222">
        <v>0</v>
      </c>
      <c r="H47" s="141" t="s">
        <v>51</v>
      </c>
      <c r="I47" s="141">
        <v>10</v>
      </c>
      <c r="J47" s="141">
        <f t="shared" si="9"/>
        <v>2015</v>
      </c>
      <c r="K47" s="223">
        <f t="shared" si="10"/>
        <v>2015.4166666666667</v>
      </c>
      <c r="L47" s="224">
        <v>8692.6</v>
      </c>
      <c r="M47" s="136">
        <f t="shared" si="11"/>
        <v>8692.6</v>
      </c>
      <c r="N47" s="136">
        <f t="shared" si="12"/>
        <v>72.438333333333333</v>
      </c>
      <c r="O47" s="136">
        <f t="shared" si="13"/>
        <v>869.26</v>
      </c>
      <c r="P47" s="329">
        <f t="shared" si="14"/>
        <v>0</v>
      </c>
      <c r="Q47" s="329">
        <f t="shared" si="15"/>
        <v>8692.6</v>
      </c>
      <c r="R47" s="136">
        <f t="shared" si="16"/>
        <v>8692.6</v>
      </c>
      <c r="S47" s="136">
        <f t="shared" si="17"/>
        <v>0</v>
      </c>
    </row>
    <row r="48" spans="1:19">
      <c r="A48" s="142"/>
      <c r="C48" s="141">
        <v>25</v>
      </c>
      <c r="D48" s="142" t="s">
        <v>175</v>
      </c>
      <c r="E48" s="141">
        <v>2005</v>
      </c>
      <c r="F48" s="141">
        <v>6</v>
      </c>
      <c r="G48" s="222">
        <v>0</v>
      </c>
      <c r="H48" s="141" t="s">
        <v>51</v>
      </c>
      <c r="I48" s="141">
        <v>10</v>
      </c>
      <c r="J48" s="141">
        <f t="shared" si="9"/>
        <v>2015</v>
      </c>
      <c r="K48" s="223">
        <f t="shared" si="10"/>
        <v>2015.5</v>
      </c>
      <c r="L48" s="224">
        <v>11478.4</v>
      </c>
      <c r="M48" s="136">
        <f t="shared" si="11"/>
        <v>11478.4</v>
      </c>
      <c r="N48" s="136">
        <f t="shared" si="12"/>
        <v>95.653333333333322</v>
      </c>
      <c r="O48" s="136">
        <f t="shared" si="13"/>
        <v>1147.8399999999999</v>
      </c>
      <c r="P48" s="329">
        <f t="shared" si="14"/>
        <v>0</v>
      </c>
      <c r="Q48" s="329">
        <f t="shared" si="15"/>
        <v>11478.4</v>
      </c>
      <c r="R48" s="136">
        <f t="shared" si="16"/>
        <v>11478.4</v>
      </c>
      <c r="S48" s="136">
        <f t="shared" si="17"/>
        <v>0</v>
      </c>
    </row>
    <row r="49" spans="1:19">
      <c r="A49" s="142"/>
      <c r="C49" s="141">
        <v>40</v>
      </c>
      <c r="D49" s="142" t="s">
        <v>169</v>
      </c>
      <c r="E49" s="141">
        <v>2005</v>
      </c>
      <c r="F49" s="141">
        <v>6</v>
      </c>
      <c r="G49" s="222">
        <v>0</v>
      </c>
      <c r="H49" s="141" t="s">
        <v>51</v>
      </c>
      <c r="I49" s="141">
        <v>10</v>
      </c>
      <c r="J49" s="141">
        <f t="shared" si="9"/>
        <v>2015</v>
      </c>
      <c r="K49" s="223">
        <f t="shared" si="10"/>
        <v>2015.5</v>
      </c>
      <c r="L49" s="224">
        <v>18017.28</v>
      </c>
      <c r="M49" s="136">
        <f t="shared" si="11"/>
        <v>18017.28</v>
      </c>
      <c r="N49" s="136">
        <f t="shared" si="12"/>
        <v>150.14399999999998</v>
      </c>
      <c r="O49" s="136">
        <f t="shared" si="13"/>
        <v>1801.7279999999996</v>
      </c>
      <c r="P49" s="329">
        <f t="shared" si="14"/>
        <v>0</v>
      </c>
      <c r="Q49" s="329">
        <f t="shared" si="15"/>
        <v>18017.28</v>
      </c>
      <c r="R49" s="136">
        <f t="shared" si="16"/>
        <v>18017.28</v>
      </c>
      <c r="S49" s="136">
        <f t="shared" si="17"/>
        <v>0</v>
      </c>
    </row>
    <row r="50" spans="1:19">
      <c r="A50" s="142"/>
      <c r="C50" s="141">
        <v>40</v>
      </c>
      <c r="D50" s="142" t="s">
        <v>170</v>
      </c>
      <c r="E50" s="141">
        <v>2005</v>
      </c>
      <c r="F50" s="141">
        <v>6</v>
      </c>
      <c r="G50" s="222">
        <v>0</v>
      </c>
      <c r="H50" s="141" t="s">
        <v>51</v>
      </c>
      <c r="I50" s="141">
        <v>10</v>
      </c>
      <c r="J50" s="141">
        <f t="shared" si="9"/>
        <v>2015</v>
      </c>
      <c r="K50" s="223">
        <f t="shared" si="10"/>
        <v>2015.5</v>
      </c>
      <c r="L50" s="224">
        <v>18931.2</v>
      </c>
      <c r="M50" s="136">
        <f t="shared" si="11"/>
        <v>18931.2</v>
      </c>
      <c r="N50" s="136">
        <f t="shared" si="12"/>
        <v>157.76000000000002</v>
      </c>
      <c r="O50" s="136">
        <f t="shared" si="13"/>
        <v>1893.1200000000003</v>
      </c>
      <c r="P50" s="329">
        <f t="shared" si="14"/>
        <v>0</v>
      </c>
      <c r="Q50" s="329">
        <f t="shared" si="15"/>
        <v>18931.2</v>
      </c>
      <c r="R50" s="136">
        <f t="shared" si="16"/>
        <v>18931.2</v>
      </c>
      <c r="S50" s="136">
        <f t="shared" si="17"/>
        <v>0</v>
      </c>
    </row>
    <row r="51" spans="1:19">
      <c r="A51" s="142"/>
      <c r="C51" s="141">
        <v>25</v>
      </c>
      <c r="D51" s="142" t="s">
        <v>169</v>
      </c>
      <c r="E51" s="141">
        <v>2005</v>
      </c>
      <c r="F51" s="141">
        <v>7</v>
      </c>
      <c r="G51" s="222">
        <v>0</v>
      </c>
      <c r="H51" s="141" t="s">
        <v>51</v>
      </c>
      <c r="I51" s="141">
        <v>10</v>
      </c>
      <c r="J51" s="141">
        <f t="shared" si="9"/>
        <v>2015</v>
      </c>
      <c r="K51" s="223">
        <f t="shared" si="10"/>
        <v>2015.5833333333333</v>
      </c>
      <c r="L51" s="224">
        <v>10758.7</v>
      </c>
      <c r="M51" s="136">
        <f t="shared" si="11"/>
        <v>10758.7</v>
      </c>
      <c r="N51" s="136">
        <f t="shared" si="12"/>
        <v>89.655833333333348</v>
      </c>
      <c r="O51" s="136">
        <f t="shared" si="13"/>
        <v>1075.8700000000001</v>
      </c>
      <c r="P51" s="329">
        <f t="shared" si="14"/>
        <v>0</v>
      </c>
      <c r="Q51" s="329">
        <f t="shared" si="15"/>
        <v>10758.7</v>
      </c>
      <c r="R51" s="136">
        <f t="shared" si="16"/>
        <v>10758.7</v>
      </c>
      <c r="S51" s="136">
        <f t="shared" si="17"/>
        <v>0</v>
      </c>
    </row>
    <row r="52" spans="1:19">
      <c r="A52" s="142"/>
      <c r="C52" s="141">
        <v>25</v>
      </c>
      <c r="D52" s="142" t="s">
        <v>170</v>
      </c>
      <c r="E52" s="141">
        <v>2005</v>
      </c>
      <c r="F52" s="141">
        <v>7</v>
      </c>
      <c r="G52" s="222">
        <v>0</v>
      </c>
      <c r="H52" s="141" t="s">
        <v>51</v>
      </c>
      <c r="I52" s="141">
        <v>10</v>
      </c>
      <c r="J52" s="141">
        <f t="shared" si="9"/>
        <v>2015</v>
      </c>
      <c r="K52" s="223">
        <f t="shared" si="10"/>
        <v>2015.5833333333333</v>
      </c>
      <c r="L52" s="224">
        <v>11815.6</v>
      </c>
      <c r="M52" s="136">
        <f t="shared" si="11"/>
        <v>11815.6</v>
      </c>
      <c r="N52" s="136">
        <f t="shared" si="12"/>
        <v>98.463333333333324</v>
      </c>
      <c r="O52" s="136">
        <f t="shared" si="13"/>
        <v>1181.56</v>
      </c>
      <c r="P52" s="329">
        <f t="shared" si="14"/>
        <v>0</v>
      </c>
      <c r="Q52" s="329">
        <f t="shared" si="15"/>
        <v>11815.6</v>
      </c>
      <c r="R52" s="136">
        <f t="shared" si="16"/>
        <v>11815.6</v>
      </c>
      <c r="S52" s="136">
        <f t="shared" si="17"/>
        <v>0</v>
      </c>
    </row>
    <row r="53" spans="1:19">
      <c r="A53" s="142"/>
      <c r="C53" s="141">
        <v>28</v>
      </c>
      <c r="D53" s="142" t="s">
        <v>175</v>
      </c>
      <c r="E53" s="141">
        <v>2006</v>
      </c>
      <c r="F53" s="141">
        <v>3</v>
      </c>
      <c r="G53" s="222">
        <v>0</v>
      </c>
      <c r="H53" s="141" t="s">
        <v>51</v>
      </c>
      <c r="I53" s="141">
        <v>10</v>
      </c>
      <c r="J53" s="141">
        <f t="shared" si="9"/>
        <v>2016</v>
      </c>
      <c r="K53" s="223">
        <f t="shared" si="10"/>
        <v>2016.25</v>
      </c>
      <c r="L53" s="224">
        <v>12551.17</v>
      </c>
      <c r="M53" s="136">
        <f t="shared" si="11"/>
        <v>12551.17</v>
      </c>
      <c r="N53" s="136">
        <f t="shared" si="12"/>
        <v>104.59308333333333</v>
      </c>
      <c r="O53" s="136">
        <f t="shared" si="13"/>
        <v>1255.117</v>
      </c>
      <c r="P53" s="329">
        <f t="shared" si="14"/>
        <v>0</v>
      </c>
      <c r="Q53" s="329">
        <f t="shared" si="15"/>
        <v>12551.17</v>
      </c>
      <c r="R53" s="136">
        <f t="shared" si="16"/>
        <v>12551.17</v>
      </c>
      <c r="S53" s="136">
        <f t="shared" si="17"/>
        <v>0</v>
      </c>
    </row>
    <row r="54" spans="1:19">
      <c r="A54" s="142"/>
      <c r="C54" s="141">
        <v>18</v>
      </c>
      <c r="D54" s="142" t="s">
        <v>175</v>
      </c>
      <c r="E54" s="141">
        <v>2006</v>
      </c>
      <c r="F54" s="141">
        <v>3</v>
      </c>
      <c r="G54" s="222">
        <v>0</v>
      </c>
      <c r="H54" s="141" t="s">
        <v>51</v>
      </c>
      <c r="I54" s="141">
        <v>10</v>
      </c>
      <c r="J54" s="141">
        <f t="shared" si="9"/>
        <v>2016</v>
      </c>
      <c r="K54" s="223">
        <f t="shared" si="10"/>
        <v>2016.25</v>
      </c>
      <c r="L54" s="224">
        <v>8068.61</v>
      </c>
      <c r="M54" s="136">
        <f t="shared" si="11"/>
        <v>8068.61</v>
      </c>
      <c r="N54" s="136">
        <f t="shared" si="12"/>
        <v>67.238416666666666</v>
      </c>
      <c r="O54" s="136">
        <f t="shared" si="13"/>
        <v>806.86099999999999</v>
      </c>
      <c r="P54" s="329">
        <f t="shared" si="14"/>
        <v>0</v>
      </c>
      <c r="Q54" s="329">
        <f t="shared" si="15"/>
        <v>8068.61</v>
      </c>
      <c r="R54" s="136">
        <f t="shared" si="16"/>
        <v>8068.61</v>
      </c>
      <c r="S54" s="136">
        <f t="shared" si="17"/>
        <v>0</v>
      </c>
    </row>
    <row r="55" spans="1:19">
      <c r="A55" s="142"/>
      <c r="C55" s="141">
        <v>18</v>
      </c>
      <c r="D55" s="142" t="s">
        <v>169</v>
      </c>
      <c r="E55" s="141">
        <v>2006</v>
      </c>
      <c r="F55" s="141">
        <v>3</v>
      </c>
      <c r="G55" s="222">
        <v>0</v>
      </c>
      <c r="H55" s="141" t="s">
        <v>51</v>
      </c>
      <c r="I55" s="141">
        <v>10</v>
      </c>
      <c r="J55" s="141">
        <f t="shared" si="9"/>
        <v>2016</v>
      </c>
      <c r="K55" s="223">
        <f t="shared" si="10"/>
        <v>2016.25</v>
      </c>
      <c r="L55" s="224">
        <v>7872.77</v>
      </c>
      <c r="M55" s="136">
        <f t="shared" si="11"/>
        <v>7872.77</v>
      </c>
      <c r="N55" s="136">
        <f t="shared" si="12"/>
        <v>65.606416666666675</v>
      </c>
      <c r="O55" s="136">
        <f t="shared" si="13"/>
        <v>787.27700000000004</v>
      </c>
      <c r="P55" s="329">
        <f t="shared" si="14"/>
        <v>0</v>
      </c>
      <c r="Q55" s="329">
        <f t="shared" si="15"/>
        <v>7872.77</v>
      </c>
      <c r="R55" s="136">
        <f t="shared" si="16"/>
        <v>7872.77</v>
      </c>
      <c r="S55" s="136">
        <f t="shared" si="17"/>
        <v>0</v>
      </c>
    </row>
    <row r="56" spans="1:19">
      <c r="A56" s="142"/>
      <c r="C56" s="141">
        <v>28</v>
      </c>
      <c r="D56" s="142" t="s">
        <v>170</v>
      </c>
      <c r="E56" s="141">
        <v>2006</v>
      </c>
      <c r="F56" s="141">
        <v>3</v>
      </c>
      <c r="G56" s="222">
        <v>0</v>
      </c>
      <c r="H56" s="141" t="s">
        <v>51</v>
      </c>
      <c r="I56" s="141">
        <v>10</v>
      </c>
      <c r="J56" s="141">
        <f t="shared" si="9"/>
        <v>2016</v>
      </c>
      <c r="K56" s="223">
        <f t="shared" si="10"/>
        <v>2016.25</v>
      </c>
      <c r="L56" s="224">
        <v>13251.84</v>
      </c>
      <c r="M56" s="136">
        <f t="shared" si="11"/>
        <v>13251.84</v>
      </c>
      <c r="N56" s="136">
        <f t="shared" si="12"/>
        <v>110.432</v>
      </c>
      <c r="O56" s="136">
        <f t="shared" si="13"/>
        <v>1325.184</v>
      </c>
      <c r="P56" s="329">
        <f t="shared" si="14"/>
        <v>0</v>
      </c>
      <c r="Q56" s="329">
        <f t="shared" si="15"/>
        <v>13251.84</v>
      </c>
      <c r="R56" s="136">
        <f t="shared" si="16"/>
        <v>13251.84</v>
      </c>
      <c r="S56" s="136">
        <f t="shared" si="17"/>
        <v>0</v>
      </c>
    </row>
    <row r="57" spans="1:19">
      <c r="A57" s="142"/>
      <c r="C57" s="141">
        <v>20</v>
      </c>
      <c r="D57" s="142" t="s">
        <v>170</v>
      </c>
      <c r="E57" s="141">
        <v>2006</v>
      </c>
      <c r="F57" s="141">
        <v>3</v>
      </c>
      <c r="G57" s="222">
        <v>0</v>
      </c>
      <c r="H57" s="141" t="s">
        <v>51</v>
      </c>
      <c r="I57" s="141">
        <v>10</v>
      </c>
      <c r="J57" s="141">
        <f t="shared" si="9"/>
        <v>2016</v>
      </c>
      <c r="K57" s="223">
        <f t="shared" si="10"/>
        <v>2016.25</v>
      </c>
      <c r="L57" s="224">
        <v>9465.6</v>
      </c>
      <c r="M57" s="136">
        <f t="shared" si="11"/>
        <v>9465.6</v>
      </c>
      <c r="N57" s="136">
        <f t="shared" si="12"/>
        <v>78.88000000000001</v>
      </c>
      <c r="O57" s="136">
        <f t="shared" si="13"/>
        <v>946.56000000000017</v>
      </c>
      <c r="P57" s="329">
        <f t="shared" si="14"/>
        <v>0</v>
      </c>
      <c r="Q57" s="329">
        <f t="shared" si="15"/>
        <v>9465.6</v>
      </c>
      <c r="R57" s="136">
        <f t="shared" si="16"/>
        <v>9465.6</v>
      </c>
      <c r="S57" s="136">
        <f t="shared" si="17"/>
        <v>0</v>
      </c>
    </row>
    <row r="58" spans="1:19">
      <c r="A58" s="142"/>
      <c r="C58" s="141">
        <v>17</v>
      </c>
      <c r="D58" s="142" t="s">
        <v>169</v>
      </c>
      <c r="E58" s="141">
        <v>2007</v>
      </c>
      <c r="F58" s="141">
        <v>6</v>
      </c>
      <c r="G58" s="222">
        <v>0</v>
      </c>
      <c r="H58" s="141" t="s">
        <v>51</v>
      </c>
      <c r="I58" s="141">
        <v>10</v>
      </c>
      <c r="J58" s="141">
        <f t="shared" si="9"/>
        <v>2017</v>
      </c>
      <c r="K58" s="223">
        <f t="shared" si="10"/>
        <v>2017.5</v>
      </c>
      <c r="L58" s="224">
        <v>7334.34</v>
      </c>
      <c r="M58" s="136">
        <f t="shared" si="11"/>
        <v>7334.34</v>
      </c>
      <c r="N58" s="136">
        <f t="shared" si="12"/>
        <v>61.119499999999995</v>
      </c>
      <c r="O58" s="136">
        <f t="shared" si="13"/>
        <v>733.43399999999997</v>
      </c>
      <c r="P58" s="329">
        <f t="shared" si="14"/>
        <v>0</v>
      </c>
      <c r="Q58" s="329">
        <f t="shared" si="15"/>
        <v>7334.34</v>
      </c>
      <c r="R58" s="136">
        <f t="shared" si="16"/>
        <v>7334.34</v>
      </c>
      <c r="S58" s="136">
        <f t="shared" si="17"/>
        <v>0</v>
      </c>
    </row>
    <row r="59" spans="1:19">
      <c r="A59" s="142"/>
      <c r="C59" s="141">
        <v>40</v>
      </c>
      <c r="D59" s="142" t="s">
        <v>170</v>
      </c>
      <c r="E59" s="141">
        <v>2007</v>
      </c>
      <c r="F59" s="141">
        <v>6</v>
      </c>
      <c r="G59" s="222">
        <v>0</v>
      </c>
      <c r="H59" s="141" t="s">
        <v>51</v>
      </c>
      <c r="I59" s="141">
        <v>10</v>
      </c>
      <c r="J59" s="141">
        <f t="shared" si="9"/>
        <v>2017</v>
      </c>
      <c r="K59" s="223">
        <f t="shared" si="10"/>
        <v>2017.5</v>
      </c>
      <c r="L59" s="224">
        <v>18037.759999999998</v>
      </c>
      <c r="M59" s="136">
        <f t="shared" si="11"/>
        <v>18037.759999999998</v>
      </c>
      <c r="N59" s="136">
        <f t="shared" si="12"/>
        <v>150.31466666666665</v>
      </c>
      <c r="O59" s="136">
        <f t="shared" si="13"/>
        <v>1803.7759999999998</v>
      </c>
      <c r="P59" s="329">
        <f t="shared" si="14"/>
        <v>0</v>
      </c>
      <c r="Q59" s="329">
        <f t="shared" si="15"/>
        <v>18037.759999999998</v>
      </c>
      <c r="R59" s="136">
        <f t="shared" si="16"/>
        <v>18037.759999999998</v>
      </c>
      <c r="S59" s="136">
        <f t="shared" si="17"/>
        <v>0</v>
      </c>
    </row>
    <row r="60" spans="1:19">
      <c r="A60" s="142"/>
      <c r="C60" s="141">
        <v>10</v>
      </c>
      <c r="D60" s="142" t="s">
        <v>175</v>
      </c>
      <c r="E60" s="141">
        <v>2008</v>
      </c>
      <c r="F60" s="141">
        <v>9</v>
      </c>
      <c r="G60" s="222">
        <v>0</v>
      </c>
      <c r="H60" s="141" t="s">
        <v>51</v>
      </c>
      <c r="I60" s="141">
        <v>10</v>
      </c>
      <c r="J60" s="141">
        <f t="shared" si="9"/>
        <v>2018</v>
      </c>
      <c r="K60" s="223">
        <f t="shared" si="10"/>
        <v>2018.75</v>
      </c>
      <c r="L60" s="224">
        <v>5873.11</v>
      </c>
      <c r="M60" s="136">
        <f t="shared" si="11"/>
        <v>5873.11</v>
      </c>
      <c r="N60" s="136">
        <f t="shared" si="12"/>
        <v>48.942583333333324</v>
      </c>
      <c r="O60" s="136">
        <f t="shared" si="13"/>
        <v>587.31099999999992</v>
      </c>
      <c r="P60" s="329">
        <f t="shared" si="14"/>
        <v>0</v>
      </c>
      <c r="Q60" s="329">
        <f t="shared" si="15"/>
        <v>5873.11</v>
      </c>
      <c r="R60" s="136">
        <f t="shared" si="16"/>
        <v>5873.11</v>
      </c>
      <c r="S60" s="136">
        <f t="shared" si="17"/>
        <v>0</v>
      </c>
    </row>
    <row r="61" spans="1:19">
      <c r="A61" s="142"/>
      <c r="C61" s="141">
        <v>16</v>
      </c>
      <c r="D61" s="142" t="s">
        <v>170</v>
      </c>
      <c r="E61" s="141">
        <v>2008</v>
      </c>
      <c r="F61" s="141">
        <v>9</v>
      </c>
      <c r="G61" s="222">
        <v>0</v>
      </c>
      <c r="H61" s="141" t="s">
        <v>51</v>
      </c>
      <c r="I61" s="141">
        <v>10</v>
      </c>
      <c r="J61" s="141">
        <f t="shared" si="9"/>
        <v>2018</v>
      </c>
      <c r="K61" s="223">
        <f t="shared" si="10"/>
        <v>2018.75</v>
      </c>
      <c r="L61" s="224">
        <v>9335.41</v>
      </c>
      <c r="M61" s="136">
        <f t="shared" si="11"/>
        <v>9335.41</v>
      </c>
      <c r="N61" s="136">
        <f t="shared" si="12"/>
        <v>77.795083333333324</v>
      </c>
      <c r="O61" s="136">
        <f t="shared" si="13"/>
        <v>933.54099999999994</v>
      </c>
      <c r="P61" s="329">
        <f t="shared" si="14"/>
        <v>0</v>
      </c>
      <c r="Q61" s="329">
        <f t="shared" si="15"/>
        <v>9335.41</v>
      </c>
      <c r="R61" s="136">
        <f t="shared" si="16"/>
        <v>9335.41</v>
      </c>
      <c r="S61" s="136">
        <f t="shared" si="17"/>
        <v>0</v>
      </c>
    </row>
    <row r="62" spans="1:19">
      <c r="A62" s="142">
        <v>237926</v>
      </c>
      <c r="C62" s="141">
        <v>16</v>
      </c>
      <c r="D62" s="142" t="s">
        <v>559</v>
      </c>
      <c r="E62" s="141">
        <v>2008</v>
      </c>
      <c r="F62" s="141">
        <v>11</v>
      </c>
      <c r="G62" s="222">
        <v>0</v>
      </c>
      <c r="H62" s="141" t="s">
        <v>51</v>
      </c>
      <c r="I62" s="141">
        <v>7</v>
      </c>
      <c r="J62" s="141">
        <f t="shared" si="9"/>
        <v>2015</v>
      </c>
      <c r="K62" s="223">
        <f t="shared" si="10"/>
        <v>2015.9166666666667</v>
      </c>
      <c r="L62" s="136">
        <v>1473.44</v>
      </c>
      <c r="M62" s="136">
        <f t="shared" si="11"/>
        <v>1473.44</v>
      </c>
      <c r="N62" s="136">
        <f t="shared" si="12"/>
        <v>17.54095238095238</v>
      </c>
      <c r="O62" s="136">
        <f t="shared" si="13"/>
        <v>210.49142857142857</v>
      </c>
      <c r="P62" s="329">
        <f t="shared" si="14"/>
        <v>0</v>
      </c>
      <c r="Q62" s="329">
        <f t="shared" si="15"/>
        <v>1473.44</v>
      </c>
      <c r="R62" s="136">
        <f t="shared" si="16"/>
        <v>1473.44</v>
      </c>
      <c r="S62" s="136">
        <f t="shared" si="17"/>
        <v>0</v>
      </c>
    </row>
    <row r="63" spans="1:19">
      <c r="A63" s="142"/>
      <c r="C63" s="141">
        <v>12</v>
      </c>
      <c r="D63" s="142" t="s">
        <v>236</v>
      </c>
      <c r="E63" s="141">
        <v>2010</v>
      </c>
      <c r="F63" s="141">
        <v>6</v>
      </c>
      <c r="G63" s="222">
        <v>0</v>
      </c>
      <c r="H63" s="141" t="s">
        <v>51</v>
      </c>
      <c r="I63" s="141">
        <v>10</v>
      </c>
      <c r="J63" s="141">
        <f t="shared" si="9"/>
        <v>2020</v>
      </c>
      <c r="K63" s="223">
        <f t="shared" si="10"/>
        <v>2020.5</v>
      </c>
      <c r="L63" s="136">
        <v>5970.67</v>
      </c>
      <c r="M63" s="136">
        <f t="shared" si="11"/>
        <v>5970.67</v>
      </c>
      <c r="N63" s="136">
        <f t="shared" si="12"/>
        <v>49.755583333333334</v>
      </c>
      <c r="O63" s="136">
        <f t="shared" si="13"/>
        <v>597.06700000000001</v>
      </c>
      <c r="P63" s="329">
        <f t="shared" si="14"/>
        <v>0</v>
      </c>
      <c r="Q63" s="329">
        <f t="shared" si="15"/>
        <v>5970.67</v>
      </c>
      <c r="R63" s="136">
        <f t="shared" si="16"/>
        <v>5970.67</v>
      </c>
      <c r="S63" s="136">
        <f t="shared" si="17"/>
        <v>0</v>
      </c>
    </row>
    <row r="64" spans="1:19">
      <c r="A64" s="142"/>
      <c r="C64" s="141">
        <v>12</v>
      </c>
      <c r="D64" s="142" t="s">
        <v>235</v>
      </c>
      <c r="E64" s="141">
        <v>2010</v>
      </c>
      <c r="F64" s="141">
        <v>6</v>
      </c>
      <c r="G64" s="222">
        <v>0</v>
      </c>
      <c r="H64" s="141" t="s">
        <v>51</v>
      </c>
      <c r="I64" s="141">
        <v>10</v>
      </c>
      <c r="J64" s="141">
        <f t="shared" si="9"/>
        <v>2020</v>
      </c>
      <c r="K64" s="223">
        <f t="shared" si="10"/>
        <v>2020.5</v>
      </c>
      <c r="L64" s="136">
        <v>5547.91</v>
      </c>
      <c r="M64" s="136">
        <f t="shared" si="11"/>
        <v>5547.91</v>
      </c>
      <c r="N64" s="136">
        <f t="shared" si="12"/>
        <v>46.232583333333331</v>
      </c>
      <c r="O64" s="136">
        <f t="shared" si="13"/>
        <v>554.79099999999994</v>
      </c>
      <c r="P64" s="329">
        <f t="shared" si="14"/>
        <v>0</v>
      </c>
      <c r="Q64" s="329">
        <f t="shared" si="15"/>
        <v>5547.91</v>
      </c>
      <c r="R64" s="136">
        <f t="shared" si="16"/>
        <v>5547.91</v>
      </c>
      <c r="S64" s="136">
        <f t="shared" si="17"/>
        <v>0</v>
      </c>
    </row>
    <row r="65" spans="1:19">
      <c r="A65" s="142"/>
      <c r="C65" s="141">
        <v>30</v>
      </c>
      <c r="D65" s="142" t="s">
        <v>237</v>
      </c>
      <c r="E65" s="141">
        <v>2010</v>
      </c>
      <c r="F65" s="141">
        <v>7</v>
      </c>
      <c r="G65" s="222">
        <v>0</v>
      </c>
      <c r="H65" s="141" t="s">
        <v>51</v>
      </c>
      <c r="I65" s="141">
        <v>10</v>
      </c>
      <c r="J65" s="141">
        <f t="shared" si="9"/>
        <v>2020</v>
      </c>
      <c r="K65" s="223">
        <f t="shared" si="10"/>
        <v>2020.5833333333333</v>
      </c>
      <c r="L65" s="136">
        <v>13503.93</v>
      </c>
      <c r="M65" s="136">
        <f t="shared" si="11"/>
        <v>13503.93</v>
      </c>
      <c r="N65" s="136">
        <f t="shared" si="12"/>
        <v>112.53275000000001</v>
      </c>
      <c r="O65" s="136">
        <f t="shared" si="13"/>
        <v>1350.393</v>
      </c>
      <c r="P65" s="329">
        <f t="shared" si="14"/>
        <v>0</v>
      </c>
      <c r="Q65" s="329">
        <f t="shared" si="15"/>
        <v>13503.93</v>
      </c>
      <c r="R65" s="136">
        <f t="shared" si="16"/>
        <v>13503.93</v>
      </c>
      <c r="S65" s="136">
        <f t="shared" si="17"/>
        <v>0</v>
      </c>
    </row>
    <row r="66" spans="1:19">
      <c r="A66" s="142"/>
      <c r="C66" s="141">
        <v>10</v>
      </c>
      <c r="D66" s="142" t="s">
        <v>171</v>
      </c>
      <c r="E66" s="141">
        <v>2010</v>
      </c>
      <c r="F66" s="141">
        <v>7</v>
      </c>
      <c r="G66" s="222">
        <v>0</v>
      </c>
      <c r="H66" s="141" t="s">
        <v>51</v>
      </c>
      <c r="I66" s="141">
        <v>10</v>
      </c>
      <c r="J66" s="141">
        <f t="shared" si="9"/>
        <v>2020</v>
      </c>
      <c r="K66" s="223">
        <f t="shared" si="10"/>
        <v>2020.5833333333333</v>
      </c>
      <c r="L66" s="136">
        <v>7100.2</v>
      </c>
      <c r="M66" s="136">
        <f t="shared" si="11"/>
        <v>7100.2</v>
      </c>
      <c r="N66" s="136">
        <f t="shared" si="12"/>
        <v>59.168333333333329</v>
      </c>
      <c r="O66" s="136">
        <f t="shared" si="13"/>
        <v>710.02</v>
      </c>
      <c r="P66" s="329">
        <f t="shared" si="14"/>
        <v>0</v>
      </c>
      <c r="Q66" s="329">
        <f t="shared" si="15"/>
        <v>7100.2</v>
      </c>
      <c r="R66" s="136">
        <f t="shared" si="16"/>
        <v>7100.2</v>
      </c>
      <c r="S66" s="136">
        <f t="shared" si="17"/>
        <v>0</v>
      </c>
    </row>
    <row r="67" spans="1:19">
      <c r="A67" s="142"/>
      <c r="C67" s="141">
        <v>10</v>
      </c>
      <c r="D67" s="142" t="s">
        <v>172</v>
      </c>
      <c r="E67" s="141">
        <v>2010</v>
      </c>
      <c r="F67" s="141">
        <v>7</v>
      </c>
      <c r="G67" s="222">
        <v>0</v>
      </c>
      <c r="H67" s="141" t="s">
        <v>51</v>
      </c>
      <c r="I67" s="141">
        <v>10</v>
      </c>
      <c r="J67" s="141">
        <f t="shared" si="9"/>
        <v>2020</v>
      </c>
      <c r="K67" s="223">
        <f t="shared" si="10"/>
        <v>2020.5833333333333</v>
      </c>
      <c r="L67" s="136">
        <v>9457.9</v>
      </c>
      <c r="M67" s="136">
        <f t="shared" si="11"/>
        <v>9457.9</v>
      </c>
      <c r="N67" s="136">
        <f t="shared" si="12"/>
        <v>78.81583333333333</v>
      </c>
      <c r="O67" s="136">
        <f t="shared" si="13"/>
        <v>945.79</v>
      </c>
      <c r="P67" s="329">
        <f t="shared" si="14"/>
        <v>0</v>
      </c>
      <c r="Q67" s="329">
        <f t="shared" si="15"/>
        <v>9457.9</v>
      </c>
      <c r="R67" s="136">
        <f t="shared" si="16"/>
        <v>9457.9</v>
      </c>
      <c r="S67" s="136">
        <f t="shared" si="17"/>
        <v>0</v>
      </c>
    </row>
    <row r="68" spans="1:19">
      <c r="A68" s="142"/>
      <c r="C68" s="141">
        <v>22</v>
      </c>
      <c r="D68" s="142" t="s">
        <v>235</v>
      </c>
      <c r="E68" s="141">
        <v>2011</v>
      </c>
      <c r="F68" s="141">
        <v>7</v>
      </c>
      <c r="G68" s="222">
        <v>0</v>
      </c>
      <c r="H68" s="141" t="s">
        <v>51</v>
      </c>
      <c r="I68" s="141">
        <v>10</v>
      </c>
      <c r="J68" s="141">
        <f t="shared" si="9"/>
        <v>2021</v>
      </c>
      <c r="K68" s="223">
        <f t="shared" si="10"/>
        <v>2021.5833333333333</v>
      </c>
      <c r="L68" s="136">
        <v>11585.79</v>
      </c>
      <c r="M68" s="136">
        <f t="shared" si="11"/>
        <v>11585.79</v>
      </c>
      <c r="N68" s="136">
        <f t="shared" si="12"/>
        <v>96.54825000000001</v>
      </c>
      <c r="O68" s="136">
        <f t="shared" si="13"/>
        <v>1158.5790000000002</v>
      </c>
      <c r="P68" s="329">
        <f t="shared" si="14"/>
        <v>0</v>
      </c>
      <c r="Q68" s="329">
        <f t="shared" si="15"/>
        <v>11585.79</v>
      </c>
      <c r="R68" s="136">
        <f t="shared" si="16"/>
        <v>11585.79</v>
      </c>
      <c r="S68" s="136">
        <f t="shared" si="17"/>
        <v>0</v>
      </c>
    </row>
    <row r="69" spans="1:19">
      <c r="A69" s="142"/>
      <c r="C69" s="141">
        <v>17</v>
      </c>
      <c r="D69" s="142" t="s">
        <v>236</v>
      </c>
      <c r="E69" s="141">
        <v>2011</v>
      </c>
      <c r="F69" s="141">
        <v>8</v>
      </c>
      <c r="G69" s="222">
        <v>0</v>
      </c>
      <c r="H69" s="141" t="s">
        <v>51</v>
      </c>
      <c r="I69" s="141">
        <v>10</v>
      </c>
      <c r="J69" s="141">
        <f t="shared" si="9"/>
        <v>2021</v>
      </c>
      <c r="K69" s="223">
        <f t="shared" si="10"/>
        <v>2021.6666666666667</v>
      </c>
      <c r="L69" s="136">
        <f>7585.83+1132.8</f>
        <v>8718.6299999999992</v>
      </c>
      <c r="M69" s="136">
        <f t="shared" si="11"/>
        <v>8718.6299999999992</v>
      </c>
      <c r="N69" s="136">
        <f t="shared" si="12"/>
        <v>72.655249999999995</v>
      </c>
      <c r="O69" s="136">
        <f t="shared" si="13"/>
        <v>871.86299999999994</v>
      </c>
      <c r="P69" s="329">
        <f t="shared" si="14"/>
        <v>0</v>
      </c>
      <c r="Q69" s="329">
        <f t="shared" si="15"/>
        <v>8718.6299999999992</v>
      </c>
      <c r="R69" s="136">
        <f t="shared" si="16"/>
        <v>8718.6299999999992</v>
      </c>
      <c r="S69" s="136">
        <f t="shared" si="17"/>
        <v>0</v>
      </c>
    </row>
    <row r="70" spans="1:19">
      <c r="A70" s="142"/>
      <c r="C70" s="141">
        <v>5</v>
      </c>
      <c r="D70" s="142" t="s">
        <v>237</v>
      </c>
      <c r="E70" s="141">
        <v>2011</v>
      </c>
      <c r="F70" s="141">
        <v>8</v>
      </c>
      <c r="G70" s="222">
        <v>0</v>
      </c>
      <c r="H70" s="141" t="s">
        <v>51</v>
      </c>
      <c r="I70" s="141">
        <v>10</v>
      </c>
      <c r="J70" s="141">
        <f t="shared" si="9"/>
        <v>2021</v>
      </c>
      <c r="K70" s="223">
        <f t="shared" si="10"/>
        <v>2021.6666666666667</v>
      </c>
      <c r="L70" s="136">
        <v>2758.78</v>
      </c>
      <c r="M70" s="136">
        <f t="shared" si="11"/>
        <v>2758.78</v>
      </c>
      <c r="N70" s="136">
        <f t="shared" si="12"/>
        <v>22.989833333333337</v>
      </c>
      <c r="O70" s="136">
        <f t="shared" si="13"/>
        <v>275.87800000000004</v>
      </c>
      <c r="P70" s="329">
        <f t="shared" si="14"/>
        <v>0</v>
      </c>
      <c r="Q70" s="329">
        <f t="shared" si="15"/>
        <v>2758.78</v>
      </c>
      <c r="R70" s="136">
        <f t="shared" si="16"/>
        <v>2758.78</v>
      </c>
      <c r="S70" s="136">
        <f t="shared" si="17"/>
        <v>0</v>
      </c>
    </row>
    <row r="71" spans="1:19">
      <c r="A71" s="142">
        <v>238068</v>
      </c>
      <c r="C71" s="141">
        <v>6</v>
      </c>
      <c r="D71" s="142" t="s">
        <v>558</v>
      </c>
      <c r="E71" s="141">
        <v>2011</v>
      </c>
      <c r="F71" s="141">
        <v>1</v>
      </c>
      <c r="G71" s="222">
        <v>0</v>
      </c>
      <c r="H71" s="141" t="s">
        <v>51</v>
      </c>
      <c r="I71" s="141">
        <v>3</v>
      </c>
      <c r="J71" s="141">
        <f t="shared" si="9"/>
        <v>2014</v>
      </c>
      <c r="K71" s="223">
        <f t="shared" si="10"/>
        <v>2014.0833333333333</v>
      </c>
      <c r="L71" s="136">
        <v>0.03</v>
      </c>
      <c r="M71" s="136">
        <f t="shared" si="11"/>
        <v>0.03</v>
      </c>
      <c r="N71" s="136">
        <f t="shared" si="12"/>
        <v>8.3333333333333339E-4</v>
      </c>
      <c r="O71" s="136">
        <f t="shared" si="13"/>
        <v>0.01</v>
      </c>
      <c r="P71" s="329">
        <f t="shared" si="14"/>
        <v>0</v>
      </c>
      <c r="Q71" s="329">
        <f t="shared" si="15"/>
        <v>0.03</v>
      </c>
      <c r="R71" s="136">
        <f t="shared" si="16"/>
        <v>0.03</v>
      </c>
      <c r="S71" s="136">
        <f t="shared" si="17"/>
        <v>0</v>
      </c>
    </row>
    <row r="72" spans="1:19">
      <c r="A72" s="142">
        <v>237923</v>
      </c>
      <c r="C72" s="141">
        <v>12</v>
      </c>
      <c r="D72" s="142" t="s">
        <v>560</v>
      </c>
      <c r="E72" s="141">
        <v>2008</v>
      </c>
      <c r="F72" s="141">
        <v>11</v>
      </c>
      <c r="G72" s="222">
        <v>0</v>
      </c>
      <c r="H72" s="141" t="s">
        <v>51</v>
      </c>
      <c r="I72" s="141">
        <v>7</v>
      </c>
      <c r="J72" s="141">
        <f t="shared" si="9"/>
        <v>2015</v>
      </c>
      <c r="K72" s="223">
        <f t="shared" si="10"/>
        <v>2015.9166666666667</v>
      </c>
      <c r="L72" s="136">
        <v>378.52</v>
      </c>
      <c r="M72" s="136">
        <f t="shared" si="11"/>
        <v>378.52</v>
      </c>
      <c r="N72" s="136">
        <f t="shared" si="12"/>
        <v>4.5061904761904765</v>
      </c>
      <c r="O72" s="136">
        <f t="shared" si="13"/>
        <v>54.074285714285722</v>
      </c>
      <c r="P72" s="329">
        <f t="shared" si="14"/>
        <v>0</v>
      </c>
      <c r="Q72" s="329">
        <f t="shared" si="15"/>
        <v>378.52</v>
      </c>
      <c r="R72" s="136">
        <f t="shared" si="16"/>
        <v>378.52</v>
      </c>
      <c r="S72" s="136">
        <f t="shared" si="17"/>
        <v>0</v>
      </c>
    </row>
    <row r="73" spans="1:19">
      <c r="A73" s="142">
        <v>237921</v>
      </c>
      <c r="C73" s="141">
        <v>6</v>
      </c>
      <c r="D73" s="142" t="s">
        <v>561</v>
      </c>
      <c r="E73" s="141">
        <v>2008</v>
      </c>
      <c r="F73" s="141">
        <v>11</v>
      </c>
      <c r="G73" s="222">
        <v>0</v>
      </c>
      <c r="H73" s="141" t="s">
        <v>51</v>
      </c>
      <c r="I73" s="141">
        <v>12</v>
      </c>
      <c r="J73" s="141">
        <f t="shared" si="9"/>
        <v>2020</v>
      </c>
      <c r="K73" s="223">
        <f t="shared" si="10"/>
        <v>2020.9166666666667</v>
      </c>
      <c r="L73" s="136">
        <v>1380</v>
      </c>
      <c r="M73" s="136">
        <f t="shared" si="11"/>
        <v>1380</v>
      </c>
      <c r="N73" s="136">
        <f t="shared" si="12"/>
        <v>9.5833333333333339</v>
      </c>
      <c r="O73" s="136">
        <f t="shared" si="13"/>
        <v>115</v>
      </c>
      <c r="P73" s="329">
        <f t="shared" si="14"/>
        <v>0</v>
      </c>
      <c r="Q73" s="329">
        <f t="shared" si="15"/>
        <v>1380</v>
      </c>
      <c r="R73" s="136">
        <f t="shared" si="16"/>
        <v>1380</v>
      </c>
      <c r="S73" s="136">
        <f t="shared" si="17"/>
        <v>0</v>
      </c>
    </row>
    <row r="74" spans="1:19">
      <c r="A74" s="142">
        <v>237920</v>
      </c>
      <c r="C74" s="141">
        <v>16</v>
      </c>
      <c r="D74" s="142" t="s">
        <v>562</v>
      </c>
      <c r="E74" s="141">
        <v>2008</v>
      </c>
      <c r="F74" s="141">
        <v>11</v>
      </c>
      <c r="G74" s="222">
        <v>0</v>
      </c>
      <c r="H74" s="141" t="s">
        <v>51</v>
      </c>
      <c r="I74" s="141">
        <v>7</v>
      </c>
      <c r="J74" s="141">
        <f t="shared" si="9"/>
        <v>2015</v>
      </c>
      <c r="K74" s="223">
        <f t="shared" si="10"/>
        <v>2015.9166666666667</v>
      </c>
      <c r="L74" s="136">
        <v>1600</v>
      </c>
      <c r="M74" s="136">
        <f t="shared" si="11"/>
        <v>1600</v>
      </c>
      <c r="N74" s="136">
        <f t="shared" si="12"/>
        <v>19.047619047619047</v>
      </c>
      <c r="O74" s="136">
        <f t="shared" si="13"/>
        <v>228.57142857142856</v>
      </c>
      <c r="P74" s="329">
        <f t="shared" si="14"/>
        <v>0</v>
      </c>
      <c r="Q74" s="329">
        <f t="shared" si="15"/>
        <v>1600</v>
      </c>
      <c r="R74" s="136">
        <f t="shared" si="16"/>
        <v>1600</v>
      </c>
      <c r="S74" s="136">
        <f t="shared" si="17"/>
        <v>0</v>
      </c>
    </row>
    <row r="75" spans="1:19">
      <c r="A75" s="142"/>
      <c r="C75" s="141">
        <v>20</v>
      </c>
      <c r="D75" s="142" t="s">
        <v>237</v>
      </c>
      <c r="E75" s="141">
        <v>2012</v>
      </c>
      <c r="F75" s="141">
        <v>5</v>
      </c>
      <c r="G75" s="222">
        <v>0</v>
      </c>
      <c r="H75" s="141" t="s">
        <v>51</v>
      </c>
      <c r="I75" s="141">
        <v>10</v>
      </c>
      <c r="J75" s="141">
        <f t="shared" si="9"/>
        <v>2022</v>
      </c>
      <c r="K75" s="223">
        <f t="shared" si="10"/>
        <v>2022.4166666666667</v>
      </c>
      <c r="L75" s="136">
        <v>11013.44</v>
      </c>
      <c r="M75" s="136">
        <f t="shared" si="11"/>
        <v>11013.44</v>
      </c>
      <c r="N75" s="136">
        <f t="shared" si="12"/>
        <v>91.778666666666666</v>
      </c>
      <c r="O75" s="136">
        <f t="shared" si="13"/>
        <v>1101.3440000000001</v>
      </c>
      <c r="P75" s="329">
        <f t="shared" si="14"/>
        <v>0</v>
      </c>
      <c r="Q75" s="329">
        <f t="shared" si="15"/>
        <v>11013.44</v>
      </c>
      <c r="R75" s="136">
        <f t="shared" si="16"/>
        <v>11013.44</v>
      </c>
      <c r="S75" s="136">
        <f t="shared" si="17"/>
        <v>0</v>
      </c>
    </row>
    <row r="76" spans="1:19">
      <c r="A76" s="142"/>
      <c r="C76" s="141">
        <v>8</v>
      </c>
      <c r="D76" s="142" t="s">
        <v>171</v>
      </c>
      <c r="E76" s="141">
        <v>2012</v>
      </c>
      <c r="F76" s="141">
        <v>7</v>
      </c>
      <c r="G76" s="222">
        <v>0</v>
      </c>
      <c r="H76" s="141" t="s">
        <v>51</v>
      </c>
      <c r="I76" s="141">
        <v>10</v>
      </c>
      <c r="J76" s="141">
        <f t="shared" ref="J76:J107" si="18">E76+I76</f>
        <v>2022</v>
      </c>
      <c r="K76" s="223">
        <f t="shared" ref="K76:K107" si="19">+J76+(F76/12)</f>
        <v>2022.5833333333333</v>
      </c>
      <c r="L76" s="136">
        <v>5475</v>
      </c>
      <c r="M76" s="136">
        <f t="shared" ref="M76:M107" si="20">L76-L76*G76</f>
        <v>5475</v>
      </c>
      <c r="N76" s="136">
        <f t="shared" ref="N76:N107" si="21">M76/I76/12</f>
        <v>45.625</v>
      </c>
      <c r="O76" s="136">
        <f t="shared" ref="O76:O107" si="22">N76*12</f>
        <v>547.5</v>
      </c>
      <c r="P76" s="329">
        <f t="shared" ref="P76:P107" si="23">+IF(K76&lt;=$N$6,0,O76)</f>
        <v>0</v>
      </c>
      <c r="Q76" s="329">
        <f t="shared" ref="Q76:Q107" si="24">+IF($K76&lt;=$N$7,$L76,IF(($E76+($F76/12))&gt;=$N$7,0,((($M76-((($K76-$N$7)*12)*$N76))))))</f>
        <v>5475</v>
      </c>
      <c r="R76" s="136">
        <f t="shared" ref="R76:R107" si="25">+IF(K76&lt;=$N$6,M76,IF(P76=0,Q76,Q76+P76))</f>
        <v>5475</v>
      </c>
      <c r="S76" s="136">
        <f t="shared" ref="S76:S107" si="26">+L76-R76</f>
        <v>0</v>
      </c>
    </row>
    <row r="77" spans="1:19">
      <c r="A77" s="142">
        <v>104367</v>
      </c>
      <c r="C77" s="141"/>
      <c r="D77" s="142" t="s">
        <v>171</v>
      </c>
      <c r="E77" s="141">
        <v>2013</v>
      </c>
      <c r="F77" s="141">
        <v>5</v>
      </c>
      <c r="G77" s="222">
        <v>0</v>
      </c>
      <c r="H77" s="141" t="s">
        <v>51</v>
      </c>
      <c r="I77" s="141">
        <v>12</v>
      </c>
      <c r="J77" s="141">
        <f t="shared" si="18"/>
        <v>2025</v>
      </c>
      <c r="K77" s="223">
        <f t="shared" si="19"/>
        <v>2025.4166666666667</v>
      </c>
      <c r="L77" s="224">
        <v>2976.66</v>
      </c>
      <c r="M77" s="136">
        <f t="shared" si="20"/>
        <v>2976.66</v>
      </c>
      <c r="N77" s="136">
        <f t="shared" si="21"/>
        <v>20.671249999999997</v>
      </c>
      <c r="O77" s="136">
        <f t="shared" si="22"/>
        <v>248.05499999999995</v>
      </c>
      <c r="P77" s="329">
        <f t="shared" si="23"/>
        <v>248.05499999999995</v>
      </c>
      <c r="Q77" s="329">
        <f t="shared" si="24"/>
        <v>2294.50875</v>
      </c>
      <c r="R77" s="136">
        <f t="shared" si="25"/>
        <v>2542.5637499999998</v>
      </c>
      <c r="S77" s="136">
        <f t="shared" si="26"/>
        <v>434.09625000000005</v>
      </c>
    </row>
    <row r="78" spans="1:19">
      <c r="A78" s="142">
        <v>104366</v>
      </c>
      <c r="C78" s="141"/>
      <c r="D78" s="142" t="s">
        <v>314</v>
      </c>
      <c r="E78" s="141">
        <v>2013</v>
      </c>
      <c r="F78" s="141">
        <v>5</v>
      </c>
      <c r="G78" s="222">
        <v>0</v>
      </c>
      <c r="H78" s="141" t="s">
        <v>51</v>
      </c>
      <c r="I78" s="141">
        <v>12</v>
      </c>
      <c r="J78" s="141">
        <f t="shared" si="18"/>
        <v>2025</v>
      </c>
      <c r="K78" s="223">
        <f t="shared" si="19"/>
        <v>2025.4166666666667</v>
      </c>
      <c r="L78" s="224">
        <v>6005.36</v>
      </c>
      <c r="M78" s="136">
        <f t="shared" si="20"/>
        <v>6005.36</v>
      </c>
      <c r="N78" s="136">
        <f t="shared" si="21"/>
        <v>41.703888888888891</v>
      </c>
      <c r="O78" s="136">
        <f t="shared" si="22"/>
        <v>500.44666666666672</v>
      </c>
      <c r="P78" s="329">
        <f t="shared" si="23"/>
        <v>500.44666666666672</v>
      </c>
      <c r="Q78" s="329">
        <f t="shared" si="24"/>
        <v>4629.1316666666662</v>
      </c>
      <c r="R78" s="136">
        <f t="shared" si="25"/>
        <v>5129.5783333333329</v>
      </c>
      <c r="S78" s="136">
        <f t="shared" si="26"/>
        <v>875.78166666666675</v>
      </c>
    </row>
    <row r="79" spans="1:19">
      <c r="A79" s="142">
        <v>123923</v>
      </c>
      <c r="C79" s="141">
        <v>10</v>
      </c>
      <c r="D79" s="142" t="s">
        <v>230</v>
      </c>
      <c r="E79" s="141">
        <v>2015</v>
      </c>
      <c r="F79" s="141">
        <v>7</v>
      </c>
      <c r="G79" s="222">
        <v>0</v>
      </c>
      <c r="H79" s="141" t="s">
        <v>51</v>
      </c>
      <c r="I79" s="141">
        <v>12</v>
      </c>
      <c r="J79" s="141">
        <f t="shared" si="18"/>
        <v>2027</v>
      </c>
      <c r="K79" s="223">
        <f t="shared" si="19"/>
        <v>2027.5833333333333</v>
      </c>
      <c r="L79" s="224">
        <v>6829.2</v>
      </c>
      <c r="M79" s="136">
        <f t="shared" si="20"/>
        <v>6829.2</v>
      </c>
      <c r="N79" s="136">
        <f t="shared" si="21"/>
        <v>47.425000000000004</v>
      </c>
      <c r="O79" s="136">
        <f t="shared" si="22"/>
        <v>569.1</v>
      </c>
      <c r="P79" s="329">
        <f t="shared" si="23"/>
        <v>569.1</v>
      </c>
      <c r="Q79" s="329">
        <f t="shared" si="24"/>
        <v>4031.1250000000859</v>
      </c>
      <c r="R79" s="136">
        <f t="shared" si="25"/>
        <v>4600.2250000000859</v>
      </c>
      <c r="S79" s="136">
        <f t="shared" si="26"/>
        <v>2228.974999999914</v>
      </c>
    </row>
    <row r="80" spans="1:19">
      <c r="A80" s="142">
        <v>124523</v>
      </c>
      <c r="C80" s="141">
        <v>20</v>
      </c>
      <c r="D80" s="142" t="s">
        <v>170</v>
      </c>
      <c r="E80" s="141">
        <v>2015</v>
      </c>
      <c r="F80" s="141">
        <v>7</v>
      </c>
      <c r="G80" s="222">
        <v>0</v>
      </c>
      <c r="H80" s="141" t="s">
        <v>51</v>
      </c>
      <c r="I80" s="141">
        <v>12</v>
      </c>
      <c r="J80" s="141">
        <f t="shared" si="18"/>
        <v>2027</v>
      </c>
      <c r="K80" s="223">
        <f t="shared" si="19"/>
        <v>2027.5833333333333</v>
      </c>
      <c r="L80" s="224">
        <v>10639.46</v>
      </c>
      <c r="M80" s="136">
        <f t="shared" si="20"/>
        <v>10639.46</v>
      </c>
      <c r="N80" s="136">
        <f t="shared" si="21"/>
        <v>73.885138888888875</v>
      </c>
      <c r="O80" s="136">
        <f t="shared" si="22"/>
        <v>886.62166666666644</v>
      </c>
      <c r="P80" s="329">
        <f t="shared" si="23"/>
        <v>886.62166666666644</v>
      </c>
      <c r="Q80" s="329">
        <f t="shared" si="24"/>
        <v>6280.2368055556899</v>
      </c>
      <c r="R80" s="136">
        <f t="shared" si="25"/>
        <v>7166.8584722223568</v>
      </c>
      <c r="S80" s="136">
        <f t="shared" si="26"/>
        <v>3472.6015277776423</v>
      </c>
    </row>
    <row r="81" spans="1:19">
      <c r="A81" s="142">
        <v>124522</v>
      </c>
      <c r="C81" s="141">
        <v>10</v>
      </c>
      <c r="D81" s="142" t="s">
        <v>169</v>
      </c>
      <c r="E81" s="141">
        <v>2015</v>
      </c>
      <c r="F81" s="141">
        <v>7</v>
      </c>
      <c r="G81" s="222">
        <v>0</v>
      </c>
      <c r="H81" s="141" t="s">
        <v>51</v>
      </c>
      <c r="I81" s="141">
        <v>12</v>
      </c>
      <c r="J81" s="141">
        <f t="shared" si="18"/>
        <v>2027</v>
      </c>
      <c r="K81" s="223">
        <f t="shared" si="19"/>
        <v>2027.5833333333333</v>
      </c>
      <c r="L81" s="224">
        <v>4401.04</v>
      </c>
      <c r="M81" s="136">
        <f t="shared" si="20"/>
        <v>4401.04</v>
      </c>
      <c r="N81" s="136">
        <f t="shared" si="21"/>
        <v>30.562777777777779</v>
      </c>
      <c r="O81" s="136">
        <f t="shared" si="22"/>
        <v>366.75333333333333</v>
      </c>
      <c r="P81" s="329">
        <f t="shared" si="23"/>
        <v>366.75333333333333</v>
      </c>
      <c r="Q81" s="329">
        <f t="shared" si="24"/>
        <v>2597.8361111111667</v>
      </c>
      <c r="R81" s="136">
        <f t="shared" si="25"/>
        <v>2964.5894444445003</v>
      </c>
      <c r="S81" s="136">
        <f t="shared" si="26"/>
        <v>1436.4505555554997</v>
      </c>
    </row>
    <row r="82" spans="1:19">
      <c r="A82" s="142">
        <v>133181</v>
      </c>
      <c r="C82" s="141">
        <v>9</v>
      </c>
      <c r="D82" s="142" t="s">
        <v>325</v>
      </c>
      <c r="E82" s="141">
        <v>2016</v>
      </c>
      <c r="F82" s="141">
        <v>5</v>
      </c>
      <c r="G82" s="222">
        <v>0</v>
      </c>
      <c r="H82" s="141" t="s">
        <v>51</v>
      </c>
      <c r="I82" s="141">
        <v>7</v>
      </c>
      <c r="J82" s="141">
        <f t="shared" si="18"/>
        <v>2023</v>
      </c>
      <c r="K82" s="223">
        <f t="shared" si="19"/>
        <v>2023.4166666666667</v>
      </c>
      <c r="L82" s="136">
        <v>6682.87</v>
      </c>
      <c r="M82" s="136">
        <f t="shared" si="20"/>
        <v>6682.87</v>
      </c>
      <c r="N82" s="136">
        <f t="shared" si="21"/>
        <v>79.557976190476197</v>
      </c>
      <c r="O82" s="136">
        <f t="shared" si="22"/>
        <v>954.6957142857143</v>
      </c>
      <c r="P82" s="490">
        <f t="shared" si="23"/>
        <v>0</v>
      </c>
      <c r="Q82" s="490">
        <f t="shared" si="24"/>
        <v>5966.8482142857138</v>
      </c>
      <c r="R82" s="136">
        <f t="shared" si="25"/>
        <v>6682.87</v>
      </c>
      <c r="S82" s="136">
        <f t="shared" si="26"/>
        <v>0</v>
      </c>
    </row>
    <row r="83" spans="1:19">
      <c r="A83" s="142">
        <v>133182</v>
      </c>
      <c r="C83" s="141">
        <v>8</v>
      </c>
      <c r="D83" s="142" t="s">
        <v>326</v>
      </c>
      <c r="E83" s="141">
        <v>2016</v>
      </c>
      <c r="F83" s="141">
        <v>5</v>
      </c>
      <c r="G83" s="222">
        <v>0</v>
      </c>
      <c r="H83" s="141" t="s">
        <v>51</v>
      </c>
      <c r="I83" s="141">
        <v>7</v>
      </c>
      <c r="J83" s="141">
        <f t="shared" si="18"/>
        <v>2023</v>
      </c>
      <c r="K83" s="223">
        <f t="shared" si="19"/>
        <v>2023.4166666666667</v>
      </c>
      <c r="L83" s="136">
        <v>5127.32</v>
      </c>
      <c r="M83" s="136">
        <f t="shared" si="20"/>
        <v>5127.32</v>
      </c>
      <c r="N83" s="136">
        <f t="shared" si="21"/>
        <v>61.039523809523807</v>
      </c>
      <c r="O83" s="136">
        <f t="shared" si="22"/>
        <v>732.47428571428566</v>
      </c>
      <c r="P83" s="490">
        <f t="shared" si="23"/>
        <v>0</v>
      </c>
      <c r="Q83" s="490">
        <f t="shared" si="24"/>
        <v>4577.9642857142853</v>
      </c>
      <c r="R83" s="136">
        <f t="shared" si="25"/>
        <v>5127.32</v>
      </c>
      <c r="S83" s="136">
        <f t="shared" si="26"/>
        <v>0</v>
      </c>
    </row>
    <row r="84" spans="1:19">
      <c r="A84" s="142">
        <v>165325</v>
      </c>
      <c r="C84" s="141">
        <v>6</v>
      </c>
      <c r="D84" s="142" t="s">
        <v>170</v>
      </c>
      <c r="E84" s="141">
        <v>2016</v>
      </c>
      <c r="F84" s="141">
        <v>7</v>
      </c>
      <c r="G84" s="222">
        <v>0</v>
      </c>
      <c r="H84" s="141" t="s">
        <v>51</v>
      </c>
      <c r="I84" s="141">
        <v>7</v>
      </c>
      <c r="J84" s="141">
        <f t="shared" si="18"/>
        <v>2023</v>
      </c>
      <c r="K84" s="223">
        <f t="shared" si="19"/>
        <v>2023.5833333333333</v>
      </c>
      <c r="L84" s="136">
        <v>4802.12</v>
      </c>
      <c r="M84" s="136">
        <f t="shared" si="20"/>
        <v>4802.12</v>
      </c>
      <c r="N84" s="136">
        <f t="shared" si="21"/>
        <v>57.168095238095241</v>
      </c>
      <c r="O84" s="136">
        <f t="shared" si="22"/>
        <v>686.01714285714286</v>
      </c>
      <c r="P84" s="490">
        <f t="shared" si="23"/>
        <v>0</v>
      </c>
      <c r="Q84" s="490">
        <f t="shared" si="24"/>
        <v>4173.2709523810563</v>
      </c>
      <c r="R84" s="136">
        <f t="shared" si="25"/>
        <v>4802.12</v>
      </c>
      <c r="S84" s="136">
        <f t="shared" si="26"/>
        <v>0</v>
      </c>
    </row>
    <row r="85" spans="1:19">
      <c r="A85" s="142">
        <v>165326</v>
      </c>
      <c r="C85" s="141">
        <v>1</v>
      </c>
      <c r="D85" s="142" t="s">
        <v>172</v>
      </c>
      <c r="E85" s="141">
        <v>2016</v>
      </c>
      <c r="F85" s="141">
        <v>7</v>
      </c>
      <c r="G85" s="222">
        <v>0</v>
      </c>
      <c r="H85" s="141" t="s">
        <v>51</v>
      </c>
      <c r="I85" s="141">
        <v>7</v>
      </c>
      <c r="J85" s="141">
        <f t="shared" si="18"/>
        <v>2023</v>
      </c>
      <c r="K85" s="223">
        <f t="shared" si="19"/>
        <v>2023.5833333333333</v>
      </c>
      <c r="L85" s="136">
        <v>1938.19</v>
      </c>
      <c r="M85" s="136">
        <f t="shared" si="20"/>
        <v>1938.19</v>
      </c>
      <c r="N85" s="136">
        <f t="shared" si="21"/>
        <v>23.073690476190478</v>
      </c>
      <c r="O85" s="136">
        <f t="shared" si="22"/>
        <v>276.88428571428574</v>
      </c>
      <c r="P85" s="490">
        <f t="shared" si="23"/>
        <v>0</v>
      </c>
      <c r="Q85" s="490">
        <f t="shared" si="24"/>
        <v>1684.3794047619467</v>
      </c>
      <c r="R85" s="136">
        <f t="shared" si="25"/>
        <v>1938.19</v>
      </c>
      <c r="S85" s="136">
        <f t="shared" si="26"/>
        <v>0</v>
      </c>
    </row>
    <row r="86" spans="1:19">
      <c r="A86" s="142">
        <v>170273</v>
      </c>
      <c r="C86" s="141">
        <v>10</v>
      </c>
      <c r="D86" s="142" t="s">
        <v>335</v>
      </c>
      <c r="E86" s="141">
        <v>2016</v>
      </c>
      <c r="F86" s="141">
        <v>9</v>
      </c>
      <c r="G86" s="222">
        <v>0</v>
      </c>
      <c r="H86" s="141" t="s">
        <v>51</v>
      </c>
      <c r="I86" s="141">
        <v>12</v>
      </c>
      <c r="J86" s="141">
        <f t="shared" si="18"/>
        <v>2028</v>
      </c>
      <c r="K86" s="223">
        <f t="shared" si="19"/>
        <v>2028.75</v>
      </c>
      <c r="L86" s="136">
        <v>8329</v>
      </c>
      <c r="M86" s="136">
        <f t="shared" si="20"/>
        <v>8329</v>
      </c>
      <c r="N86" s="136">
        <f t="shared" si="21"/>
        <v>57.840277777777779</v>
      </c>
      <c r="O86" s="136">
        <f t="shared" si="22"/>
        <v>694.08333333333337</v>
      </c>
      <c r="P86" s="329">
        <f t="shared" si="23"/>
        <v>694.08333333333337</v>
      </c>
      <c r="Q86" s="329">
        <f t="shared" si="24"/>
        <v>4106.6597222222745</v>
      </c>
      <c r="R86" s="136">
        <f t="shared" si="25"/>
        <v>4800.7430555556075</v>
      </c>
      <c r="S86" s="136">
        <f t="shared" si="26"/>
        <v>3528.2569444443925</v>
      </c>
    </row>
    <row r="87" spans="1:19">
      <c r="A87" s="142">
        <v>170272</v>
      </c>
      <c r="C87" s="141">
        <v>10</v>
      </c>
      <c r="D87" s="142" t="s">
        <v>336</v>
      </c>
      <c r="E87" s="141">
        <v>2016</v>
      </c>
      <c r="F87" s="141">
        <v>9</v>
      </c>
      <c r="G87" s="222">
        <v>0</v>
      </c>
      <c r="H87" s="141" t="s">
        <v>51</v>
      </c>
      <c r="I87" s="141">
        <v>12</v>
      </c>
      <c r="J87" s="141">
        <f t="shared" si="18"/>
        <v>2028</v>
      </c>
      <c r="K87" s="223">
        <f t="shared" si="19"/>
        <v>2028.75</v>
      </c>
      <c r="L87" s="136">
        <v>4675.7299999999996</v>
      </c>
      <c r="M87" s="136">
        <f t="shared" si="20"/>
        <v>4675.7299999999996</v>
      </c>
      <c r="N87" s="136">
        <f t="shared" si="21"/>
        <v>32.470347222222223</v>
      </c>
      <c r="O87" s="136">
        <f t="shared" si="22"/>
        <v>389.64416666666671</v>
      </c>
      <c r="P87" s="329">
        <f t="shared" si="23"/>
        <v>389.64416666666671</v>
      </c>
      <c r="Q87" s="329">
        <f t="shared" si="24"/>
        <v>2305.3946527778066</v>
      </c>
      <c r="R87" s="136">
        <f t="shared" si="25"/>
        <v>2695.0388194444731</v>
      </c>
      <c r="S87" s="136">
        <f t="shared" si="26"/>
        <v>1980.6911805555264</v>
      </c>
    </row>
    <row r="88" spans="1:19">
      <c r="A88" s="142">
        <v>170271</v>
      </c>
      <c r="C88" s="141">
        <v>10</v>
      </c>
      <c r="D88" s="142" t="s">
        <v>337</v>
      </c>
      <c r="E88" s="141">
        <v>2016</v>
      </c>
      <c r="F88" s="141">
        <v>9</v>
      </c>
      <c r="G88" s="222">
        <v>0</v>
      </c>
      <c r="H88" s="141" t="s">
        <v>51</v>
      </c>
      <c r="I88" s="141">
        <v>12</v>
      </c>
      <c r="J88" s="141">
        <f t="shared" si="18"/>
        <v>2028</v>
      </c>
      <c r="K88" s="223">
        <f t="shared" si="19"/>
        <v>2028.75</v>
      </c>
      <c r="L88" s="136">
        <v>4711</v>
      </c>
      <c r="M88" s="136">
        <f t="shared" si="20"/>
        <v>4711</v>
      </c>
      <c r="N88" s="136">
        <f t="shared" si="21"/>
        <v>32.715277777777779</v>
      </c>
      <c r="O88" s="136">
        <f t="shared" si="22"/>
        <v>392.58333333333337</v>
      </c>
      <c r="P88" s="329">
        <f t="shared" si="23"/>
        <v>392.58333333333337</v>
      </c>
      <c r="Q88" s="329">
        <f t="shared" si="24"/>
        <v>2322.7847222222517</v>
      </c>
      <c r="R88" s="136">
        <f t="shared" si="25"/>
        <v>2715.3680555555852</v>
      </c>
      <c r="S88" s="136">
        <f t="shared" si="26"/>
        <v>1995.6319444444148</v>
      </c>
    </row>
    <row r="89" spans="1:19">
      <c r="A89" s="142">
        <v>170270</v>
      </c>
      <c r="C89" s="141">
        <v>20</v>
      </c>
      <c r="D89" s="142" t="s">
        <v>338</v>
      </c>
      <c r="E89" s="141">
        <v>2016</v>
      </c>
      <c r="F89" s="141">
        <v>9</v>
      </c>
      <c r="G89" s="222">
        <v>0</v>
      </c>
      <c r="H89" s="141" t="s">
        <v>51</v>
      </c>
      <c r="I89" s="141">
        <v>12</v>
      </c>
      <c r="J89" s="141">
        <f t="shared" si="18"/>
        <v>2028</v>
      </c>
      <c r="K89" s="223">
        <f t="shared" si="19"/>
        <v>2028.75</v>
      </c>
      <c r="L89" s="136">
        <v>10972</v>
      </c>
      <c r="M89" s="136">
        <f t="shared" si="20"/>
        <v>10972</v>
      </c>
      <c r="N89" s="136">
        <f t="shared" si="21"/>
        <v>76.194444444444443</v>
      </c>
      <c r="O89" s="136">
        <f t="shared" si="22"/>
        <v>914.33333333333326</v>
      </c>
      <c r="P89" s="329">
        <f t="shared" si="23"/>
        <v>914.33333333333326</v>
      </c>
      <c r="Q89" s="329">
        <f t="shared" si="24"/>
        <v>5409.8055555556248</v>
      </c>
      <c r="R89" s="136">
        <f t="shared" si="25"/>
        <v>6324.1388888889578</v>
      </c>
      <c r="S89" s="136">
        <f t="shared" si="26"/>
        <v>4647.8611111110422</v>
      </c>
    </row>
    <row r="90" spans="1:19">
      <c r="A90" s="142">
        <v>170269</v>
      </c>
      <c r="C90" s="141">
        <v>10</v>
      </c>
      <c r="D90" s="142" t="s">
        <v>339</v>
      </c>
      <c r="E90" s="141">
        <v>2016</v>
      </c>
      <c r="F90" s="141">
        <v>9</v>
      </c>
      <c r="G90" s="222">
        <v>0</v>
      </c>
      <c r="H90" s="141" t="s">
        <v>51</v>
      </c>
      <c r="I90" s="141">
        <v>12</v>
      </c>
      <c r="J90" s="141">
        <f t="shared" si="18"/>
        <v>2028</v>
      </c>
      <c r="K90" s="223">
        <f t="shared" si="19"/>
        <v>2028.75</v>
      </c>
      <c r="L90" s="136">
        <v>5991</v>
      </c>
      <c r="M90" s="136">
        <f t="shared" si="20"/>
        <v>5991</v>
      </c>
      <c r="N90" s="136">
        <f t="shared" si="21"/>
        <v>41.604166666666664</v>
      </c>
      <c r="O90" s="136">
        <f t="shared" si="22"/>
        <v>499.25</v>
      </c>
      <c r="P90" s="329">
        <f t="shared" si="23"/>
        <v>499.25</v>
      </c>
      <c r="Q90" s="329">
        <f t="shared" si="24"/>
        <v>2953.8958333333712</v>
      </c>
      <c r="R90" s="136">
        <f t="shared" si="25"/>
        <v>3453.1458333333712</v>
      </c>
      <c r="S90" s="136">
        <f t="shared" si="26"/>
        <v>2537.8541666666288</v>
      </c>
    </row>
    <row r="91" spans="1:19">
      <c r="A91" s="142">
        <v>170268</v>
      </c>
      <c r="C91" s="141">
        <v>10</v>
      </c>
      <c r="D91" s="142" t="s">
        <v>340</v>
      </c>
      <c r="E91" s="141">
        <v>2016</v>
      </c>
      <c r="F91" s="141">
        <v>9</v>
      </c>
      <c r="G91" s="222">
        <v>0</v>
      </c>
      <c r="H91" s="141" t="s">
        <v>51</v>
      </c>
      <c r="I91" s="141">
        <v>12</v>
      </c>
      <c r="J91" s="141">
        <f t="shared" si="18"/>
        <v>2028</v>
      </c>
      <c r="K91" s="223">
        <f t="shared" si="19"/>
        <v>2028.75</v>
      </c>
      <c r="L91" s="136">
        <v>7413</v>
      </c>
      <c r="M91" s="136">
        <f t="shared" si="20"/>
        <v>7413</v>
      </c>
      <c r="N91" s="136">
        <f t="shared" si="21"/>
        <v>51.479166666666664</v>
      </c>
      <c r="O91" s="136">
        <f t="shared" si="22"/>
        <v>617.75</v>
      </c>
      <c r="P91" s="329">
        <f t="shared" si="23"/>
        <v>617.75</v>
      </c>
      <c r="Q91" s="329">
        <f t="shared" si="24"/>
        <v>3655.0208333333803</v>
      </c>
      <c r="R91" s="136">
        <f t="shared" si="25"/>
        <v>4272.7708333333803</v>
      </c>
      <c r="S91" s="136">
        <f t="shared" si="26"/>
        <v>3140.2291666666197</v>
      </c>
    </row>
    <row r="92" spans="1:19">
      <c r="A92" s="142">
        <v>177797</v>
      </c>
      <c r="C92" s="141">
        <v>60</v>
      </c>
      <c r="D92" s="142" t="s">
        <v>351</v>
      </c>
      <c r="E92" s="141">
        <v>2017</v>
      </c>
      <c r="F92" s="141">
        <v>3</v>
      </c>
      <c r="G92" s="222">
        <v>0</v>
      </c>
      <c r="H92" s="141" t="s">
        <v>51</v>
      </c>
      <c r="I92" s="141">
        <v>12</v>
      </c>
      <c r="J92" s="141">
        <f t="shared" si="18"/>
        <v>2029</v>
      </c>
      <c r="K92" s="223">
        <f t="shared" si="19"/>
        <v>2029.25</v>
      </c>
      <c r="L92" s="136">
        <v>26093.53</v>
      </c>
      <c r="M92" s="136">
        <f t="shared" si="20"/>
        <v>26093.53</v>
      </c>
      <c r="N92" s="136">
        <f t="shared" si="21"/>
        <v>181.20506944444443</v>
      </c>
      <c r="O92" s="136">
        <f t="shared" si="22"/>
        <v>2174.4608333333331</v>
      </c>
      <c r="P92" s="329">
        <f t="shared" si="23"/>
        <v>2174.4608333333331</v>
      </c>
      <c r="Q92" s="329">
        <f t="shared" si="24"/>
        <v>11778.329513889053</v>
      </c>
      <c r="R92" s="136">
        <f t="shared" si="25"/>
        <v>13952.790347222386</v>
      </c>
      <c r="S92" s="136">
        <f t="shared" si="26"/>
        <v>12140.739652777613</v>
      </c>
    </row>
    <row r="93" spans="1:19">
      <c r="A93" s="142">
        <v>177798</v>
      </c>
      <c r="C93" s="141">
        <v>22</v>
      </c>
      <c r="D93" s="142" t="s">
        <v>352</v>
      </c>
      <c r="E93" s="141">
        <v>2017</v>
      </c>
      <c r="F93" s="141">
        <v>3</v>
      </c>
      <c r="G93" s="222">
        <v>0</v>
      </c>
      <c r="H93" s="141" t="s">
        <v>51</v>
      </c>
      <c r="I93" s="141">
        <v>12</v>
      </c>
      <c r="J93" s="141">
        <f t="shared" si="18"/>
        <v>2029</v>
      </c>
      <c r="K93" s="223">
        <f t="shared" si="19"/>
        <v>2029.25</v>
      </c>
      <c r="L93" s="136">
        <v>10450</v>
      </c>
      <c r="M93" s="136">
        <f t="shared" si="20"/>
        <v>10450</v>
      </c>
      <c r="N93" s="136">
        <f t="shared" si="21"/>
        <v>72.569444444444443</v>
      </c>
      <c r="O93" s="136">
        <f t="shared" si="22"/>
        <v>870.83333333333326</v>
      </c>
      <c r="P93" s="329">
        <f t="shared" si="23"/>
        <v>870.83333333333326</v>
      </c>
      <c r="Q93" s="329">
        <f t="shared" si="24"/>
        <v>4717.0138888889551</v>
      </c>
      <c r="R93" s="136">
        <f t="shared" si="25"/>
        <v>5587.8472222222881</v>
      </c>
      <c r="S93" s="136">
        <f t="shared" si="26"/>
        <v>4862.1527777777119</v>
      </c>
    </row>
    <row r="94" spans="1:19">
      <c r="A94" s="142">
        <v>177799</v>
      </c>
      <c r="C94" s="141">
        <v>1</v>
      </c>
      <c r="D94" s="142" t="s">
        <v>353</v>
      </c>
      <c r="E94" s="141">
        <v>2017</v>
      </c>
      <c r="F94" s="141">
        <v>3</v>
      </c>
      <c r="G94" s="222">
        <v>0</v>
      </c>
      <c r="H94" s="141" t="s">
        <v>51</v>
      </c>
      <c r="I94" s="141">
        <v>12</v>
      </c>
      <c r="J94" s="141">
        <f t="shared" si="18"/>
        <v>2029</v>
      </c>
      <c r="K94" s="223">
        <f t="shared" si="19"/>
        <v>2029.25</v>
      </c>
      <c r="L94" s="136">
        <v>484.75</v>
      </c>
      <c r="M94" s="136">
        <f t="shared" si="20"/>
        <v>484.75</v>
      </c>
      <c r="N94" s="136">
        <f t="shared" si="21"/>
        <v>3.3663194444444446</v>
      </c>
      <c r="O94" s="136">
        <f t="shared" si="22"/>
        <v>40.395833333333336</v>
      </c>
      <c r="P94" s="329">
        <f t="shared" si="23"/>
        <v>40.395833333333336</v>
      </c>
      <c r="Q94" s="329">
        <f t="shared" si="24"/>
        <v>218.81076388889193</v>
      </c>
      <c r="R94" s="136">
        <f t="shared" si="25"/>
        <v>259.20659722222524</v>
      </c>
      <c r="S94" s="136">
        <f t="shared" si="26"/>
        <v>225.54340277777476</v>
      </c>
    </row>
    <row r="95" spans="1:19">
      <c r="A95" s="142">
        <v>177800</v>
      </c>
      <c r="C95" s="141">
        <v>16</v>
      </c>
      <c r="D95" s="142" t="s">
        <v>354</v>
      </c>
      <c r="E95" s="141">
        <v>2017</v>
      </c>
      <c r="F95" s="141">
        <v>3</v>
      </c>
      <c r="G95" s="222">
        <v>0</v>
      </c>
      <c r="H95" s="141" t="s">
        <v>51</v>
      </c>
      <c r="I95" s="141">
        <v>12</v>
      </c>
      <c r="J95" s="141">
        <f t="shared" si="18"/>
        <v>2029</v>
      </c>
      <c r="K95" s="223">
        <f t="shared" si="19"/>
        <v>2029.25</v>
      </c>
      <c r="L95" s="136">
        <v>7912.19</v>
      </c>
      <c r="M95" s="136">
        <f t="shared" si="20"/>
        <v>7912.19</v>
      </c>
      <c r="N95" s="136">
        <f t="shared" si="21"/>
        <v>54.945763888888884</v>
      </c>
      <c r="O95" s="136">
        <f t="shared" si="22"/>
        <v>659.34916666666663</v>
      </c>
      <c r="P95" s="329">
        <f t="shared" si="23"/>
        <v>659.34916666666663</v>
      </c>
      <c r="Q95" s="329">
        <f t="shared" si="24"/>
        <v>3571.4746527778279</v>
      </c>
      <c r="R95" s="136">
        <f t="shared" si="25"/>
        <v>4230.8238194444948</v>
      </c>
      <c r="S95" s="136">
        <f t="shared" si="26"/>
        <v>3681.3661805555048</v>
      </c>
    </row>
    <row r="96" spans="1:19">
      <c r="A96" s="142">
        <v>177801</v>
      </c>
      <c r="C96" s="141">
        <v>49</v>
      </c>
      <c r="D96" s="142" t="s">
        <v>355</v>
      </c>
      <c r="E96" s="141">
        <v>2017</v>
      </c>
      <c r="F96" s="141">
        <v>3</v>
      </c>
      <c r="G96" s="222">
        <v>0</v>
      </c>
      <c r="H96" s="141" t="s">
        <v>51</v>
      </c>
      <c r="I96" s="141">
        <v>12</v>
      </c>
      <c r="J96" s="141">
        <f t="shared" si="18"/>
        <v>2029</v>
      </c>
      <c r="K96" s="223">
        <f t="shared" si="19"/>
        <v>2029.25</v>
      </c>
      <c r="L96" s="136">
        <v>23763.45</v>
      </c>
      <c r="M96" s="136">
        <f t="shared" si="20"/>
        <v>23763.45</v>
      </c>
      <c r="N96" s="136">
        <f t="shared" si="21"/>
        <v>165.02395833333335</v>
      </c>
      <c r="O96" s="136">
        <f t="shared" si="22"/>
        <v>1980.2875000000004</v>
      </c>
      <c r="P96" s="329">
        <f t="shared" si="23"/>
        <v>1980.2875000000004</v>
      </c>
      <c r="Q96" s="329">
        <f t="shared" si="24"/>
        <v>10726.557291666815</v>
      </c>
      <c r="R96" s="136">
        <f t="shared" si="25"/>
        <v>12706.844791666816</v>
      </c>
      <c r="S96" s="136">
        <f t="shared" si="26"/>
        <v>11056.605208333185</v>
      </c>
    </row>
    <row r="97" spans="1:19">
      <c r="A97" s="142">
        <v>177802</v>
      </c>
      <c r="C97" s="141">
        <v>35</v>
      </c>
      <c r="D97" s="142" t="s">
        <v>356</v>
      </c>
      <c r="E97" s="141">
        <v>2017</v>
      </c>
      <c r="F97" s="141">
        <v>3</v>
      </c>
      <c r="G97" s="222">
        <v>0</v>
      </c>
      <c r="H97" s="141" t="s">
        <v>51</v>
      </c>
      <c r="I97" s="141">
        <v>12</v>
      </c>
      <c r="J97" s="141">
        <f t="shared" si="18"/>
        <v>2029</v>
      </c>
      <c r="K97" s="223">
        <f t="shared" si="19"/>
        <v>2029.25</v>
      </c>
      <c r="L97" s="136">
        <v>22503.84</v>
      </c>
      <c r="M97" s="137">
        <f t="shared" si="20"/>
        <v>22503.84</v>
      </c>
      <c r="N97" s="136">
        <f t="shared" si="21"/>
        <v>156.27666666666667</v>
      </c>
      <c r="O97" s="136">
        <f t="shared" si="22"/>
        <v>1875.3200000000002</v>
      </c>
      <c r="P97" s="329">
        <f t="shared" si="23"/>
        <v>1875.3200000000002</v>
      </c>
      <c r="Q97" s="329">
        <f t="shared" si="24"/>
        <v>10157.983333333475</v>
      </c>
      <c r="R97" s="136">
        <f t="shared" si="25"/>
        <v>12033.303333333475</v>
      </c>
      <c r="S97" s="136">
        <f t="shared" si="26"/>
        <v>10470.536666666525</v>
      </c>
    </row>
    <row r="98" spans="1:19">
      <c r="A98" s="142">
        <v>198063</v>
      </c>
      <c r="C98" s="141">
        <v>1</v>
      </c>
      <c r="D98" s="142" t="s">
        <v>421</v>
      </c>
      <c r="E98" s="141">
        <v>1984</v>
      </c>
      <c r="F98" s="141">
        <v>4</v>
      </c>
      <c r="G98" s="222">
        <v>0</v>
      </c>
      <c r="H98" s="141" t="s">
        <v>51</v>
      </c>
      <c r="I98" s="141">
        <v>15</v>
      </c>
      <c r="J98" s="141">
        <f t="shared" si="18"/>
        <v>1999</v>
      </c>
      <c r="K98" s="223">
        <f t="shared" si="19"/>
        <v>1999.3333333333333</v>
      </c>
      <c r="L98" s="136">
        <v>3811.09</v>
      </c>
      <c r="M98" s="136">
        <f t="shared" si="20"/>
        <v>3811.09</v>
      </c>
      <c r="N98" s="136">
        <f t="shared" si="21"/>
        <v>21.172722222222223</v>
      </c>
      <c r="O98" s="136">
        <f t="shared" si="22"/>
        <v>254.07266666666669</v>
      </c>
      <c r="P98" s="329">
        <f t="shared" si="23"/>
        <v>0</v>
      </c>
      <c r="Q98" s="329">
        <f t="shared" si="24"/>
        <v>3811.09</v>
      </c>
      <c r="R98" s="136">
        <f t="shared" si="25"/>
        <v>3811.09</v>
      </c>
      <c r="S98" s="136">
        <f t="shared" si="26"/>
        <v>0</v>
      </c>
    </row>
    <row r="99" spans="1:19">
      <c r="A99" s="142">
        <v>201756</v>
      </c>
      <c r="C99" s="141">
        <v>15</v>
      </c>
      <c r="D99" s="142" t="s">
        <v>429</v>
      </c>
      <c r="E99" s="141">
        <v>2018</v>
      </c>
      <c r="F99" s="141">
        <v>4</v>
      </c>
      <c r="G99" s="222">
        <v>0</v>
      </c>
      <c r="H99" s="141" t="s">
        <v>51</v>
      </c>
      <c r="I99" s="141">
        <v>12</v>
      </c>
      <c r="J99" s="141">
        <f t="shared" si="18"/>
        <v>2030</v>
      </c>
      <c r="K99" s="223">
        <f t="shared" si="19"/>
        <v>2030.3333333333333</v>
      </c>
      <c r="L99" s="136">
        <v>9195.76</v>
      </c>
      <c r="M99" s="136">
        <f t="shared" si="20"/>
        <v>9195.76</v>
      </c>
      <c r="N99" s="136">
        <f t="shared" si="21"/>
        <v>63.859444444444449</v>
      </c>
      <c r="O99" s="136">
        <f t="shared" si="22"/>
        <v>766.31333333333339</v>
      </c>
      <c r="P99" s="329">
        <f t="shared" si="23"/>
        <v>766.31333333333339</v>
      </c>
      <c r="Q99" s="329">
        <f t="shared" si="24"/>
        <v>3320.6911111112267</v>
      </c>
      <c r="R99" s="136">
        <f t="shared" si="25"/>
        <v>4087.0044444445602</v>
      </c>
      <c r="S99" s="136">
        <f t="shared" si="26"/>
        <v>5108.75555555544</v>
      </c>
    </row>
    <row r="100" spans="1:19">
      <c r="A100" s="142">
        <v>201755</v>
      </c>
      <c r="C100" s="141">
        <v>23</v>
      </c>
      <c r="D100" s="142" t="s">
        <v>430</v>
      </c>
      <c r="E100" s="141">
        <v>2018</v>
      </c>
      <c r="F100" s="141">
        <v>4</v>
      </c>
      <c r="G100" s="222">
        <v>0</v>
      </c>
      <c r="H100" s="141" t="s">
        <v>51</v>
      </c>
      <c r="I100" s="141">
        <v>12</v>
      </c>
      <c r="J100" s="141">
        <f t="shared" si="18"/>
        <v>2030</v>
      </c>
      <c r="K100" s="223">
        <f t="shared" si="19"/>
        <v>2030.3333333333333</v>
      </c>
      <c r="L100" s="136">
        <v>14724.04</v>
      </c>
      <c r="M100" s="136">
        <f t="shared" si="20"/>
        <v>14724.04</v>
      </c>
      <c r="N100" s="136">
        <f t="shared" si="21"/>
        <v>102.25027777777778</v>
      </c>
      <c r="O100" s="136">
        <f t="shared" si="22"/>
        <v>1227.0033333333333</v>
      </c>
      <c r="P100" s="329">
        <f t="shared" si="23"/>
        <v>1227.0033333333333</v>
      </c>
      <c r="Q100" s="329">
        <f t="shared" si="24"/>
        <v>5317.0144444446305</v>
      </c>
      <c r="R100" s="136">
        <f t="shared" si="25"/>
        <v>6544.0177777779636</v>
      </c>
      <c r="S100" s="136">
        <f t="shared" si="26"/>
        <v>8180.0222222220373</v>
      </c>
    </row>
    <row r="101" spans="1:19">
      <c r="A101" s="142">
        <v>201754</v>
      </c>
      <c r="C101" s="141">
        <v>21</v>
      </c>
      <c r="D101" s="142" t="s">
        <v>431</v>
      </c>
      <c r="E101" s="141">
        <v>2018</v>
      </c>
      <c r="F101" s="141">
        <v>4</v>
      </c>
      <c r="G101" s="222">
        <v>0</v>
      </c>
      <c r="H101" s="141" t="s">
        <v>51</v>
      </c>
      <c r="I101" s="141">
        <v>12</v>
      </c>
      <c r="J101" s="141">
        <f t="shared" si="18"/>
        <v>2030</v>
      </c>
      <c r="K101" s="223">
        <f t="shared" si="19"/>
        <v>2030.3333333333333</v>
      </c>
      <c r="L101" s="136">
        <v>11734.82</v>
      </c>
      <c r="M101" s="136">
        <f t="shared" si="20"/>
        <v>11734.82</v>
      </c>
      <c r="N101" s="136">
        <f t="shared" si="21"/>
        <v>81.491805555555558</v>
      </c>
      <c r="O101" s="136">
        <f t="shared" si="22"/>
        <v>977.90166666666664</v>
      </c>
      <c r="P101" s="329">
        <f t="shared" si="23"/>
        <v>977.90166666666664</v>
      </c>
      <c r="Q101" s="329">
        <f t="shared" si="24"/>
        <v>4237.5738888890364</v>
      </c>
      <c r="R101" s="136">
        <f t="shared" si="25"/>
        <v>5215.4755555557031</v>
      </c>
      <c r="S101" s="136">
        <f t="shared" si="26"/>
        <v>6519.3444444442966</v>
      </c>
    </row>
    <row r="102" spans="1:19">
      <c r="A102" s="142">
        <v>201753</v>
      </c>
      <c r="C102" s="141">
        <v>24</v>
      </c>
      <c r="D102" s="142" t="s">
        <v>432</v>
      </c>
      <c r="E102" s="141">
        <v>2018</v>
      </c>
      <c r="F102" s="141">
        <v>4</v>
      </c>
      <c r="G102" s="222">
        <v>0</v>
      </c>
      <c r="H102" s="141" t="s">
        <v>51</v>
      </c>
      <c r="I102" s="141">
        <v>12</v>
      </c>
      <c r="J102" s="141">
        <f t="shared" si="18"/>
        <v>2030</v>
      </c>
      <c r="K102" s="223">
        <f t="shared" si="19"/>
        <v>2030.3333333333333</v>
      </c>
      <c r="L102" s="136">
        <v>11770.7</v>
      </c>
      <c r="M102" s="136">
        <f t="shared" si="20"/>
        <v>11770.7</v>
      </c>
      <c r="N102" s="136">
        <f t="shared" si="21"/>
        <v>81.740972222222226</v>
      </c>
      <c r="O102" s="136">
        <f t="shared" si="22"/>
        <v>980.89166666666665</v>
      </c>
      <c r="P102" s="329">
        <f t="shared" si="23"/>
        <v>980.89166666666665</v>
      </c>
      <c r="Q102" s="329">
        <f t="shared" si="24"/>
        <v>4250.5305555557043</v>
      </c>
      <c r="R102" s="136">
        <f t="shared" si="25"/>
        <v>5231.4222222223707</v>
      </c>
      <c r="S102" s="136">
        <f t="shared" si="26"/>
        <v>6539.27777777763</v>
      </c>
    </row>
    <row r="103" spans="1:19">
      <c r="A103" s="142">
        <v>201752</v>
      </c>
      <c r="C103" s="141">
        <v>30</v>
      </c>
      <c r="D103" s="142" t="s">
        <v>433</v>
      </c>
      <c r="E103" s="141">
        <v>2018</v>
      </c>
      <c r="F103" s="141">
        <v>4</v>
      </c>
      <c r="G103" s="222">
        <v>0</v>
      </c>
      <c r="H103" s="141" t="s">
        <v>51</v>
      </c>
      <c r="I103" s="141">
        <v>12</v>
      </c>
      <c r="J103" s="141">
        <f t="shared" si="18"/>
        <v>2030</v>
      </c>
      <c r="K103" s="223">
        <f t="shared" si="19"/>
        <v>2030.3333333333333</v>
      </c>
      <c r="L103" s="136">
        <v>15038.88</v>
      </c>
      <c r="M103" s="136">
        <f t="shared" si="20"/>
        <v>15038.88</v>
      </c>
      <c r="N103" s="136">
        <f t="shared" si="21"/>
        <v>104.43666666666667</v>
      </c>
      <c r="O103" s="136">
        <f t="shared" si="22"/>
        <v>1253.24</v>
      </c>
      <c r="P103" s="329">
        <f t="shared" si="23"/>
        <v>1253.24</v>
      </c>
      <c r="Q103" s="329">
        <f t="shared" si="24"/>
        <v>5430.7066666668561</v>
      </c>
      <c r="R103" s="136">
        <f t="shared" si="25"/>
        <v>6683.9466666668559</v>
      </c>
      <c r="S103" s="136">
        <f t="shared" si="26"/>
        <v>8354.9333333331433</v>
      </c>
    </row>
    <row r="104" spans="1:19">
      <c r="A104" s="142">
        <v>201751</v>
      </c>
      <c r="C104" s="141">
        <v>13</v>
      </c>
      <c r="D104" s="142" t="s">
        <v>434</v>
      </c>
      <c r="E104" s="141">
        <v>2018</v>
      </c>
      <c r="F104" s="141">
        <v>4</v>
      </c>
      <c r="G104" s="222">
        <v>0</v>
      </c>
      <c r="H104" s="141" t="s">
        <v>51</v>
      </c>
      <c r="I104" s="141">
        <v>12</v>
      </c>
      <c r="J104" s="141">
        <f t="shared" si="18"/>
        <v>2030</v>
      </c>
      <c r="K104" s="223">
        <f t="shared" si="19"/>
        <v>2030.3333333333333</v>
      </c>
      <c r="L104" s="136">
        <v>10579.08</v>
      </c>
      <c r="M104" s="136">
        <f t="shared" si="20"/>
        <v>10579.08</v>
      </c>
      <c r="N104" s="136">
        <f t="shared" si="21"/>
        <v>73.465833333333336</v>
      </c>
      <c r="O104" s="136">
        <f t="shared" si="22"/>
        <v>881.59</v>
      </c>
      <c r="P104" s="329">
        <f t="shared" si="23"/>
        <v>881.59</v>
      </c>
      <c r="Q104" s="329">
        <f t="shared" si="24"/>
        <v>3820.2233333334671</v>
      </c>
      <c r="R104" s="136">
        <f t="shared" si="25"/>
        <v>4701.8133333334672</v>
      </c>
      <c r="S104" s="136">
        <f t="shared" si="26"/>
        <v>5877.2666666665327</v>
      </c>
    </row>
    <row r="105" spans="1:19">
      <c r="A105" s="142">
        <v>212679</v>
      </c>
      <c r="C105" s="141">
        <v>7</v>
      </c>
      <c r="D105" s="142" t="s">
        <v>453</v>
      </c>
      <c r="E105" s="141">
        <v>2019</v>
      </c>
      <c r="F105" s="141">
        <v>4</v>
      </c>
      <c r="G105" s="222">
        <v>0</v>
      </c>
      <c r="H105" s="141" t="s">
        <v>51</v>
      </c>
      <c r="I105" s="141">
        <v>12</v>
      </c>
      <c r="J105" s="141">
        <f t="shared" si="18"/>
        <v>2031</v>
      </c>
      <c r="K105" s="223">
        <f t="shared" si="19"/>
        <v>2031.3333333333333</v>
      </c>
      <c r="L105" s="136">
        <v>6443.18</v>
      </c>
      <c r="M105" s="136">
        <f t="shared" si="20"/>
        <v>6443.18</v>
      </c>
      <c r="N105" s="136">
        <f t="shared" si="21"/>
        <v>44.744305555555563</v>
      </c>
      <c r="O105" s="136">
        <f t="shared" si="22"/>
        <v>536.93166666666673</v>
      </c>
      <c r="P105" s="329">
        <f t="shared" si="23"/>
        <v>536.93166666666673</v>
      </c>
      <c r="Q105" s="329">
        <f t="shared" si="24"/>
        <v>1789.7722222223028</v>
      </c>
      <c r="R105" s="136">
        <f t="shared" si="25"/>
        <v>2326.7038888889697</v>
      </c>
      <c r="S105" s="136">
        <f t="shared" si="26"/>
        <v>4116.4761111110311</v>
      </c>
    </row>
    <row r="106" spans="1:19">
      <c r="A106" s="142">
        <v>212678</v>
      </c>
      <c r="C106" s="141">
        <v>15</v>
      </c>
      <c r="D106" s="142" t="s">
        <v>452</v>
      </c>
      <c r="E106" s="141">
        <v>2019</v>
      </c>
      <c r="F106" s="141">
        <v>4</v>
      </c>
      <c r="G106" s="222">
        <v>0</v>
      </c>
      <c r="H106" s="141" t="s">
        <v>51</v>
      </c>
      <c r="I106" s="141">
        <v>12</v>
      </c>
      <c r="J106" s="141">
        <f t="shared" si="18"/>
        <v>2031</v>
      </c>
      <c r="K106" s="223">
        <f t="shared" si="19"/>
        <v>2031.3333333333333</v>
      </c>
      <c r="L106" s="136">
        <v>11041.43</v>
      </c>
      <c r="M106" s="136">
        <f t="shared" si="20"/>
        <v>11041.43</v>
      </c>
      <c r="N106" s="136">
        <f t="shared" si="21"/>
        <v>76.676597222222227</v>
      </c>
      <c r="O106" s="136">
        <f t="shared" si="22"/>
        <v>920.11916666666673</v>
      </c>
      <c r="P106" s="329">
        <f t="shared" si="23"/>
        <v>920.11916666666673</v>
      </c>
      <c r="Q106" s="329">
        <f t="shared" si="24"/>
        <v>3067.063888889028</v>
      </c>
      <c r="R106" s="136">
        <f t="shared" si="25"/>
        <v>3987.1830555556949</v>
      </c>
      <c r="S106" s="136">
        <f t="shared" si="26"/>
        <v>7054.246944444305</v>
      </c>
    </row>
    <row r="107" spans="1:19">
      <c r="A107" s="142">
        <v>212677</v>
      </c>
      <c r="C107" s="141">
        <v>15</v>
      </c>
      <c r="D107" s="142" t="s">
        <v>458</v>
      </c>
      <c r="E107" s="141">
        <v>2019</v>
      </c>
      <c r="F107" s="141">
        <v>4</v>
      </c>
      <c r="G107" s="222">
        <v>0</v>
      </c>
      <c r="H107" s="141" t="s">
        <v>51</v>
      </c>
      <c r="I107" s="141">
        <v>12</v>
      </c>
      <c r="J107" s="141">
        <f t="shared" si="18"/>
        <v>2031</v>
      </c>
      <c r="K107" s="223">
        <f t="shared" si="19"/>
        <v>2031.3333333333333</v>
      </c>
      <c r="L107" s="136">
        <v>10162.58</v>
      </c>
      <c r="M107" s="136">
        <f t="shared" si="20"/>
        <v>10162.58</v>
      </c>
      <c r="N107" s="136">
        <f t="shared" si="21"/>
        <v>70.573472222222222</v>
      </c>
      <c r="O107" s="136">
        <f t="shared" si="22"/>
        <v>846.88166666666666</v>
      </c>
      <c r="P107" s="329">
        <f t="shared" si="23"/>
        <v>846.88166666666666</v>
      </c>
      <c r="Q107" s="329">
        <f t="shared" si="24"/>
        <v>2822.9388888890171</v>
      </c>
      <c r="R107" s="136">
        <f t="shared" si="25"/>
        <v>3669.8205555556838</v>
      </c>
      <c r="S107" s="136">
        <f t="shared" si="26"/>
        <v>6492.7594444443166</v>
      </c>
    </row>
    <row r="108" spans="1:19">
      <c r="A108" s="142">
        <v>212676</v>
      </c>
      <c r="C108" s="141">
        <v>15</v>
      </c>
      <c r="D108" s="142" t="s">
        <v>454</v>
      </c>
      <c r="E108" s="141">
        <v>2019</v>
      </c>
      <c r="F108" s="141">
        <v>4</v>
      </c>
      <c r="G108" s="222">
        <v>0</v>
      </c>
      <c r="H108" s="141" t="s">
        <v>51</v>
      </c>
      <c r="I108" s="141">
        <v>12</v>
      </c>
      <c r="J108" s="141">
        <f t="shared" ref="J108:J125" si="27">E108+I108</f>
        <v>2031</v>
      </c>
      <c r="K108" s="223">
        <f t="shared" ref="K108:K125" si="28">+J108+(F108/12)</f>
        <v>2031.3333333333333</v>
      </c>
      <c r="L108" s="136">
        <v>9153.5300000000007</v>
      </c>
      <c r="M108" s="136">
        <f t="shared" ref="M108:M125" si="29">L108-L108*G108</f>
        <v>9153.5300000000007</v>
      </c>
      <c r="N108" s="136">
        <f t="shared" ref="N108:N125" si="30">M108/I108/12</f>
        <v>63.566180555555555</v>
      </c>
      <c r="O108" s="136">
        <f t="shared" ref="O108:O125" si="31">N108*12</f>
        <v>762.79416666666668</v>
      </c>
      <c r="P108" s="329">
        <f t="shared" ref="P108:P125" si="32">+IF(K108&lt;=$N$6,0,O108)</f>
        <v>762.79416666666668</v>
      </c>
      <c r="Q108" s="329">
        <f t="shared" ref="Q108:Q125" si="33">+IF($K108&lt;=$N$7,$L108,IF(($E108+($F108/12))&gt;=$N$7,0,((($M108-((($K108-$N$7)*12)*$N108))))))</f>
        <v>2542.6472222223383</v>
      </c>
      <c r="R108" s="136">
        <f t="shared" ref="R108:R125" si="34">+IF(K108&lt;=$N$6,M108,IF(P108=0,Q108,Q108+P108))</f>
        <v>3305.4413888890049</v>
      </c>
      <c r="S108" s="136">
        <f t="shared" ref="S108:S125" si="35">+L108-R108</f>
        <v>5848.0886111109958</v>
      </c>
    </row>
    <row r="109" spans="1:19">
      <c r="A109" s="142">
        <v>212675</v>
      </c>
      <c r="C109" s="141">
        <v>12</v>
      </c>
      <c r="D109" s="142" t="s">
        <v>455</v>
      </c>
      <c r="E109" s="141">
        <v>2019</v>
      </c>
      <c r="F109" s="141">
        <v>4</v>
      </c>
      <c r="G109" s="222">
        <v>0</v>
      </c>
      <c r="H109" s="141" t="s">
        <v>51</v>
      </c>
      <c r="I109" s="141">
        <v>12</v>
      </c>
      <c r="J109" s="141">
        <f t="shared" si="27"/>
        <v>2031</v>
      </c>
      <c r="K109" s="223">
        <f t="shared" si="28"/>
        <v>2031.3333333333333</v>
      </c>
      <c r="L109" s="136">
        <v>6305.4</v>
      </c>
      <c r="M109" s="136">
        <f t="shared" si="29"/>
        <v>6305.4</v>
      </c>
      <c r="N109" s="136">
        <f t="shared" si="30"/>
        <v>43.787499999999994</v>
      </c>
      <c r="O109" s="136">
        <f t="shared" si="31"/>
        <v>525.44999999999993</v>
      </c>
      <c r="P109" s="329">
        <f t="shared" si="32"/>
        <v>525.44999999999993</v>
      </c>
      <c r="Q109" s="329">
        <f t="shared" si="33"/>
        <v>1751.50000000008</v>
      </c>
      <c r="R109" s="136">
        <f t="shared" si="34"/>
        <v>2276.9500000000799</v>
      </c>
      <c r="S109" s="136">
        <f t="shared" si="35"/>
        <v>4028.4499999999198</v>
      </c>
    </row>
    <row r="110" spans="1:19">
      <c r="A110" s="142">
        <v>212674</v>
      </c>
      <c r="C110" s="141">
        <v>10</v>
      </c>
      <c r="D110" s="142" t="s">
        <v>456</v>
      </c>
      <c r="E110" s="141">
        <v>2019</v>
      </c>
      <c r="F110" s="141">
        <v>4</v>
      </c>
      <c r="G110" s="222">
        <v>0</v>
      </c>
      <c r="H110" s="141" t="s">
        <v>51</v>
      </c>
      <c r="I110" s="141">
        <v>12</v>
      </c>
      <c r="J110" s="141">
        <f t="shared" si="27"/>
        <v>2031</v>
      </c>
      <c r="K110" s="223">
        <f t="shared" si="28"/>
        <v>2031.3333333333333</v>
      </c>
      <c r="L110" s="136">
        <v>6348.8</v>
      </c>
      <c r="M110" s="136">
        <f t="shared" si="29"/>
        <v>6348.8</v>
      </c>
      <c r="N110" s="136">
        <f t="shared" si="30"/>
        <v>44.088888888888896</v>
      </c>
      <c r="O110" s="136">
        <f t="shared" si="31"/>
        <v>529.06666666666672</v>
      </c>
      <c r="P110" s="329">
        <f t="shared" si="32"/>
        <v>529.06666666666672</v>
      </c>
      <c r="Q110" s="329">
        <f t="shared" si="33"/>
        <v>1763.5555555556348</v>
      </c>
      <c r="R110" s="136">
        <f t="shared" si="34"/>
        <v>2292.6222222223014</v>
      </c>
      <c r="S110" s="136">
        <f t="shared" si="35"/>
        <v>4056.1777777776988</v>
      </c>
    </row>
    <row r="111" spans="1:19">
      <c r="A111" s="142">
        <v>212673</v>
      </c>
      <c r="C111" s="141">
        <v>15</v>
      </c>
      <c r="D111" s="142" t="s">
        <v>457</v>
      </c>
      <c r="E111" s="141">
        <v>2019</v>
      </c>
      <c r="F111" s="141">
        <v>4</v>
      </c>
      <c r="G111" s="222">
        <v>0</v>
      </c>
      <c r="H111" s="141" t="s">
        <v>51</v>
      </c>
      <c r="I111" s="141">
        <v>12</v>
      </c>
      <c r="J111" s="141">
        <f t="shared" si="27"/>
        <v>2031</v>
      </c>
      <c r="K111" s="223">
        <f t="shared" si="28"/>
        <v>2031.3333333333333</v>
      </c>
      <c r="L111" s="136">
        <v>8030.55</v>
      </c>
      <c r="M111" s="136">
        <f t="shared" si="29"/>
        <v>8030.55</v>
      </c>
      <c r="N111" s="136">
        <f t="shared" si="30"/>
        <v>55.767708333333331</v>
      </c>
      <c r="O111" s="136">
        <f t="shared" si="31"/>
        <v>669.21249999999998</v>
      </c>
      <c r="P111" s="329">
        <f t="shared" si="32"/>
        <v>669.21249999999998</v>
      </c>
      <c r="Q111" s="329">
        <f t="shared" si="33"/>
        <v>2230.7083333334349</v>
      </c>
      <c r="R111" s="136">
        <f t="shared" si="34"/>
        <v>2899.920833333435</v>
      </c>
      <c r="S111" s="136">
        <f t="shared" si="35"/>
        <v>5130.6291666665657</v>
      </c>
    </row>
    <row r="112" spans="1:19">
      <c r="A112" s="142">
        <v>226150</v>
      </c>
      <c r="C112" s="141">
        <v>20</v>
      </c>
      <c r="D112" s="142" t="s">
        <v>495</v>
      </c>
      <c r="E112" s="141">
        <v>2019</v>
      </c>
      <c r="F112" s="141">
        <v>12</v>
      </c>
      <c r="G112" s="222">
        <v>0</v>
      </c>
      <c r="H112" s="141" t="s">
        <v>51</v>
      </c>
      <c r="I112" s="141">
        <v>7</v>
      </c>
      <c r="J112" s="141">
        <f t="shared" si="27"/>
        <v>2026</v>
      </c>
      <c r="K112" s="223">
        <f t="shared" si="28"/>
        <v>2027</v>
      </c>
      <c r="L112" s="136">
        <v>16758</v>
      </c>
      <c r="M112" s="136">
        <f t="shared" si="29"/>
        <v>16758</v>
      </c>
      <c r="N112" s="136">
        <f t="shared" si="30"/>
        <v>199.5</v>
      </c>
      <c r="O112" s="136">
        <f t="shared" si="31"/>
        <v>2394</v>
      </c>
      <c r="P112" s="329">
        <f t="shared" si="32"/>
        <v>2394</v>
      </c>
      <c r="Q112" s="329">
        <f t="shared" si="33"/>
        <v>6384.0000000001819</v>
      </c>
      <c r="R112" s="136">
        <f t="shared" si="34"/>
        <v>8778.0000000001819</v>
      </c>
      <c r="S112" s="136">
        <f t="shared" si="35"/>
        <v>7979.9999999998181</v>
      </c>
    </row>
    <row r="113" spans="1:19">
      <c r="A113" s="142">
        <v>226149</v>
      </c>
      <c r="C113" s="141">
        <v>10</v>
      </c>
      <c r="D113" s="142" t="s">
        <v>496</v>
      </c>
      <c r="E113" s="141">
        <v>2019</v>
      </c>
      <c r="F113" s="141">
        <v>12</v>
      </c>
      <c r="G113" s="222">
        <v>0</v>
      </c>
      <c r="H113" s="141" t="s">
        <v>51</v>
      </c>
      <c r="I113" s="141">
        <v>7</v>
      </c>
      <c r="J113" s="141">
        <f t="shared" si="27"/>
        <v>2026</v>
      </c>
      <c r="K113" s="223">
        <f t="shared" si="28"/>
        <v>2027</v>
      </c>
      <c r="L113" s="136">
        <v>7736.2</v>
      </c>
      <c r="M113" s="136">
        <f t="shared" si="29"/>
        <v>7736.2</v>
      </c>
      <c r="N113" s="136">
        <f t="shared" si="30"/>
        <v>92.097619047619048</v>
      </c>
      <c r="O113" s="136">
        <f t="shared" si="31"/>
        <v>1105.1714285714286</v>
      </c>
      <c r="P113" s="329">
        <f t="shared" si="32"/>
        <v>1105.1714285714286</v>
      </c>
      <c r="Q113" s="329">
        <f t="shared" si="33"/>
        <v>2947.1238095238932</v>
      </c>
      <c r="R113" s="136">
        <f t="shared" si="34"/>
        <v>4052.295238095322</v>
      </c>
      <c r="S113" s="136">
        <f t="shared" si="35"/>
        <v>3683.9047619046778</v>
      </c>
    </row>
    <row r="114" spans="1:19">
      <c r="A114" s="142">
        <v>226148</v>
      </c>
      <c r="C114" s="141">
        <v>22</v>
      </c>
      <c r="D114" s="142" t="s">
        <v>497</v>
      </c>
      <c r="E114" s="141">
        <v>2019</v>
      </c>
      <c r="F114" s="141">
        <v>12</v>
      </c>
      <c r="G114" s="222">
        <v>0</v>
      </c>
      <c r="H114" s="141" t="s">
        <v>51</v>
      </c>
      <c r="I114" s="141">
        <v>7</v>
      </c>
      <c r="J114" s="141">
        <f t="shared" si="27"/>
        <v>2026</v>
      </c>
      <c r="K114" s="223">
        <f t="shared" si="28"/>
        <v>2027</v>
      </c>
      <c r="L114" s="136">
        <v>11976</v>
      </c>
      <c r="M114" s="136">
        <f t="shared" si="29"/>
        <v>11976</v>
      </c>
      <c r="N114" s="136">
        <f t="shared" si="30"/>
        <v>142.57142857142858</v>
      </c>
      <c r="O114" s="136">
        <f t="shared" si="31"/>
        <v>1710.8571428571431</v>
      </c>
      <c r="P114" s="329">
        <f t="shared" si="32"/>
        <v>1710.8571428571431</v>
      </c>
      <c r="Q114" s="329">
        <f t="shared" si="33"/>
        <v>4562.2857142858429</v>
      </c>
      <c r="R114" s="136">
        <f t="shared" si="34"/>
        <v>6273.142857142986</v>
      </c>
      <c r="S114" s="136">
        <f t="shared" si="35"/>
        <v>5702.857142857014</v>
      </c>
    </row>
    <row r="115" spans="1:19">
      <c r="A115" s="142">
        <v>226147</v>
      </c>
      <c r="C115" s="141">
        <v>17</v>
      </c>
      <c r="D115" s="142" t="s">
        <v>498</v>
      </c>
      <c r="E115" s="141">
        <v>2019</v>
      </c>
      <c r="F115" s="141">
        <v>12</v>
      </c>
      <c r="G115" s="222">
        <v>0</v>
      </c>
      <c r="H115" s="141" t="s">
        <v>51</v>
      </c>
      <c r="I115" s="141">
        <v>7</v>
      </c>
      <c r="J115" s="141">
        <f t="shared" si="27"/>
        <v>2026</v>
      </c>
      <c r="K115" s="223">
        <f t="shared" si="28"/>
        <v>2027</v>
      </c>
      <c r="L115" s="136">
        <v>9340</v>
      </c>
      <c r="M115" s="136">
        <f t="shared" si="29"/>
        <v>9340</v>
      </c>
      <c r="N115" s="136">
        <f t="shared" si="30"/>
        <v>111.19047619047619</v>
      </c>
      <c r="O115" s="136">
        <f t="shared" si="31"/>
        <v>1334.2857142857142</v>
      </c>
      <c r="P115" s="329">
        <f t="shared" si="32"/>
        <v>1334.2857142857142</v>
      </c>
      <c r="Q115" s="329">
        <f t="shared" si="33"/>
        <v>3558.0952380953395</v>
      </c>
      <c r="R115" s="136">
        <f t="shared" si="34"/>
        <v>4892.3809523810542</v>
      </c>
      <c r="S115" s="136">
        <f t="shared" si="35"/>
        <v>4447.6190476189458</v>
      </c>
    </row>
    <row r="116" spans="1:19">
      <c r="A116" s="142">
        <v>233287</v>
      </c>
      <c r="C116" s="141">
        <v>6</v>
      </c>
      <c r="D116" s="142" t="s">
        <v>537</v>
      </c>
      <c r="E116" s="141">
        <v>2020</v>
      </c>
      <c r="F116" s="141">
        <v>4</v>
      </c>
      <c r="G116" s="222">
        <v>0</v>
      </c>
      <c r="H116" s="141" t="s">
        <v>51</v>
      </c>
      <c r="I116" s="141">
        <v>12</v>
      </c>
      <c r="J116" s="141">
        <f t="shared" si="27"/>
        <v>2032</v>
      </c>
      <c r="K116" s="223">
        <f t="shared" si="28"/>
        <v>2032.3333333333333</v>
      </c>
      <c r="L116" s="136">
        <v>3117.78</v>
      </c>
      <c r="M116" s="136">
        <f t="shared" si="29"/>
        <v>3117.78</v>
      </c>
      <c r="N116" s="136">
        <f t="shared" si="30"/>
        <v>21.651250000000001</v>
      </c>
      <c r="O116" s="136">
        <f t="shared" si="31"/>
        <v>259.815</v>
      </c>
      <c r="P116" s="329">
        <f t="shared" si="32"/>
        <v>259.815</v>
      </c>
      <c r="Q116" s="329">
        <f t="shared" si="33"/>
        <v>606.23500000003969</v>
      </c>
      <c r="R116" s="136">
        <f t="shared" si="34"/>
        <v>866.05000000003974</v>
      </c>
      <c r="S116" s="136">
        <f t="shared" si="35"/>
        <v>2251.7299999999605</v>
      </c>
    </row>
    <row r="117" spans="1:19">
      <c r="A117" s="142">
        <v>233288</v>
      </c>
      <c r="C117" s="141">
        <v>6</v>
      </c>
      <c r="D117" s="142" t="s">
        <v>538</v>
      </c>
      <c r="E117" s="141">
        <v>2020</v>
      </c>
      <c r="F117" s="141">
        <v>4</v>
      </c>
      <c r="G117" s="222">
        <v>0</v>
      </c>
      <c r="H117" s="141" t="s">
        <v>51</v>
      </c>
      <c r="I117" s="141">
        <v>12</v>
      </c>
      <c r="J117" s="141">
        <f t="shared" si="27"/>
        <v>2032</v>
      </c>
      <c r="K117" s="223">
        <f t="shared" si="28"/>
        <v>2032.3333333333333</v>
      </c>
      <c r="L117" s="136">
        <v>3352.57</v>
      </c>
      <c r="M117" s="136">
        <f t="shared" si="29"/>
        <v>3352.57</v>
      </c>
      <c r="N117" s="136">
        <f t="shared" si="30"/>
        <v>23.281736111111112</v>
      </c>
      <c r="O117" s="136">
        <f t="shared" si="31"/>
        <v>279.38083333333333</v>
      </c>
      <c r="P117" s="329">
        <f t="shared" si="32"/>
        <v>279.38083333333333</v>
      </c>
      <c r="Q117" s="329">
        <f t="shared" si="33"/>
        <v>651.88861111115375</v>
      </c>
      <c r="R117" s="136">
        <f t="shared" si="34"/>
        <v>931.26944444448714</v>
      </c>
      <c r="S117" s="136">
        <f t="shared" si="35"/>
        <v>2421.3005555555128</v>
      </c>
    </row>
    <row r="118" spans="1:19">
      <c r="A118" s="142">
        <v>233289</v>
      </c>
      <c r="C118" s="141">
        <v>6</v>
      </c>
      <c r="D118" s="142" t="s">
        <v>539</v>
      </c>
      <c r="E118" s="141">
        <v>2020</v>
      </c>
      <c r="F118" s="141">
        <v>4</v>
      </c>
      <c r="G118" s="222">
        <v>0</v>
      </c>
      <c r="H118" s="141" t="s">
        <v>51</v>
      </c>
      <c r="I118" s="141">
        <v>12</v>
      </c>
      <c r="J118" s="141">
        <f t="shared" si="27"/>
        <v>2032</v>
      </c>
      <c r="K118" s="223">
        <f t="shared" si="28"/>
        <v>2032.3333333333333</v>
      </c>
      <c r="L118" s="136">
        <v>3567.8</v>
      </c>
      <c r="M118" s="136">
        <f t="shared" si="29"/>
        <v>3567.8</v>
      </c>
      <c r="N118" s="136">
        <f t="shared" si="30"/>
        <v>24.776388888888889</v>
      </c>
      <c r="O118" s="136">
        <f t="shared" si="31"/>
        <v>297.31666666666666</v>
      </c>
      <c r="P118" s="329">
        <f t="shared" si="32"/>
        <v>297.31666666666666</v>
      </c>
      <c r="Q118" s="329">
        <f t="shared" si="33"/>
        <v>693.73888888893407</v>
      </c>
      <c r="R118" s="136">
        <f t="shared" si="34"/>
        <v>991.05555555560068</v>
      </c>
      <c r="S118" s="136">
        <f t="shared" si="35"/>
        <v>2576.7444444443995</v>
      </c>
    </row>
    <row r="119" spans="1:19">
      <c r="A119" s="142">
        <v>233290</v>
      </c>
      <c r="C119" s="141">
        <v>15</v>
      </c>
      <c r="D119" s="142" t="s">
        <v>540</v>
      </c>
      <c r="E119" s="141">
        <v>2020</v>
      </c>
      <c r="F119" s="141">
        <v>4</v>
      </c>
      <c r="G119" s="222">
        <v>0</v>
      </c>
      <c r="H119" s="141" t="s">
        <v>51</v>
      </c>
      <c r="I119" s="141">
        <v>12</v>
      </c>
      <c r="J119" s="141">
        <f t="shared" si="27"/>
        <v>2032</v>
      </c>
      <c r="K119" s="223">
        <f t="shared" si="28"/>
        <v>2032.3333333333333</v>
      </c>
      <c r="L119" s="136">
        <v>8130.34</v>
      </c>
      <c r="M119" s="136">
        <f t="shared" si="29"/>
        <v>8130.34</v>
      </c>
      <c r="N119" s="136">
        <f t="shared" si="30"/>
        <v>56.460694444444442</v>
      </c>
      <c r="O119" s="136">
        <f t="shared" si="31"/>
        <v>677.52833333333331</v>
      </c>
      <c r="P119" s="329">
        <f t="shared" si="32"/>
        <v>677.52833333333331</v>
      </c>
      <c r="Q119" s="329">
        <f t="shared" si="33"/>
        <v>1580.899444444548</v>
      </c>
      <c r="R119" s="136">
        <f t="shared" si="34"/>
        <v>2258.4277777778811</v>
      </c>
      <c r="S119" s="136">
        <f t="shared" si="35"/>
        <v>5871.9122222221195</v>
      </c>
    </row>
    <row r="120" spans="1:19">
      <c r="A120" s="142">
        <v>233291</v>
      </c>
      <c r="C120" s="141">
        <v>15</v>
      </c>
      <c r="D120" s="142" t="s">
        <v>541</v>
      </c>
      <c r="E120" s="141">
        <v>2020</v>
      </c>
      <c r="F120" s="141">
        <v>4</v>
      </c>
      <c r="G120" s="222">
        <v>0</v>
      </c>
      <c r="H120" s="141" t="s">
        <v>51</v>
      </c>
      <c r="I120" s="141">
        <v>12</v>
      </c>
      <c r="J120" s="141">
        <f t="shared" si="27"/>
        <v>2032</v>
      </c>
      <c r="K120" s="223">
        <f t="shared" si="28"/>
        <v>2032.3333333333333</v>
      </c>
      <c r="L120" s="136">
        <v>8880.3700000000008</v>
      </c>
      <c r="M120" s="136">
        <f t="shared" si="29"/>
        <v>8880.3700000000008</v>
      </c>
      <c r="N120" s="136">
        <f t="shared" si="30"/>
        <v>61.669236111111111</v>
      </c>
      <c r="O120" s="136">
        <f t="shared" si="31"/>
        <v>740.03083333333336</v>
      </c>
      <c r="P120" s="329">
        <f t="shared" si="32"/>
        <v>740.03083333333336</v>
      </c>
      <c r="Q120" s="329">
        <f t="shared" si="33"/>
        <v>1726.7386111112237</v>
      </c>
      <c r="R120" s="136">
        <f t="shared" si="34"/>
        <v>2466.7694444445569</v>
      </c>
      <c r="S120" s="136">
        <f t="shared" si="35"/>
        <v>6413.6005555554439</v>
      </c>
    </row>
    <row r="121" spans="1:19">
      <c r="A121" s="142">
        <v>233292</v>
      </c>
      <c r="C121" s="141">
        <v>20</v>
      </c>
      <c r="D121" s="142" t="s">
        <v>542</v>
      </c>
      <c r="E121" s="141">
        <v>2020</v>
      </c>
      <c r="F121" s="141">
        <v>4</v>
      </c>
      <c r="G121" s="222">
        <v>0</v>
      </c>
      <c r="H121" s="141" t="s">
        <v>51</v>
      </c>
      <c r="I121" s="141">
        <v>12</v>
      </c>
      <c r="J121" s="141">
        <f t="shared" si="27"/>
        <v>2032</v>
      </c>
      <c r="K121" s="223">
        <f t="shared" si="28"/>
        <v>2032.3333333333333</v>
      </c>
      <c r="L121" s="136">
        <v>12451.39</v>
      </c>
      <c r="M121" s="136">
        <f t="shared" si="29"/>
        <v>12451.39</v>
      </c>
      <c r="N121" s="136">
        <f t="shared" si="30"/>
        <v>86.467986111111102</v>
      </c>
      <c r="O121" s="136">
        <f t="shared" si="31"/>
        <v>1037.6158333333333</v>
      </c>
      <c r="P121" s="329">
        <f t="shared" si="32"/>
        <v>1037.6158333333333</v>
      </c>
      <c r="Q121" s="329">
        <f t="shared" si="33"/>
        <v>2421.103611111268</v>
      </c>
      <c r="R121" s="136">
        <f t="shared" si="34"/>
        <v>3458.7194444446013</v>
      </c>
      <c r="S121" s="136">
        <f t="shared" si="35"/>
        <v>8992.6705555553981</v>
      </c>
    </row>
    <row r="122" spans="1:19">
      <c r="A122" s="142">
        <v>233293</v>
      </c>
      <c r="C122" s="141">
        <v>3</v>
      </c>
      <c r="D122" s="142" t="s">
        <v>543</v>
      </c>
      <c r="E122" s="141">
        <v>2020</v>
      </c>
      <c r="F122" s="141">
        <v>4</v>
      </c>
      <c r="G122" s="222">
        <v>0</v>
      </c>
      <c r="H122" s="141" t="s">
        <v>51</v>
      </c>
      <c r="I122" s="141">
        <v>12</v>
      </c>
      <c r="J122" s="141">
        <f t="shared" si="27"/>
        <v>2032</v>
      </c>
      <c r="K122" s="223">
        <f t="shared" si="28"/>
        <v>2032.3333333333333</v>
      </c>
      <c r="L122" s="136">
        <v>2043.15</v>
      </c>
      <c r="M122" s="136">
        <f t="shared" si="29"/>
        <v>2043.15</v>
      </c>
      <c r="N122" s="136">
        <f t="shared" si="30"/>
        <v>14.188541666666667</v>
      </c>
      <c r="O122" s="136">
        <f t="shared" si="31"/>
        <v>170.26250000000002</v>
      </c>
      <c r="P122" s="329">
        <f t="shared" si="32"/>
        <v>170.26250000000002</v>
      </c>
      <c r="Q122" s="329">
        <f t="shared" si="33"/>
        <v>397.27916666669239</v>
      </c>
      <c r="R122" s="136">
        <f t="shared" si="34"/>
        <v>567.54166666669244</v>
      </c>
      <c r="S122" s="136">
        <f t="shared" si="35"/>
        <v>1475.6083333333077</v>
      </c>
    </row>
    <row r="123" spans="1:19">
      <c r="A123" s="142">
        <v>233294</v>
      </c>
      <c r="C123" s="141">
        <v>9</v>
      </c>
      <c r="D123" s="142" t="s">
        <v>544</v>
      </c>
      <c r="E123" s="141">
        <v>2020</v>
      </c>
      <c r="F123" s="141">
        <v>4</v>
      </c>
      <c r="G123" s="222">
        <v>0</v>
      </c>
      <c r="H123" s="141" t="s">
        <v>51</v>
      </c>
      <c r="I123" s="141">
        <v>12</v>
      </c>
      <c r="J123" s="141">
        <f t="shared" si="27"/>
        <v>2032</v>
      </c>
      <c r="K123" s="223">
        <f t="shared" si="28"/>
        <v>2032.3333333333333</v>
      </c>
      <c r="L123" s="136">
        <v>6672.41</v>
      </c>
      <c r="M123" s="136">
        <f t="shared" si="29"/>
        <v>6672.41</v>
      </c>
      <c r="N123" s="136">
        <f t="shared" si="30"/>
        <v>46.336180555555558</v>
      </c>
      <c r="O123" s="136">
        <f t="shared" si="31"/>
        <v>556.03416666666669</v>
      </c>
      <c r="P123" s="329">
        <f t="shared" si="32"/>
        <v>556.03416666666669</v>
      </c>
      <c r="Q123" s="329">
        <f t="shared" si="33"/>
        <v>1297.4130555556394</v>
      </c>
      <c r="R123" s="136">
        <f t="shared" si="34"/>
        <v>1853.4472222223062</v>
      </c>
      <c r="S123" s="136">
        <f t="shared" si="35"/>
        <v>4818.9627777776932</v>
      </c>
    </row>
    <row r="124" spans="1:19">
      <c r="A124" s="142">
        <v>233295</v>
      </c>
      <c r="C124" s="141">
        <v>16</v>
      </c>
      <c r="D124" s="142" t="s">
        <v>545</v>
      </c>
      <c r="E124" s="141">
        <v>2020</v>
      </c>
      <c r="F124" s="141">
        <v>4</v>
      </c>
      <c r="G124" s="222">
        <v>0</v>
      </c>
      <c r="H124" s="141" t="s">
        <v>51</v>
      </c>
      <c r="I124" s="141">
        <v>12</v>
      </c>
      <c r="J124" s="141">
        <f t="shared" si="27"/>
        <v>2032</v>
      </c>
      <c r="K124" s="223">
        <f t="shared" si="28"/>
        <v>2032.3333333333333</v>
      </c>
      <c r="L124" s="136">
        <v>14359.98</v>
      </c>
      <c r="M124" s="136">
        <f t="shared" si="29"/>
        <v>14359.98</v>
      </c>
      <c r="N124" s="136">
        <f t="shared" si="30"/>
        <v>99.72208333333333</v>
      </c>
      <c r="O124" s="136">
        <f t="shared" si="31"/>
        <v>1196.665</v>
      </c>
      <c r="P124" s="329">
        <f t="shared" si="32"/>
        <v>1196.665</v>
      </c>
      <c r="Q124" s="329">
        <f t="shared" si="33"/>
        <v>2792.2183333335142</v>
      </c>
      <c r="R124" s="136">
        <f t="shared" si="34"/>
        <v>3988.8833333335142</v>
      </c>
      <c r="S124" s="136">
        <f t="shared" si="35"/>
        <v>10371.096666666486</v>
      </c>
    </row>
    <row r="125" spans="1:19">
      <c r="A125" s="142">
        <v>233296</v>
      </c>
      <c r="C125" s="141">
        <v>2</v>
      </c>
      <c r="D125" s="142" t="s">
        <v>546</v>
      </c>
      <c r="E125" s="141">
        <v>2020</v>
      </c>
      <c r="F125" s="141">
        <v>4</v>
      </c>
      <c r="G125" s="222">
        <v>0</v>
      </c>
      <c r="H125" s="141" t="s">
        <v>51</v>
      </c>
      <c r="I125" s="141">
        <v>12</v>
      </c>
      <c r="J125" s="141">
        <f t="shared" si="27"/>
        <v>2032</v>
      </c>
      <c r="K125" s="223">
        <f t="shared" si="28"/>
        <v>2032.3333333333333</v>
      </c>
      <c r="L125" s="136">
        <v>2013.21</v>
      </c>
      <c r="M125" s="136">
        <f t="shared" si="29"/>
        <v>2013.21</v>
      </c>
      <c r="N125" s="136">
        <f t="shared" si="30"/>
        <v>13.980625000000002</v>
      </c>
      <c r="O125" s="136">
        <f t="shared" si="31"/>
        <v>167.76750000000001</v>
      </c>
      <c r="P125" s="329">
        <f t="shared" si="32"/>
        <v>167.76750000000001</v>
      </c>
      <c r="Q125" s="329">
        <f t="shared" si="33"/>
        <v>391.45750000002522</v>
      </c>
      <c r="R125" s="136">
        <f t="shared" si="34"/>
        <v>559.22500000002526</v>
      </c>
      <c r="S125" s="136">
        <f t="shared" si="35"/>
        <v>1453.9849999999747</v>
      </c>
    </row>
    <row r="126" spans="1:19">
      <c r="A126" s="142"/>
      <c r="C126" s="141"/>
      <c r="D126" s="142"/>
      <c r="E126" s="141"/>
      <c r="F126" s="141"/>
      <c r="G126" s="222"/>
      <c r="H126" s="141"/>
      <c r="K126" s="223"/>
      <c r="L126" s="136"/>
      <c r="M126" s="136"/>
      <c r="N126" s="136"/>
      <c r="O126" s="136"/>
      <c r="P126" s="136"/>
      <c r="Q126" s="136"/>
      <c r="R126" s="136"/>
      <c r="S126" s="136"/>
    </row>
    <row r="127" spans="1:19">
      <c r="A127" s="142"/>
      <c r="C127" s="141"/>
      <c r="D127" s="142"/>
      <c r="E127" s="141"/>
      <c r="F127" s="141"/>
      <c r="G127" s="222"/>
      <c r="H127" s="141"/>
      <c r="K127" s="223"/>
      <c r="L127" s="136"/>
      <c r="M127" s="136"/>
      <c r="N127" s="136"/>
      <c r="O127" s="136"/>
      <c r="P127" s="136"/>
      <c r="Q127" s="136"/>
      <c r="R127" s="136"/>
      <c r="S127" s="136"/>
    </row>
    <row r="128" spans="1:19">
      <c r="A128" s="142"/>
      <c r="C128" s="141"/>
      <c r="D128" s="142"/>
      <c r="E128" s="141"/>
      <c r="F128" s="141"/>
      <c r="G128" s="222"/>
      <c r="H128" s="141"/>
      <c r="K128" s="223"/>
      <c r="L128" s="136"/>
      <c r="M128" s="136"/>
      <c r="N128" s="136"/>
      <c r="O128" s="136"/>
      <c r="P128" s="136"/>
      <c r="Q128" s="136"/>
      <c r="R128" s="136"/>
      <c r="S128" s="136"/>
    </row>
    <row r="129" spans="1:19">
      <c r="A129" s="142"/>
      <c r="C129" s="141"/>
      <c r="D129" s="142"/>
      <c r="E129" s="141"/>
      <c r="F129" s="141"/>
      <c r="G129" s="222"/>
      <c r="H129" s="141"/>
      <c r="K129" s="223"/>
      <c r="L129" s="136"/>
      <c r="M129" s="136"/>
      <c r="N129" s="136"/>
      <c r="O129" s="136"/>
      <c r="P129" s="136"/>
      <c r="Q129" s="136"/>
      <c r="R129" s="136"/>
      <c r="S129" s="136"/>
    </row>
    <row r="130" spans="1:19">
      <c r="A130" s="142"/>
      <c r="C130" s="141"/>
      <c r="D130" s="142"/>
      <c r="E130" s="141"/>
      <c r="F130" s="141"/>
      <c r="G130" s="222"/>
      <c r="H130" s="141"/>
      <c r="L130" s="136"/>
      <c r="M130" s="136"/>
      <c r="N130" s="136"/>
      <c r="O130" s="136"/>
      <c r="P130" s="136"/>
      <c r="Q130" s="136"/>
      <c r="R130" s="136"/>
      <c r="S130" s="136"/>
    </row>
    <row r="131" spans="1:19">
      <c r="A131" s="284"/>
      <c r="B131" s="245"/>
      <c r="C131" s="245"/>
      <c r="D131" s="246" t="s">
        <v>70</v>
      </c>
      <c r="E131" s="227"/>
      <c r="F131" s="227"/>
      <c r="G131" s="228"/>
      <c r="H131" s="247"/>
      <c r="I131" s="227"/>
      <c r="J131" s="227"/>
      <c r="K131" s="227"/>
      <c r="L131" s="167">
        <f t="shared" ref="L131:S131" si="36">SUM(L12:L130)</f>
        <v>1126610.8589473683</v>
      </c>
      <c r="M131" s="167">
        <f t="shared" si="36"/>
        <v>1126610.8589473683</v>
      </c>
      <c r="N131" s="167">
        <f t="shared" si="36"/>
        <v>10698.974784878868</v>
      </c>
      <c r="O131" s="167">
        <f t="shared" si="36"/>
        <v>128387.6974185463</v>
      </c>
      <c r="P131" s="167">
        <f t="shared" si="36"/>
        <v>36483.39428571429</v>
      </c>
      <c r="Q131" s="167">
        <f t="shared" si="36"/>
        <v>873495.63399697631</v>
      </c>
      <c r="R131" s="167">
        <f t="shared" si="36"/>
        <v>912127.06542554707</v>
      </c>
      <c r="S131" s="167">
        <f t="shared" si="36"/>
        <v>214483.7935218213</v>
      </c>
    </row>
    <row r="132" spans="1:19">
      <c r="A132" s="131"/>
      <c r="B132" s="165"/>
      <c r="C132" s="165"/>
      <c r="D132" s="165"/>
      <c r="E132" s="127"/>
      <c r="F132" s="127"/>
      <c r="G132" s="166"/>
      <c r="H132" s="141"/>
      <c r="I132" s="127"/>
      <c r="J132" s="127"/>
      <c r="K132" s="127"/>
      <c r="L132" s="172"/>
      <c r="M132" s="172"/>
      <c r="N132" s="172"/>
      <c r="O132" s="172"/>
      <c r="P132" s="172"/>
      <c r="Q132" s="172"/>
      <c r="R132" s="172"/>
      <c r="S132" s="172"/>
    </row>
    <row r="133" spans="1:19">
      <c r="A133" s="142"/>
      <c r="D133" s="134" t="s">
        <v>257</v>
      </c>
      <c r="E133" s="141"/>
      <c r="F133" s="141"/>
      <c r="H133" s="141"/>
      <c r="L133" s="170"/>
      <c r="M133" s="147"/>
      <c r="N133" s="147"/>
      <c r="O133" s="147"/>
      <c r="P133" s="147"/>
      <c r="Q133" s="147"/>
      <c r="R133" s="147"/>
      <c r="S133" s="147"/>
    </row>
    <row r="134" spans="1:19">
      <c r="A134" s="142"/>
      <c r="C134" s="141">
        <f>19-10</f>
        <v>9</v>
      </c>
      <c r="D134" s="142" t="s">
        <v>121</v>
      </c>
      <c r="E134" s="141">
        <v>1997</v>
      </c>
      <c r="F134" s="141">
        <v>12</v>
      </c>
      <c r="G134" s="222">
        <v>0</v>
      </c>
      <c r="H134" s="141" t="s">
        <v>51</v>
      </c>
      <c r="I134" s="141">
        <v>5</v>
      </c>
      <c r="J134" s="141">
        <f t="shared" ref="J134:J169" si="37">E134+I134</f>
        <v>2002</v>
      </c>
      <c r="K134" s="223">
        <f t="shared" ref="K134:K169" si="38">+J134+(F134/12)</f>
        <v>2003</v>
      </c>
      <c r="L134" s="136">
        <f>51619/19*9</f>
        <v>24451.105263157893</v>
      </c>
      <c r="M134" s="136">
        <f t="shared" ref="M134:M169" si="39">L134-L134*G134</f>
        <v>24451.105263157893</v>
      </c>
      <c r="N134" s="136">
        <f t="shared" ref="N134:N169" si="40">M134/I134/12</f>
        <v>407.51842105263154</v>
      </c>
      <c r="O134" s="136">
        <f t="shared" ref="O134:O169" si="41">N134*12</f>
        <v>4890.2210526315785</v>
      </c>
      <c r="P134" s="329">
        <f t="shared" ref="P134:P169" si="42">+IF(K134&lt;=$N$6,0,O134)</f>
        <v>0</v>
      </c>
      <c r="Q134" s="329">
        <f t="shared" ref="Q134:Q169" si="43">+IF($K134&lt;=$N$7,$L134,IF(($E134+($F134/12))&gt;=$N$7,0,((($M134-((($K134-$N$7)*12)*$N134))))))</f>
        <v>24451.105263157893</v>
      </c>
      <c r="R134" s="136">
        <f t="shared" ref="R134:R169" si="44">+IF(K134&lt;=$N$6,M134,IF(P134=0,Q134,Q134+P134))</f>
        <v>24451.105263157893</v>
      </c>
      <c r="S134" s="136">
        <f t="shared" ref="S134:S169" si="45">+L134-R134</f>
        <v>0</v>
      </c>
    </row>
    <row r="135" spans="1:19">
      <c r="A135" s="142"/>
      <c r="C135" s="141">
        <v>2</v>
      </c>
      <c r="D135" s="142" t="s">
        <v>125</v>
      </c>
      <c r="E135" s="141">
        <v>1997</v>
      </c>
      <c r="F135" s="141">
        <v>12</v>
      </c>
      <c r="G135" s="222">
        <v>0</v>
      </c>
      <c r="H135" s="141" t="s">
        <v>51</v>
      </c>
      <c r="I135" s="141">
        <v>7</v>
      </c>
      <c r="J135" s="141">
        <f t="shared" si="37"/>
        <v>2004</v>
      </c>
      <c r="K135" s="223">
        <f t="shared" si="38"/>
        <v>2005</v>
      </c>
      <c r="L135" s="136">
        <v>6960</v>
      </c>
      <c r="M135" s="136">
        <f t="shared" si="39"/>
        <v>6960</v>
      </c>
      <c r="N135" s="136">
        <f t="shared" si="40"/>
        <v>82.857142857142861</v>
      </c>
      <c r="O135" s="136">
        <f t="shared" si="41"/>
        <v>994.28571428571433</v>
      </c>
      <c r="P135" s="329">
        <f t="shared" si="42"/>
        <v>0</v>
      </c>
      <c r="Q135" s="329">
        <f t="shared" si="43"/>
        <v>6960</v>
      </c>
      <c r="R135" s="136">
        <f t="shared" si="44"/>
        <v>6960</v>
      </c>
      <c r="S135" s="136">
        <f t="shared" si="45"/>
        <v>0</v>
      </c>
    </row>
    <row r="136" spans="1:19">
      <c r="A136" s="142"/>
      <c r="C136" s="141"/>
      <c r="D136" s="142" t="s">
        <v>116</v>
      </c>
      <c r="E136" s="141">
        <v>1997</v>
      </c>
      <c r="F136" s="141">
        <v>12</v>
      </c>
      <c r="G136" s="222">
        <v>0</v>
      </c>
      <c r="H136" s="141" t="s">
        <v>51</v>
      </c>
      <c r="I136" s="141">
        <v>5</v>
      </c>
      <c r="J136" s="141">
        <f t="shared" si="37"/>
        <v>2002</v>
      </c>
      <c r="K136" s="223">
        <f t="shared" si="38"/>
        <v>2003</v>
      </c>
      <c r="L136" s="136">
        <v>23012</v>
      </c>
      <c r="M136" s="136">
        <f t="shared" si="39"/>
        <v>23012</v>
      </c>
      <c r="N136" s="136">
        <f t="shared" si="40"/>
        <v>383.5333333333333</v>
      </c>
      <c r="O136" s="136">
        <f t="shared" si="41"/>
        <v>4602.3999999999996</v>
      </c>
      <c r="P136" s="329">
        <f t="shared" si="42"/>
        <v>0</v>
      </c>
      <c r="Q136" s="329">
        <f t="shared" si="43"/>
        <v>23012</v>
      </c>
      <c r="R136" s="136">
        <f t="shared" si="44"/>
        <v>23012</v>
      </c>
      <c r="S136" s="136">
        <f t="shared" si="45"/>
        <v>0</v>
      </c>
    </row>
    <row r="137" spans="1:19">
      <c r="A137" s="142"/>
      <c r="C137" s="141">
        <v>4</v>
      </c>
      <c r="D137" s="142" t="s">
        <v>128</v>
      </c>
      <c r="E137" s="141">
        <v>1998</v>
      </c>
      <c r="F137" s="141">
        <v>2</v>
      </c>
      <c r="G137" s="222">
        <v>0</v>
      </c>
      <c r="H137" s="141" t="s">
        <v>51</v>
      </c>
      <c r="I137" s="141">
        <v>10</v>
      </c>
      <c r="J137" s="141">
        <f t="shared" si="37"/>
        <v>2008</v>
      </c>
      <c r="K137" s="223">
        <f t="shared" si="38"/>
        <v>2008.1666666666667</v>
      </c>
      <c r="L137" s="136">
        <v>14327.75</v>
      </c>
      <c r="M137" s="136">
        <f t="shared" si="39"/>
        <v>14327.75</v>
      </c>
      <c r="N137" s="136">
        <f t="shared" si="40"/>
        <v>119.39791666666667</v>
      </c>
      <c r="O137" s="136">
        <f t="shared" si="41"/>
        <v>1432.7750000000001</v>
      </c>
      <c r="P137" s="329">
        <f t="shared" si="42"/>
        <v>0</v>
      </c>
      <c r="Q137" s="329">
        <f t="shared" si="43"/>
        <v>14327.75</v>
      </c>
      <c r="R137" s="136">
        <f t="shared" si="44"/>
        <v>14327.75</v>
      </c>
      <c r="S137" s="136">
        <f t="shared" si="45"/>
        <v>0</v>
      </c>
    </row>
    <row r="138" spans="1:19">
      <c r="A138" s="142"/>
      <c r="C138" s="141">
        <v>4</v>
      </c>
      <c r="D138" s="142" t="s">
        <v>129</v>
      </c>
      <c r="E138" s="141">
        <v>1998</v>
      </c>
      <c r="F138" s="141">
        <v>2</v>
      </c>
      <c r="G138" s="222">
        <v>0</v>
      </c>
      <c r="H138" s="141" t="s">
        <v>51</v>
      </c>
      <c r="I138" s="141">
        <v>10</v>
      </c>
      <c r="J138" s="141">
        <f t="shared" si="37"/>
        <v>2008</v>
      </c>
      <c r="K138" s="223">
        <f t="shared" si="38"/>
        <v>2008.1666666666667</v>
      </c>
      <c r="L138" s="136">
        <v>15868.15</v>
      </c>
      <c r="M138" s="136">
        <f t="shared" si="39"/>
        <v>15868.15</v>
      </c>
      <c r="N138" s="136">
        <f t="shared" si="40"/>
        <v>132.23458333333335</v>
      </c>
      <c r="O138" s="136">
        <f t="shared" si="41"/>
        <v>1586.8150000000001</v>
      </c>
      <c r="P138" s="329">
        <f t="shared" si="42"/>
        <v>0</v>
      </c>
      <c r="Q138" s="329">
        <f t="shared" si="43"/>
        <v>15868.15</v>
      </c>
      <c r="R138" s="136">
        <f t="shared" si="44"/>
        <v>15868.15</v>
      </c>
      <c r="S138" s="136">
        <f t="shared" si="45"/>
        <v>0</v>
      </c>
    </row>
    <row r="139" spans="1:19">
      <c r="A139" s="142"/>
      <c r="C139" s="141">
        <v>2</v>
      </c>
      <c r="D139" s="142" t="s">
        <v>71</v>
      </c>
      <c r="E139" s="141">
        <v>1998</v>
      </c>
      <c r="F139" s="141">
        <v>7</v>
      </c>
      <c r="G139" s="222">
        <v>0</v>
      </c>
      <c r="H139" s="141" t="s">
        <v>51</v>
      </c>
      <c r="I139" s="141">
        <v>10</v>
      </c>
      <c r="J139" s="141">
        <f t="shared" si="37"/>
        <v>2008</v>
      </c>
      <c r="K139" s="223">
        <f t="shared" si="38"/>
        <v>2008.5833333333333</v>
      </c>
      <c r="L139" s="136">
        <v>10546.23</v>
      </c>
      <c r="M139" s="136">
        <f t="shared" si="39"/>
        <v>10546.23</v>
      </c>
      <c r="N139" s="136">
        <f t="shared" si="40"/>
        <v>87.885249999999999</v>
      </c>
      <c r="O139" s="136">
        <f t="shared" si="41"/>
        <v>1054.623</v>
      </c>
      <c r="P139" s="329">
        <f t="shared" si="42"/>
        <v>0</v>
      </c>
      <c r="Q139" s="329">
        <f t="shared" si="43"/>
        <v>10546.23</v>
      </c>
      <c r="R139" s="136">
        <f t="shared" si="44"/>
        <v>10546.23</v>
      </c>
      <c r="S139" s="136">
        <f t="shared" si="45"/>
        <v>0</v>
      </c>
    </row>
    <row r="140" spans="1:19">
      <c r="A140" s="142"/>
      <c r="C140" s="141">
        <v>5</v>
      </c>
      <c r="D140" s="142" t="s">
        <v>167</v>
      </c>
      <c r="E140" s="141">
        <v>2004</v>
      </c>
      <c r="F140" s="141">
        <v>6</v>
      </c>
      <c r="G140" s="222">
        <v>0</v>
      </c>
      <c r="H140" s="141" t="s">
        <v>51</v>
      </c>
      <c r="I140" s="141">
        <v>10</v>
      </c>
      <c r="J140" s="141">
        <f t="shared" si="37"/>
        <v>2014</v>
      </c>
      <c r="K140" s="223">
        <f t="shared" si="38"/>
        <v>2014.5</v>
      </c>
      <c r="L140" s="136">
        <v>22655.599999999999</v>
      </c>
      <c r="M140" s="136">
        <f t="shared" si="39"/>
        <v>22655.599999999999</v>
      </c>
      <c r="N140" s="136">
        <f t="shared" si="40"/>
        <v>188.79666666666665</v>
      </c>
      <c r="O140" s="136">
        <f t="shared" si="41"/>
        <v>2265.56</v>
      </c>
      <c r="P140" s="329">
        <f t="shared" si="42"/>
        <v>0</v>
      </c>
      <c r="Q140" s="329">
        <f t="shared" si="43"/>
        <v>22655.599999999999</v>
      </c>
      <c r="R140" s="136">
        <f t="shared" si="44"/>
        <v>22655.599999999999</v>
      </c>
      <c r="S140" s="136">
        <f t="shared" si="45"/>
        <v>0</v>
      </c>
    </row>
    <row r="141" spans="1:19">
      <c r="A141" s="142"/>
      <c r="C141" s="141">
        <v>5</v>
      </c>
      <c r="D141" s="142" t="s">
        <v>164</v>
      </c>
      <c r="E141" s="141">
        <v>2004</v>
      </c>
      <c r="F141" s="141">
        <v>6</v>
      </c>
      <c r="G141" s="222">
        <v>0</v>
      </c>
      <c r="H141" s="141" t="s">
        <v>51</v>
      </c>
      <c r="I141" s="141">
        <v>10</v>
      </c>
      <c r="J141" s="141">
        <f t="shared" si="37"/>
        <v>2014</v>
      </c>
      <c r="K141" s="223">
        <f t="shared" si="38"/>
        <v>2014.5</v>
      </c>
      <c r="L141" s="136">
        <v>23147.200000000001</v>
      </c>
      <c r="M141" s="136">
        <f t="shared" si="39"/>
        <v>23147.200000000001</v>
      </c>
      <c r="N141" s="136">
        <f t="shared" si="40"/>
        <v>192.89333333333335</v>
      </c>
      <c r="O141" s="136">
        <f t="shared" si="41"/>
        <v>2314.7200000000003</v>
      </c>
      <c r="P141" s="329">
        <f t="shared" si="42"/>
        <v>0</v>
      </c>
      <c r="Q141" s="329">
        <f t="shared" si="43"/>
        <v>23147.200000000001</v>
      </c>
      <c r="R141" s="136">
        <f t="shared" si="44"/>
        <v>23147.200000000001</v>
      </c>
      <c r="S141" s="136">
        <f t="shared" si="45"/>
        <v>0</v>
      </c>
    </row>
    <row r="142" spans="1:19">
      <c r="A142" s="142"/>
      <c r="C142" s="141">
        <v>5</v>
      </c>
      <c r="D142" s="142" t="s">
        <v>168</v>
      </c>
      <c r="E142" s="141">
        <v>2004</v>
      </c>
      <c r="F142" s="141">
        <v>6</v>
      </c>
      <c r="G142" s="222">
        <v>0</v>
      </c>
      <c r="H142" s="141" t="s">
        <v>51</v>
      </c>
      <c r="I142" s="141">
        <v>10</v>
      </c>
      <c r="J142" s="141">
        <f t="shared" si="37"/>
        <v>2014</v>
      </c>
      <c r="K142" s="223">
        <f t="shared" si="38"/>
        <v>2014.5</v>
      </c>
      <c r="L142" s="136">
        <v>23902.2</v>
      </c>
      <c r="M142" s="136">
        <f t="shared" si="39"/>
        <v>23902.2</v>
      </c>
      <c r="N142" s="136">
        <f t="shared" si="40"/>
        <v>199.18500000000003</v>
      </c>
      <c r="O142" s="136">
        <f t="shared" si="41"/>
        <v>2390.2200000000003</v>
      </c>
      <c r="P142" s="329">
        <f t="shared" si="42"/>
        <v>0</v>
      </c>
      <c r="Q142" s="329">
        <f t="shared" si="43"/>
        <v>23902.2</v>
      </c>
      <c r="R142" s="136">
        <f t="shared" si="44"/>
        <v>23902.2</v>
      </c>
      <c r="S142" s="136">
        <f t="shared" si="45"/>
        <v>0</v>
      </c>
    </row>
    <row r="143" spans="1:19">
      <c r="A143" s="142"/>
      <c r="C143" s="141">
        <v>3</v>
      </c>
      <c r="D143" s="142" t="s">
        <v>173</v>
      </c>
      <c r="E143" s="141">
        <v>2005</v>
      </c>
      <c r="F143" s="141">
        <v>5</v>
      </c>
      <c r="G143" s="222">
        <v>0</v>
      </c>
      <c r="H143" s="141" t="s">
        <v>51</v>
      </c>
      <c r="I143" s="141">
        <v>10</v>
      </c>
      <c r="J143" s="141">
        <f t="shared" si="37"/>
        <v>2015</v>
      </c>
      <c r="K143" s="223">
        <f t="shared" si="38"/>
        <v>2015.4166666666667</v>
      </c>
      <c r="L143" s="136">
        <f>12429.14+1691.04</f>
        <v>14120.18</v>
      </c>
      <c r="M143" s="136">
        <f t="shared" si="39"/>
        <v>14120.18</v>
      </c>
      <c r="N143" s="136">
        <f t="shared" si="40"/>
        <v>117.66816666666666</v>
      </c>
      <c r="O143" s="136">
        <f t="shared" si="41"/>
        <v>1412.018</v>
      </c>
      <c r="P143" s="329">
        <f t="shared" si="42"/>
        <v>0</v>
      </c>
      <c r="Q143" s="329">
        <f t="shared" si="43"/>
        <v>14120.18</v>
      </c>
      <c r="R143" s="136">
        <f t="shared" si="44"/>
        <v>14120.18</v>
      </c>
      <c r="S143" s="136">
        <f t="shared" si="45"/>
        <v>0</v>
      </c>
    </row>
    <row r="144" spans="1:19">
      <c r="A144" s="142"/>
      <c r="C144" s="141">
        <v>2</v>
      </c>
      <c r="D144" s="142" t="s">
        <v>174</v>
      </c>
      <c r="E144" s="141">
        <v>2005</v>
      </c>
      <c r="F144" s="141">
        <v>5</v>
      </c>
      <c r="G144" s="222">
        <v>0</v>
      </c>
      <c r="H144" s="141" t="s">
        <v>51</v>
      </c>
      <c r="I144" s="141">
        <v>10</v>
      </c>
      <c r="J144" s="141">
        <f t="shared" si="37"/>
        <v>2015</v>
      </c>
      <c r="K144" s="223">
        <f t="shared" si="38"/>
        <v>2015.4166666666667</v>
      </c>
      <c r="L144" s="136">
        <v>11989.04</v>
      </c>
      <c r="M144" s="136">
        <f t="shared" si="39"/>
        <v>11989.04</v>
      </c>
      <c r="N144" s="136">
        <f t="shared" si="40"/>
        <v>99.908666666666662</v>
      </c>
      <c r="O144" s="136">
        <f t="shared" si="41"/>
        <v>1198.904</v>
      </c>
      <c r="P144" s="329">
        <f t="shared" si="42"/>
        <v>0</v>
      </c>
      <c r="Q144" s="329">
        <f t="shared" si="43"/>
        <v>11989.04</v>
      </c>
      <c r="R144" s="136">
        <f t="shared" si="44"/>
        <v>11989.04</v>
      </c>
      <c r="S144" s="136">
        <f t="shared" si="45"/>
        <v>0</v>
      </c>
    </row>
    <row r="145" spans="1:19">
      <c r="A145" s="142"/>
      <c r="C145" s="141">
        <v>3</v>
      </c>
      <c r="D145" s="142" t="s">
        <v>174</v>
      </c>
      <c r="E145" s="141">
        <v>2005</v>
      </c>
      <c r="F145" s="141">
        <v>7</v>
      </c>
      <c r="G145" s="222">
        <v>0</v>
      </c>
      <c r="H145" s="141" t="s">
        <v>51</v>
      </c>
      <c r="I145" s="141">
        <v>10</v>
      </c>
      <c r="J145" s="141">
        <f t="shared" si="37"/>
        <v>2015</v>
      </c>
      <c r="K145" s="223">
        <f t="shared" si="38"/>
        <v>2015.5833333333333</v>
      </c>
      <c r="L145" s="136">
        <v>15057.84</v>
      </c>
      <c r="M145" s="136">
        <f t="shared" si="39"/>
        <v>15057.84</v>
      </c>
      <c r="N145" s="136">
        <f t="shared" si="40"/>
        <v>125.48200000000001</v>
      </c>
      <c r="O145" s="136">
        <f t="shared" si="41"/>
        <v>1505.7840000000001</v>
      </c>
      <c r="P145" s="329">
        <f t="shared" si="42"/>
        <v>0</v>
      </c>
      <c r="Q145" s="329">
        <f t="shared" si="43"/>
        <v>15057.84</v>
      </c>
      <c r="R145" s="136">
        <f t="shared" si="44"/>
        <v>15057.84</v>
      </c>
      <c r="S145" s="136">
        <f t="shared" si="45"/>
        <v>0</v>
      </c>
    </row>
    <row r="146" spans="1:19">
      <c r="A146" s="142"/>
      <c r="C146" s="141">
        <v>5</v>
      </c>
      <c r="D146" s="142" t="s">
        <v>174</v>
      </c>
      <c r="E146" s="141">
        <v>2006</v>
      </c>
      <c r="F146" s="141">
        <v>3</v>
      </c>
      <c r="G146" s="222">
        <v>0</v>
      </c>
      <c r="H146" s="141" t="s">
        <v>51</v>
      </c>
      <c r="I146" s="141">
        <v>10</v>
      </c>
      <c r="J146" s="141">
        <f t="shared" si="37"/>
        <v>2016</v>
      </c>
      <c r="K146" s="223">
        <f t="shared" si="38"/>
        <v>2016.25</v>
      </c>
      <c r="L146" s="136">
        <v>26449.599999999999</v>
      </c>
      <c r="M146" s="136">
        <f t="shared" si="39"/>
        <v>26449.599999999999</v>
      </c>
      <c r="N146" s="136">
        <f t="shared" si="40"/>
        <v>220.41333333333333</v>
      </c>
      <c r="O146" s="136">
        <f t="shared" si="41"/>
        <v>2644.96</v>
      </c>
      <c r="P146" s="329">
        <f t="shared" si="42"/>
        <v>0</v>
      </c>
      <c r="Q146" s="329">
        <f t="shared" si="43"/>
        <v>26449.599999999999</v>
      </c>
      <c r="R146" s="136">
        <f t="shared" si="44"/>
        <v>26449.599999999999</v>
      </c>
      <c r="S146" s="136">
        <f t="shared" si="45"/>
        <v>0</v>
      </c>
    </row>
    <row r="147" spans="1:19">
      <c r="A147" s="142"/>
      <c r="C147" s="141">
        <v>5</v>
      </c>
      <c r="D147" s="142" t="s">
        <v>174</v>
      </c>
      <c r="E147" s="141">
        <v>2006</v>
      </c>
      <c r="F147" s="141">
        <v>6</v>
      </c>
      <c r="G147" s="222">
        <v>0</v>
      </c>
      <c r="H147" s="141" t="s">
        <v>51</v>
      </c>
      <c r="I147" s="141">
        <v>10</v>
      </c>
      <c r="J147" s="141">
        <f t="shared" si="37"/>
        <v>2016</v>
      </c>
      <c r="K147" s="223">
        <f t="shared" si="38"/>
        <v>2016.5</v>
      </c>
      <c r="L147" s="136">
        <v>26449.599999999999</v>
      </c>
      <c r="M147" s="136">
        <f t="shared" si="39"/>
        <v>26449.599999999999</v>
      </c>
      <c r="N147" s="136">
        <f t="shared" si="40"/>
        <v>220.41333333333333</v>
      </c>
      <c r="O147" s="136">
        <f t="shared" si="41"/>
        <v>2644.96</v>
      </c>
      <c r="P147" s="329">
        <f t="shared" si="42"/>
        <v>0</v>
      </c>
      <c r="Q147" s="329">
        <f t="shared" si="43"/>
        <v>26449.599999999999</v>
      </c>
      <c r="R147" s="136">
        <f t="shared" si="44"/>
        <v>26449.599999999999</v>
      </c>
      <c r="S147" s="136">
        <f t="shared" si="45"/>
        <v>0</v>
      </c>
    </row>
    <row r="148" spans="1:19">
      <c r="A148" s="142"/>
      <c r="C148" s="141">
        <v>5</v>
      </c>
      <c r="D148" s="142" t="s">
        <v>174</v>
      </c>
      <c r="E148" s="141">
        <v>2007</v>
      </c>
      <c r="F148" s="141">
        <v>6</v>
      </c>
      <c r="G148" s="222">
        <v>0</v>
      </c>
      <c r="H148" s="141" t="s">
        <v>51</v>
      </c>
      <c r="I148" s="141">
        <v>10</v>
      </c>
      <c r="J148" s="141">
        <f t="shared" si="37"/>
        <v>2017</v>
      </c>
      <c r="K148" s="223">
        <f t="shared" si="38"/>
        <v>2017.5</v>
      </c>
      <c r="L148" s="136">
        <v>26509.22</v>
      </c>
      <c r="M148" s="136">
        <f t="shared" si="39"/>
        <v>26509.22</v>
      </c>
      <c r="N148" s="136">
        <f t="shared" si="40"/>
        <v>220.91016666666667</v>
      </c>
      <c r="O148" s="136">
        <f t="shared" si="41"/>
        <v>2650.922</v>
      </c>
      <c r="P148" s="329">
        <f t="shared" si="42"/>
        <v>0</v>
      </c>
      <c r="Q148" s="329">
        <f t="shared" si="43"/>
        <v>26509.22</v>
      </c>
      <c r="R148" s="136">
        <f t="shared" si="44"/>
        <v>26509.22</v>
      </c>
      <c r="S148" s="136">
        <f t="shared" si="45"/>
        <v>0</v>
      </c>
    </row>
    <row r="149" spans="1:19">
      <c r="A149" s="142"/>
      <c r="C149" s="141">
        <v>5</v>
      </c>
      <c r="D149" s="142" t="s">
        <v>174</v>
      </c>
      <c r="E149" s="141">
        <v>2007</v>
      </c>
      <c r="F149" s="141">
        <v>8</v>
      </c>
      <c r="G149" s="222">
        <v>0</v>
      </c>
      <c r="H149" s="141" t="s">
        <v>51</v>
      </c>
      <c r="I149" s="141">
        <v>10</v>
      </c>
      <c r="J149" s="141">
        <f t="shared" si="37"/>
        <v>2017</v>
      </c>
      <c r="K149" s="223">
        <f t="shared" si="38"/>
        <v>2017.6666666666667</v>
      </c>
      <c r="L149" s="136">
        <v>25620.34</v>
      </c>
      <c r="M149" s="136">
        <f t="shared" si="39"/>
        <v>25620.34</v>
      </c>
      <c r="N149" s="136">
        <f t="shared" si="40"/>
        <v>213.50283333333334</v>
      </c>
      <c r="O149" s="136">
        <f t="shared" si="41"/>
        <v>2562.0340000000001</v>
      </c>
      <c r="P149" s="329">
        <f t="shared" si="42"/>
        <v>0</v>
      </c>
      <c r="Q149" s="329">
        <f t="shared" si="43"/>
        <v>25620.34</v>
      </c>
      <c r="R149" s="136">
        <f t="shared" si="44"/>
        <v>25620.34</v>
      </c>
      <c r="S149" s="136">
        <f t="shared" si="45"/>
        <v>0</v>
      </c>
    </row>
    <row r="150" spans="1:19">
      <c r="A150" s="142"/>
      <c r="C150" s="141">
        <v>5</v>
      </c>
      <c r="D150" s="142" t="s">
        <v>174</v>
      </c>
      <c r="E150" s="141">
        <v>2007</v>
      </c>
      <c r="F150" s="141">
        <v>10</v>
      </c>
      <c r="G150" s="222">
        <v>0</v>
      </c>
      <c r="H150" s="141" t="s">
        <v>51</v>
      </c>
      <c r="I150" s="141">
        <v>10</v>
      </c>
      <c r="J150" s="141">
        <f t="shared" si="37"/>
        <v>2017</v>
      </c>
      <c r="K150" s="223">
        <f t="shared" si="38"/>
        <v>2017.8333333333333</v>
      </c>
      <c r="L150" s="136">
        <v>26509.22</v>
      </c>
      <c r="M150" s="136">
        <f t="shared" si="39"/>
        <v>26509.22</v>
      </c>
      <c r="N150" s="136">
        <f t="shared" si="40"/>
        <v>220.91016666666667</v>
      </c>
      <c r="O150" s="136">
        <f t="shared" si="41"/>
        <v>2650.922</v>
      </c>
      <c r="P150" s="329">
        <f t="shared" si="42"/>
        <v>0</v>
      </c>
      <c r="Q150" s="329">
        <f t="shared" si="43"/>
        <v>26509.22</v>
      </c>
      <c r="R150" s="136">
        <f t="shared" si="44"/>
        <v>26509.22</v>
      </c>
      <c r="S150" s="136">
        <f t="shared" si="45"/>
        <v>0</v>
      </c>
    </row>
    <row r="151" spans="1:19">
      <c r="A151" s="142">
        <v>237925</v>
      </c>
      <c r="C151" s="141">
        <v>10</v>
      </c>
      <c r="D151" s="142" t="s">
        <v>563</v>
      </c>
      <c r="E151" s="141">
        <v>2008</v>
      </c>
      <c r="F151" s="141">
        <v>11</v>
      </c>
      <c r="G151" s="222">
        <v>0</v>
      </c>
      <c r="H151" s="141" t="s">
        <v>51</v>
      </c>
      <c r="I151" s="141">
        <v>7</v>
      </c>
      <c r="J151" s="141">
        <f t="shared" si="37"/>
        <v>2015</v>
      </c>
      <c r="K151" s="223">
        <f t="shared" si="38"/>
        <v>2015.9166666666667</v>
      </c>
      <c r="L151" s="136">
        <v>1401.6</v>
      </c>
      <c r="M151" s="136">
        <f t="shared" si="39"/>
        <v>1401.6</v>
      </c>
      <c r="N151" s="136">
        <f t="shared" si="40"/>
        <v>16.685714285714287</v>
      </c>
      <c r="O151" s="136">
        <f t="shared" si="41"/>
        <v>200.22857142857146</v>
      </c>
      <c r="P151" s="329">
        <f t="shared" si="42"/>
        <v>0</v>
      </c>
      <c r="Q151" s="329">
        <f t="shared" si="43"/>
        <v>1401.6</v>
      </c>
      <c r="R151" s="136">
        <f t="shared" si="44"/>
        <v>1401.6</v>
      </c>
      <c r="S151" s="136">
        <f t="shared" si="45"/>
        <v>0</v>
      </c>
    </row>
    <row r="152" spans="1:19">
      <c r="A152" s="142">
        <v>237924</v>
      </c>
      <c r="C152" s="141">
        <v>7</v>
      </c>
      <c r="D152" s="142" t="s">
        <v>563</v>
      </c>
      <c r="E152" s="141">
        <v>2008</v>
      </c>
      <c r="F152" s="141">
        <v>11</v>
      </c>
      <c r="G152" s="222">
        <v>0</v>
      </c>
      <c r="H152" s="141" t="s">
        <v>51</v>
      </c>
      <c r="I152" s="141">
        <v>7</v>
      </c>
      <c r="J152" s="141">
        <f t="shared" si="37"/>
        <v>2015</v>
      </c>
      <c r="K152" s="223">
        <f t="shared" si="38"/>
        <v>2015.9166666666667</v>
      </c>
      <c r="L152" s="136">
        <v>700</v>
      </c>
      <c r="M152" s="136">
        <f t="shared" si="39"/>
        <v>700</v>
      </c>
      <c r="N152" s="136">
        <f t="shared" si="40"/>
        <v>8.3333333333333339</v>
      </c>
      <c r="O152" s="136">
        <f t="shared" si="41"/>
        <v>100</v>
      </c>
      <c r="P152" s="329">
        <f t="shared" si="42"/>
        <v>0</v>
      </c>
      <c r="Q152" s="329">
        <f t="shared" si="43"/>
        <v>700</v>
      </c>
      <c r="R152" s="136">
        <f t="shared" si="44"/>
        <v>700</v>
      </c>
      <c r="S152" s="136">
        <f t="shared" si="45"/>
        <v>0</v>
      </c>
    </row>
    <row r="153" spans="1:19">
      <c r="A153" s="142">
        <v>237685</v>
      </c>
      <c r="C153" s="141">
        <v>4</v>
      </c>
      <c r="D153" s="142" t="s">
        <v>563</v>
      </c>
      <c r="E153" s="141">
        <v>2008</v>
      </c>
      <c r="F153" s="141">
        <v>11</v>
      </c>
      <c r="G153" s="222">
        <v>0</v>
      </c>
      <c r="H153" s="141" t="s">
        <v>51</v>
      </c>
      <c r="I153" s="141">
        <v>7</v>
      </c>
      <c r="J153" s="141">
        <f t="shared" si="37"/>
        <v>2015</v>
      </c>
      <c r="K153" s="223">
        <f t="shared" si="38"/>
        <v>2015.9166666666667</v>
      </c>
      <c r="L153" s="136">
        <v>61000</v>
      </c>
      <c r="M153" s="136">
        <f t="shared" si="39"/>
        <v>61000</v>
      </c>
      <c r="N153" s="136">
        <f t="shared" si="40"/>
        <v>726.19047619047615</v>
      </c>
      <c r="O153" s="136">
        <f t="shared" si="41"/>
        <v>8714.2857142857138</v>
      </c>
      <c r="P153" s="329">
        <f t="shared" si="42"/>
        <v>0</v>
      </c>
      <c r="Q153" s="329">
        <f t="shared" si="43"/>
        <v>61000</v>
      </c>
      <c r="R153" s="136">
        <f t="shared" si="44"/>
        <v>61000</v>
      </c>
      <c r="S153" s="136">
        <f t="shared" si="45"/>
        <v>0</v>
      </c>
    </row>
    <row r="154" spans="1:19">
      <c r="A154" s="142">
        <v>241724</v>
      </c>
      <c r="C154" s="141">
        <v>4</v>
      </c>
      <c r="D154" s="142" t="s">
        <v>557</v>
      </c>
      <c r="E154" s="141">
        <v>2009</v>
      </c>
      <c r="F154" s="141">
        <v>7</v>
      </c>
      <c r="G154" s="222">
        <v>0</v>
      </c>
      <c r="H154" s="141" t="s">
        <v>51</v>
      </c>
      <c r="I154" s="141">
        <v>7</v>
      </c>
      <c r="J154" s="141">
        <f t="shared" si="37"/>
        <v>2016</v>
      </c>
      <c r="K154" s="223">
        <f t="shared" si="38"/>
        <v>2016.5833333333333</v>
      </c>
      <c r="L154" s="136">
        <v>6001.1</v>
      </c>
      <c r="M154" s="136">
        <f t="shared" si="39"/>
        <v>6001.1</v>
      </c>
      <c r="N154" s="136">
        <f t="shared" si="40"/>
        <v>71.441666666666677</v>
      </c>
      <c r="O154" s="136">
        <f t="shared" si="41"/>
        <v>857.30000000000018</v>
      </c>
      <c r="P154" s="329">
        <f t="shared" si="42"/>
        <v>0</v>
      </c>
      <c r="Q154" s="329">
        <f t="shared" si="43"/>
        <v>6001.1</v>
      </c>
      <c r="R154" s="136">
        <f t="shared" si="44"/>
        <v>6001.1</v>
      </c>
      <c r="S154" s="136">
        <f t="shared" si="45"/>
        <v>0</v>
      </c>
    </row>
    <row r="155" spans="1:19">
      <c r="A155" s="142">
        <v>107241</v>
      </c>
      <c r="C155" s="141">
        <v>3</v>
      </c>
      <c r="D155" s="142" t="s">
        <v>316</v>
      </c>
      <c r="E155" s="141">
        <v>2013</v>
      </c>
      <c r="F155" s="141">
        <v>8</v>
      </c>
      <c r="G155" s="222">
        <v>0</v>
      </c>
      <c r="H155" s="141" t="s">
        <v>51</v>
      </c>
      <c r="I155" s="141">
        <v>12</v>
      </c>
      <c r="J155" s="141">
        <f t="shared" si="37"/>
        <v>2025</v>
      </c>
      <c r="K155" s="223">
        <f t="shared" si="38"/>
        <v>2025.6666666666667</v>
      </c>
      <c r="L155" s="136">
        <v>18364.04</v>
      </c>
      <c r="M155" s="136">
        <f t="shared" si="39"/>
        <v>18364.04</v>
      </c>
      <c r="N155" s="136">
        <f t="shared" si="40"/>
        <v>127.52805555555557</v>
      </c>
      <c r="O155" s="136">
        <f t="shared" si="41"/>
        <v>1530.3366666666668</v>
      </c>
      <c r="P155" s="329">
        <f t="shared" si="42"/>
        <v>1530.3366666666668</v>
      </c>
      <c r="Q155" s="329">
        <f t="shared" si="43"/>
        <v>13773.03</v>
      </c>
      <c r="R155" s="136">
        <f t="shared" si="44"/>
        <v>15303.366666666667</v>
      </c>
      <c r="S155" s="136">
        <f t="shared" si="45"/>
        <v>3060.6733333333341</v>
      </c>
    </row>
    <row r="156" spans="1:19">
      <c r="A156" s="142">
        <v>124065</v>
      </c>
      <c r="C156" s="141">
        <v>3</v>
      </c>
      <c r="D156" s="142" t="s">
        <v>315</v>
      </c>
      <c r="E156" s="141">
        <v>2015</v>
      </c>
      <c r="F156" s="141">
        <v>7</v>
      </c>
      <c r="G156" s="222">
        <v>0</v>
      </c>
      <c r="H156" s="141" t="s">
        <v>51</v>
      </c>
      <c r="I156" s="141">
        <v>12</v>
      </c>
      <c r="J156" s="141">
        <f t="shared" si="37"/>
        <v>2027</v>
      </c>
      <c r="K156" s="223">
        <f t="shared" si="38"/>
        <v>2027.5833333333333</v>
      </c>
      <c r="L156" s="136">
        <v>16310</v>
      </c>
      <c r="M156" s="136">
        <f t="shared" si="39"/>
        <v>16310</v>
      </c>
      <c r="N156" s="136">
        <f t="shared" si="40"/>
        <v>113.2638888888889</v>
      </c>
      <c r="O156" s="136">
        <f t="shared" si="41"/>
        <v>1359.1666666666667</v>
      </c>
      <c r="P156" s="329">
        <f t="shared" si="42"/>
        <v>1359.1666666666667</v>
      </c>
      <c r="Q156" s="329">
        <f t="shared" si="43"/>
        <v>9627.4305555557621</v>
      </c>
      <c r="R156" s="136">
        <f t="shared" si="44"/>
        <v>10986.597222222428</v>
      </c>
      <c r="S156" s="136">
        <f t="shared" si="45"/>
        <v>5323.4027777775718</v>
      </c>
    </row>
    <row r="157" spans="1:19">
      <c r="A157" s="142">
        <v>130068</v>
      </c>
      <c r="C157" s="141">
        <v>3</v>
      </c>
      <c r="D157" s="142" t="s">
        <v>168</v>
      </c>
      <c r="E157" s="141">
        <v>2016</v>
      </c>
      <c r="F157" s="141">
        <v>1</v>
      </c>
      <c r="G157" s="222">
        <v>0</v>
      </c>
      <c r="H157" s="141" t="s">
        <v>51</v>
      </c>
      <c r="I157" s="141">
        <v>11.09</v>
      </c>
      <c r="J157" s="141">
        <f t="shared" si="37"/>
        <v>2027.09</v>
      </c>
      <c r="K157" s="223">
        <f t="shared" si="38"/>
        <v>2027.1733333333332</v>
      </c>
      <c r="L157" s="136">
        <v>17943</v>
      </c>
      <c r="M157" s="136">
        <f t="shared" si="39"/>
        <v>17943</v>
      </c>
      <c r="N157" s="136">
        <f t="shared" si="40"/>
        <v>134.82867448151487</v>
      </c>
      <c r="O157" s="136">
        <f t="shared" si="41"/>
        <v>1617.9440937781783</v>
      </c>
      <c r="P157" s="329">
        <f t="shared" si="42"/>
        <v>1617.9440937781783</v>
      </c>
      <c r="Q157" s="329">
        <f t="shared" si="43"/>
        <v>10651.465284040054</v>
      </c>
      <c r="R157" s="136">
        <f t="shared" si="44"/>
        <v>12269.409377818232</v>
      </c>
      <c r="S157" s="136">
        <f t="shared" si="45"/>
        <v>5673.5906221817677</v>
      </c>
    </row>
    <row r="158" spans="1:19">
      <c r="A158" s="142">
        <v>133215</v>
      </c>
      <c r="C158" s="141">
        <v>1</v>
      </c>
      <c r="D158" s="142" t="s">
        <v>174</v>
      </c>
      <c r="E158" s="141">
        <v>2016</v>
      </c>
      <c r="F158" s="141">
        <v>5</v>
      </c>
      <c r="G158" s="222">
        <v>0</v>
      </c>
      <c r="H158" s="141" t="s">
        <v>51</v>
      </c>
      <c r="I158" s="141">
        <v>12</v>
      </c>
      <c r="J158" s="141">
        <f t="shared" si="37"/>
        <v>2028</v>
      </c>
      <c r="K158" s="223">
        <f t="shared" si="38"/>
        <v>2028.4166666666667</v>
      </c>
      <c r="L158" s="136">
        <v>5981</v>
      </c>
      <c r="M158" s="136">
        <f t="shared" si="39"/>
        <v>5981</v>
      </c>
      <c r="N158" s="136">
        <f t="shared" si="40"/>
        <v>41.534722222222221</v>
      </c>
      <c r="O158" s="136">
        <f t="shared" si="41"/>
        <v>498.41666666666663</v>
      </c>
      <c r="P158" s="329">
        <f t="shared" si="42"/>
        <v>498.41666666666663</v>
      </c>
      <c r="Q158" s="329">
        <f t="shared" si="43"/>
        <v>3115.1041666666665</v>
      </c>
      <c r="R158" s="136">
        <f t="shared" si="44"/>
        <v>3613.520833333333</v>
      </c>
      <c r="S158" s="136">
        <f t="shared" si="45"/>
        <v>2367.479166666667</v>
      </c>
    </row>
    <row r="159" spans="1:19">
      <c r="A159" s="142">
        <v>133216</v>
      </c>
      <c r="C159" s="141">
        <v>2</v>
      </c>
      <c r="D159" s="142" t="s">
        <v>173</v>
      </c>
      <c r="E159" s="141">
        <v>2016</v>
      </c>
      <c r="F159" s="141">
        <v>5</v>
      </c>
      <c r="G159" s="222">
        <v>0</v>
      </c>
      <c r="H159" s="141" t="s">
        <v>51</v>
      </c>
      <c r="I159" s="141">
        <v>12</v>
      </c>
      <c r="J159" s="141">
        <f t="shared" si="37"/>
        <v>2028</v>
      </c>
      <c r="K159" s="223">
        <f t="shared" si="38"/>
        <v>2028.4166666666667</v>
      </c>
      <c r="L159" s="136">
        <v>11626</v>
      </c>
      <c r="M159" s="136">
        <f t="shared" si="39"/>
        <v>11626</v>
      </c>
      <c r="N159" s="136">
        <f t="shared" si="40"/>
        <v>80.736111111111114</v>
      </c>
      <c r="O159" s="136">
        <f t="shared" si="41"/>
        <v>968.83333333333337</v>
      </c>
      <c r="P159" s="329">
        <f t="shared" si="42"/>
        <v>968.83333333333337</v>
      </c>
      <c r="Q159" s="329">
        <f t="shared" si="43"/>
        <v>6055.208333333333</v>
      </c>
      <c r="R159" s="136">
        <f t="shared" si="44"/>
        <v>7024.0416666666661</v>
      </c>
      <c r="S159" s="136">
        <f t="shared" si="45"/>
        <v>4601.9583333333339</v>
      </c>
    </row>
    <row r="160" spans="1:19">
      <c r="A160" s="142">
        <v>133564</v>
      </c>
      <c r="C160" s="141">
        <v>3</v>
      </c>
      <c r="D160" s="142" t="s">
        <v>174</v>
      </c>
      <c r="E160" s="141">
        <v>2016</v>
      </c>
      <c r="F160" s="141">
        <v>6</v>
      </c>
      <c r="G160" s="222">
        <v>0</v>
      </c>
      <c r="H160" s="141" t="s">
        <v>51</v>
      </c>
      <c r="I160" s="141">
        <v>12</v>
      </c>
      <c r="J160" s="141">
        <f t="shared" si="37"/>
        <v>2028</v>
      </c>
      <c r="K160" s="223">
        <f t="shared" si="38"/>
        <v>2028.5</v>
      </c>
      <c r="L160" s="136">
        <v>17943</v>
      </c>
      <c r="M160" s="136">
        <f t="shared" si="39"/>
        <v>17943</v>
      </c>
      <c r="N160" s="136">
        <f t="shared" si="40"/>
        <v>124.60416666666667</v>
      </c>
      <c r="O160" s="136">
        <f t="shared" si="41"/>
        <v>1495.25</v>
      </c>
      <c r="P160" s="329">
        <f t="shared" si="42"/>
        <v>1495.25</v>
      </c>
      <c r="Q160" s="329">
        <f t="shared" si="43"/>
        <v>9220.7083333334467</v>
      </c>
      <c r="R160" s="136">
        <f t="shared" si="44"/>
        <v>10715.958333333447</v>
      </c>
      <c r="S160" s="136">
        <f t="shared" si="45"/>
        <v>7227.0416666665533</v>
      </c>
    </row>
    <row r="161" spans="1:21">
      <c r="A161" s="142">
        <v>167238</v>
      </c>
      <c r="C161" s="141">
        <v>1</v>
      </c>
      <c r="D161" s="142" t="s">
        <v>174</v>
      </c>
      <c r="E161" s="141">
        <v>2016</v>
      </c>
      <c r="F161" s="141">
        <v>6</v>
      </c>
      <c r="G161" s="222">
        <v>0</v>
      </c>
      <c r="H161" s="141" t="s">
        <v>51</v>
      </c>
      <c r="I161" s="141">
        <v>12</v>
      </c>
      <c r="J161" s="141">
        <f t="shared" si="37"/>
        <v>2028</v>
      </c>
      <c r="K161" s="223">
        <f t="shared" si="38"/>
        <v>2028.5</v>
      </c>
      <c r="L161" s="136">
        <v>5981</v>
      </c>
      <c r="M161" s="136">
        <f t="shared" si="39"/>
        <v>5981</v>
      </c>
      <c r="N161" s="136">
        <f t="shared" si="40"/>
        <v>41.534722222222221</v>
      </c>
      <c r="O161" s="136">
        <f t="shared" si="41"/>
        <v>498.41666666666663</v>
      </c>
      <c r="P161" s="329">
        <f t="shared" si="42"/>
        <v>498.41666666666663</v>
      </c>
      <c r="Q161" s="329">
        <f t="shared" si="43"/>
        <v>3073.5694444444821</v>
      </c>
      <c r="R161" s="136">
        <f t="shared" si="44"/>
        <v>3571.9861111111486</v>
      </c>
      <c r="S161" s="136">
        <f t="shared" si="45"/>
        <v>2409.0138888888514</v>
      </c>
    </row>
    <row r="162" spans="1:21">
      <c r="A162" s="142">
        <v>167239</v>
      </c>
      <c r="C162" s="141">
        <v>2</v>
      </c>
      <c r="D162" s="142" t="s">
        <v>173</v>
      </c>
      <c r="E162" s="141">
        <v>2016</v>
      </c>
      <c r="F162" s="141">
        <v>6</v>
      </c>
      <c r="G162" s="222">
        <v>0</v>
      </c>
      <c r="H162" s="141" t="s">
        <v>51</v>
      </c>
      <c r="I162" s="141">
        <v>12</v>
      </c>
      <c r="J162" s="141">
        <f t="shared" si="37"/>
        <v>2028</v>
      </c>
      <c r="K162" s="223">
        <f t="shared" si="38"/>
        <v>2028.5</v>
      </c>
      <c r="L162" s="136">
        <v>11626</v>
      </c>
      <c r="M162" s="136">
        <f t="shared" si="39"/>
        <v>11626</v>
      </c>
      <c r="N162" s="136">
        <f t="shared" si="40"/>
        <v>80.736111111111114</v>
      </c>
      <c r="O162" s="136">
        <f t="shared" si="41"/>
        <v>968.83333333333337</v>
      </c>
      <c r="P162" s="329">
        <f t="shared" si="42"/>
        <v>968.83333333333337</v>
      </c>
      <c r="Q162" s="329">
        <f t="shared" si="43"/>
        <v>5974.4722222222954</v>
      </c>
      <c r="R162" s="136">
        <f t="shared" si="44"/>
        <v>6943.3055555556284</v>
      </c>
      <c r="S162" s="136">
        <f t="shared" si="45"/>
        <v>4682.6944444443716</v>
      </c>
    </row>
    <row r="163" spans="1:21">
      <c r="A163" s="142">
        <v>181670</v>
      </c>
      <c r="C163" s="141">
        <v>5</v>
      </c>
      <c r="D163" s="142" t="s">
        <v>363</v>
      </c>
      <c r="E163" s="141">
        <v>2017</v>
      </c>
      <c r="F163" s="141">
        <v>4</v>
      </c>
      <c r="G163" s="222">
        <v>0</v>
      </c>
      <c r="H163" s="141" t="s">
        <v>51</v>
      </c>
      <c r="I163" s="141">
        <v>12</v>
      </c>
      <c r="J163" s="141">
        <f t="shared" si="37"/>
        <v>2029</v>
      </c>
      <c r="K163" s="223">
        <f t="shared" si="38"/>
        <v>2029.3333333333333</v>
      </c>
      <c r="L163" s="136">
        <v>27760</v>
      </c>
      <c r="M163" s="136">
        <f t="shared" si="39"/>
        <v>27760</v>
      </c>
      <c r="N163" s="136">
        <f t="shared" si="40"/>
        <v>192.7777777777778</v>
      </c>
      <c r="O163" s="136">
        <f t="shared" si="41"/>
        <v>2313.3333333333335</v>
      </c>
      <c r="P163" s="329">
        <f t="shared" si="42"/>
        <v>2313.3333333333335</v>
      </c>
      <c r="Q163" s="329">
        <f t="shared" si="43"/>
        <v>12337.777777778127</v>
      </c>
      <c r="R163" s="136">
        <f t="shared" si="44"/>
        <v>14651.111111111461</v>
      </c>
      <c r="S163" s="136">
        <f t="shared" si="45"/>
        <v>13108.888888888539</v>
      </c>
    </row>
    <row r="164" spans="1:21">
      <c r="A164" s="142">
        <v>181671</v>
      </c>
      <c r="C164" s="141">
        <v>5</v>
      </c>
      <c r="D164" s="142" t="s">
        <v>364</v>
      </c>
      <c r="E164" s="141">
        <v>2017</v>
      </c>
      <c r="F164" s="141">
        <v>4</v>
      </c>
      <c r="G164" s="222">
        <v>0</v>
      </c>
      <c r="H164" s="141" t="s">
        <v>51</v>
      </c>
      <c r="I164" s="141">
        <v>12</v>
      </c>
      <c r="J164" s="141">
        <f t="shared" si="37"/>
        <v>2029</v>
      </c>
      <c r="K164" s="223">
        <f t="shared" si="38"/>
        <v>2029.3333333333333</v>
      </c>
      <c r="L164" s="136">
        <v>30650</v>
      </c>
      <c r="M164" s="136">
        <f t="shared" si="39"/>
        <v>30650</v>
      </c>
      <c r="N164" s="136">
        <f t="shared" si="40"/>
        <v>212.8472222222222</v>
      </c>
      <c r="O164" s="136">
        <f t="shared" si="41"/>
        <v>2554.1666666666665</v>
      </c>
      <c r="P164" s="329">
        <f t="shared" si="42"/>
        <v>2554.1666666666665</v>
      </c>
      <c r="Q164" s="329">
        <f t="shared" si="43"/>
        <v>13622.222222222612</v>
      </c>
      <c r="R164" s="136">
        <f t="shared" si="44"/>
        <v>16176.388888889278</v>
      </c>
      <c r="S164" s="136">
        <f t="shared" si="45"/>
        <v>14473.611111110722</v>
      </c>
    </row>
    <row r="165" spans="1:21">
      <c r="A165" s="142">
        <v>243178</v>
      </c>
      <c r="C165" s="141">
        <v>9</v>
      </c>
      <c r="D165" s="142" t="s">
        <v>556</v>
      </c>
      <c r="E165" s="141">
        <v>2017</v>
      </c>
      <c r="F165" s="141">
        <v>9</v>
      </c>
      <c r="G165" s="222">
        <v>0</v>
      </c>
      <c r="H165" s="141" t="s">
        <v>51</v>
      </c>
      <c r="I165" s="141">
        <v>7</v>
      </c>
      <c r="J165" s="141">
        <f t="shared" si="37"/>
        <v>2024</v>
      </c>
      <c r="K165" s="223">
        <f t="shared" si="38"/>
        <v>2024.75</v>
      </c>
      <c r="L165" s="136">
        <v>22500</v>
      </c>
      <c r="M165" s="136">
        <f t="shared" si="39"/>
        <v>22500</v>
      </c>
      <c r="N165" s="136">
        <f t="shared" si="40"/>
        <v>267.85714285714283</v>
      </c>
      <c r="O165" s="136">
        <f t="shared" si="41"/>
        <v>3214.2857142857138</v>
      </c>
      <c r="P165" s="329">
        <f t="shared" si="42"/>
        <v>3214.2857142857138</v>
      </c>
      <c r="Q165" s="329">
        <f t="shared" si="43"/>
        <v>15803.571428571673</v>
      </c>
      <c r="R165" s="136">
        <f t="shared" si="44"/>
        <v>19017.857142857385</v>
      </c>
      <c r="S165" s="136">
        <f t="shared" si="45"/>
        <v>3482.142857142615</v>
      </c>
    </row>
    <row r="166" spans="1:21">
      <c r="A166" s="142">
        <v>200627</v>
      </c>
      <c r="C166" s="141">
        <v>10</v>
      </c>
      <c r="D166" s="142" t="s">
        <v>419</v>
      </c>
      <c r="E166" s="141">
        <v>2018</v>
      </c>
      <c r="F166" s="141">
        <v>4</v>
      </c>
      <c r="G166" s="222">
        <v>0</v>
      </c>
      <c r="H166" s="141" t="s">
        <v>51</v>
      </c>
      <c r="I166" s="141">
        <v>12</v>
      </c>
      <c r="J166" s="141">
        <f t="shared" si="37"/>
        <v>2030</v>
      </c>
      <c r="K166" s="223">
        <f t="shared" si="38"/>
        <v>2030.3333333333333</v>
      </c>
      <c r="L166" s="136">
        <v>39485</v>
      </c>
      <c r="M166" s="136">
        <f t="shared" si="39"/>
        <v>39485</v>
      </c>
      <c r="N166" s="136">
        <f t="shared" si="40"/>
        <v>274.20138888888886</v>
      </c>
      <c r="O166" s="136">
        <f t="shared" si="41"/>
        <v>3290.4166666666661</v>
      </c>
      <c r="P166" s="329">
        <f t="shared" si="42"/>
        <v>3290.4166666666661</v>
      </c>
      <c r="Q166" s="329">
        <f t="shared" si="43"/>
        <v>14258.472222222725</v>
      </c>
      <c r="R166" s="136">
        <f t="shared" si="44"/>
        <v>17548.888888889393</v>
      </c>
      <c r="S166" s="136">
        <f t="shared" si="45"/>
        <v>21936.111111110607</v>
      </c>
      <c r="T166" s="379"/>
      <c r="U166" s="378"/>
    </row>
    <row r="167" spans="1:21">
      <c r="A167" s="142">
        <v>200628</v>
      </c>
      <c r="C167" s="141">
        <v>10</v>
      </c>
      <c r="D167" s="142" t="s">
        <v>420</v>
      </c>
      <c r="E167" s="141">
        <v>2018</v>
      </c>
      <c r="F167" s="141">
        <v>6</v>
      </c>
      <c r="G167" s="222">
        <v>0</v>
      </c>
      <c r="H167" s="141" t="s">
        <v>51</v>
      </c>
      <c r="I167" s="141">
        <v>12</v>
      </c>
      <c r="J167" s="141">
        <f t="shared" si="37"/>
        <v>2030</v>
      </c>
      <c r="K167" s="223">
        <f t="shared" si="38"/>
        <v>2030.5</v>
      </c>
      <c r="L167" s="136">
        <v>45425</v>
      </c>
      <c r="M167" s="136">
        <f t="shared" si="39"/>
        <v>45425</v>
      </c>
      <c r="N167" s="136">
        <f t="shared" si="40"/>
        <v>315.45138888888886</v>
      </c>
      <c r="O167" s="136">
        <f t="shared" si="41"/>
        <v>3785.4166666666661</v>
      </c>
      <c r="P167" s="329">
        <f t="shared" si="42"/>
        <v>3785.4166666666661</v>
      </c>
      <c r="Q167" s="329">
        <f t="shared" si="43"/>
        <v>15772.569444444733</v>
      </c>
      <c r="R167" s="136">
        <f t="shared" si="44"/>
        <v>19557.986111111401</v>
      </c>
      <c r="S167" s="136">
        <f t="shared" si="45"/>
        <v>25867.013888888599</v>
      </c>
    </row>
    <row r="168" spans="1:21">
      <c r="A168" s="142">
        <v>216316</v>
      </c>
      <c r="C168" s="141">
        <v>4</v>
      </c>
      <c r="D168" s="142" t="s">
        <v>461</v>
      </c>
      <c r="E168" s="141">
        <v>2019</v>
      </c>
      <c r="F168" s="141">
        <v>6</v>
      </c>
      <c r="G168" s="222">
        <v>0</v>
      </c>
      <c r="H168" s="141" t="s">
        <v>51</v>
      </c>
      <c r="I168" s="141">
        <v>12</v>
      </c>
      <c r="J168" s="141">
        <f t="shared" si="37"/>
        <v>2031</v>
      </c>
      <c r="K168" s="223">
        <f t="shared" si="38"/>
        <v>2031.5</v>
      </c>
      <c r="L168" s="136">
        <v>30976</v>
      </c>
      <c r="M168" s="136">
        <f t="shared" si="39"/>
        <v>30976</v>
      </c>
      <c r="N168" s="136">
        <f t="shared" si="40"/>
        <v>215.11111111111111</v>
      </c>
      <c r="O168" s="136">
        <f t="shared" si="41"/>
        <v>2581.3333333333335</v>
      </c>
      <c r="P168" s="329">
        <f t="shared" si="42"/>
        <v>2581.3333333333335</v>
      </c>
      <c r="Q168" s="329">
        <f t="shared" si="43"/>
        <v>8174.2222222224191</v>
      </c>
      <c r="R168" s="136">
        <f t="shared" si="44"/>
        <v>10755.555555555753</v>
      </c>
      <c r="S168" s="136">
        <f t="shared" si="45"/>
        <v>20220.444444444249</v>
      </c>
      <c r="T168" s="378"/>
    </row>
    <row r="169" spans="1:21">
      <c r="A169" s="142">
        <v>216315</v>
      </c>
      <c r="C169" s="141">
        <v>4</v>
      </c>
      <c r="D169" s="142" t="s">
        <v>462</v>
      </c>
      <c r="E169" s="141">
        <v>2019</v>
      </c>
      <c r="F169" s="141">
        <v>6</v>
      </c>
      <c r="G169" s="222">
        <v>0</v>
      </c>
      <c r="H169" s="141" t="s">
        <v>51</v>
      </c>
      <c r="I169" s="141">
        <v>12</v>
      </c>
      <c r="J169" s="141">
        <f t="shared" si="37"/>
        <v>2031</v>
      </c>
      <c r="K169" s="223">
        <f t="shared" si="38"/>
        <v>2031.5</v>
      </c>
      <c r="L169" s="136">
        <v>27936</v>
      </c>
      <c r="M169" s="136">
        <f t="shared" si="39"/>
        <v>27936</v>
      </c>
      <c r="N169" s="136">
        <f t="shared" si="40"/>
        <v>194</v>
      </c>
      <c r="O169" s="136">
        <f t="shared" si="41"/>
        <v>2328</v>
      </c>
      <c r="P169" s="329">
        <f t="shared" si="42"/>
        <v>2328</v>
      </c>
      <c r="Q169" s="329">
        <f t="shared" si="43"/>
        <v>7372.0000000001746</v>
      </c>
      <c r="R169" s="136">
        <f t="shared" si="44"/>
        <v>9700.0000000001746</v>
      </c>
      <c r="S169" s="136">
        <f t="shared" si="45"/>
        <v>18235.999999999825</v>
      </c>
    </row>
    <row r="170" spans="1:21">
      <c r="A170" s="142"/>
      <c r="C170" s="141"/>
      <c r="D170" s="142"/>
      <c r="E170" s="141"/>
      <c r="F170" s="141"/>
      <c r="G170" s="222"/>
      <c r="H170" s="141"/>
      <c r="L170" s="123"/>
      <c r="M170" s="123"/>
      <c r="N170" s="123"/>
      <c r="O170" s="123"/>
      <c r="P170" s="123"/>
      <c r="Q170" s="123"/>
      <c r="R170" s="123"/>
      <c r="S170" s="123"/>
    </row>
    <row r="171" spans="1:21">
      <c r="A171" s="284"/>
      <c r="B171" s="245"/>
      <c r="C171" s="245"/>
      <c r="D171" s="246" t="s">
        <v>258</v>
      </c>
      <c r="E171" s="227"/>
      <c r="F171" s="227"/>
      <c r="G171" s="228"/>
      <c r="H171" s="247"/>
      <c r="I171" s="227"/>
      <c r="J171" s="227"/>
      <c r="K171" s="227"/>
      <c r="L171" s="167">
        <f t="shared" ref="L171:S171" si="46">SUM(L134:L170)</f>
        <v>737184.0152631579</v>
      </c>
      <c r="M171" s="167">
        <f t="shared" si="46"/>
        <v>737184.0152631579</v>
      </c>
      <c r="N171" s="167">
        <f t="shared" si="46"/>
        <v>6473.1739883912915</v>
      </c>
      <c r="O171" s="167">
        <f t="shared" si="46"/>
        <v>77678.087860695479</v>
      </c>
      <c r="P171" s="167">
        <f t="shared" si="46"/>
        <v>29004.149808063888</v>
      </c>
      <c r="Q171" s="167">
        <f t="shared" si="46"/>
        <v>555509.79892021627</v>
      </c>
      <c r="R171" s="167">
        <f t="shared" si="46"/>
        <v>584513.94872828014</v>
      </c>
      <c r="S171" s="167">
        <f t="shared" si="46"/>
        <v>152670.06653487761</v>
      </c>
    </row>
    <row r="172" spans="1:21">
      <c r="A172" s="131"/>
      <c r="B172" s="165"/>
      <c r="C172" s="165"/>
      <c r="D172" s="165"/>
      <c r="E172" s="127"/>
      <c r="F172" s="127"/>
      <c r="G172" s="166"/>
      <c r="H172" s="141"/>
      <c r="I172" s="127"/>
      <c r="J172" s="127"/>
      <c r="K172" s="127"/>
      <c r="L172" s="169"/>
      <c r="M172" s="169"/>
      <c r="N172" s="169"/>
      <c r="O172" s="169"/>
      <c r="P172" s="169"/>
      <c r="Q172" s="169"/>
      <c r="R172" s="169"/>
      <c r="S172" s="169"/>
    </row>
    <row r="173" spans="1:21">
      <c r="A173" s="142"/>
      <c r="D173" s="134" t="s">
        <v>255</v>
      </c>
      <c r="E173" s="141"/>
      <c r="F173" s="141"/>
      <c r="H173" s="141"/>
      <c r="L173" s="158"/>
    </row>
    <row r="174" spans="1:21">
      <c r="A174" s="142"/>
      <c r="C174" s="141">
        <v>1080</v>
      </c>
      <c r="D174" s="142" t="s">
        <v>130</v>
      </c>
      <c r="E174" s="141">
        <v>1998</v>
      </c>
      <c r="F174" s="141">
        <v>3</v>
      </c>
      <c r="G174" s="222">
        <v>0</v>
      </c>
      <c r="H174" s="141" t="s">
        <v>51</v>
      </c>
      <c r="I174" s="141">
        <v>7</v>
      </c>
      <c r="J174" s="141">
        <f t="shared" ref="J174:J205" si="47">E174+I174</f>
        <v>2005</v>
      </c>
      <c r="K174" s="223">
        <f t="shared" ref="K174:K205" si="48">+J174+(F174/12)</f>
        <v>2005.25</v>
      </c>
      <c r="L174" s="136">
        <v>37290.239999999998</v>
      </c>
      <c r="M174" s="136">
        <f t="shared" ref="M174:M205" si="49">L174-L174*G174</f>
        <v>37290.239999999998</v>
      </c>
      <c r="N174" s="136">
        <f t="shared" ref="N174:N205" si="50">M174/I174/12</f>
        <v>443.93142857142857</v>
      </c>
      <c r="O174" s="136">
        <f t="shared" ref="O174:O205" si="51">N174*12</f>
        <v>5327.1771428571428</v>
      </c>
      <c r="P174" s="329">
        <f t="shared" ref="P174:P205" si="52">+IF(K174&lt;=$N$6,0,O174)</f>
        <v>0</v>
      </c>
      <c r="Q174" s="329">
        <f t="shared" ref="Q174:Q205" si="53">+IF($K174&lt;=$N$7,$L174,IF(($E174+($F174/12))&gt;=$N$7,0,((($M174-((($K174-$N$7)*12)*$N174))))))</f>
        <v>37290.239999999998</v>
      </c>
      <c r="R174" s="136">
        <f t="shared" ref="R174:R205" si="54">+IF(K174&lt;=$N$6,M174,IF(P174=0,Q174,Q174+P174))</f>
        <v>37290.239999999998</v>
      </c>
      <c r="S174" s="136">
        <f t="shared" ref="S174:S205" si="55">+L174-R174</f>
        <v>0</v>
      </c>
    </row>
    <row r="175" spans="1:21">
      <c r="A175" s="142"/>
      <c r="C175" s="141">
        <v>3000</v>
      </c>
      <c r="D175" s="142" t="s">
        <v>132</v>
      </c>
      <c r="E175" s="141">
        <v>1999</v>
      </c>
      <c r="F175" s="141">
        <v>1</v>
      </c>
      <c r="G175" s="222">
        <v>0</v>
      </c>
      <c r="H175" s="141" t="s">
        <v>51</v>
      </c>
      <c r="I175" s="141">
        <v>5</v>
      </c>
      <c r="J175" s="141">
        <f t="shared" si="47"/>
        <v>2004</v>
      </c>
      <c r="K175" s="223">
        <f t="shared" si="48"/>
        <v>2004.0833333333333</v>
      </c>
      <c r="L175" s="136">
        <v>100000</v>
      </c>
      <c r="M175" s="136">
        <f t="shared" si="49"/>
        <v>100000</v>
      </c>
      <c r="N175" s="136">
        <f t="shared" si="50"/>
        <v>1666.6666666666667</v>
      </c>
      <c r="O175" s="136">
        <f t="shared" si="51"/>
        <v>20000</v>
      </c>
      <c r="P175" s="329">
        <f t="shared" si="52"/>
        <v>0</v>
      </c>
      <c r="Q175" s="329">
        <f t="shared" si="53"/>
        <v>100000</v>
      </c>
      <c r="R175" s="136">
        <f t="shared" si="54"/>
        <v>100000</v>
      </c>
      <c r="S175" s="136">
        <f t="shared" si="55"/>
        <v>0</v>
      </c>
    </row>
    <row r="176" spans="1:21">
      <c r="A176" s="142"/>
      <c r="C176" s="141">
        <v>90</v>
      </c>
      <c r="D176" s="142" t="s">
        <v>136</v>
      </c>
      <c r="E176" s="141">
        <v>2001</v>
      </c>
      <c r="F176" s="141">
        <v>6</v>
      </c>
      <c r="G176" s="222">
        <v>0</v>
      </c>
      <c r="H176" s="141" t="s">
        <v>51</v>
      </c>
      <c r="I176" s="141">
        <v>10</v>
      </c>
      <c r="J176" s="141">
        <f t="shared" si="47"/>
        <v>2011</v>
      </c>
      <c r="K176" s="223">
        <f t="shared" si="48"/>
        <v>2011.5</v>
      </c>
      <c r="L176" s="136">
        <v>3564.23</v>
      </c>
      <c r="M176" s="136">
        <f t="shared" si="49"/>
        <v>3564.23</v>
      </c>
      <c r="N176" s="136">
        <f t="shared" si="50"/>
        <v>29.701916666666666</v>
      </c>
      <c r="O176" s="136">
        <f t="shared" si="51"/>
        <v>356.423</v>
      </c>
      <c r="P176" s="329">
        <f t="shared" si="52"/>
        <v>0</v>
      </c>
      <c r="Q176" s="329">
        <f t="shared" si="53"/>
        <v>3564.23</v>
      </c>
      <c r="R176" s="136">
        <f t="shared" si="54"/>
        <v>3564.23</v>
      </c>
      <c r="S176" s="136">
        <f t="shared" si="55"/>
        <v>0</v>
      </c>
    </row>
    <row r="177" spans="1:19">
      <c r="A177" s="142"/>
      <c r="C177" s="141">
        <v>225</v>
      </c>
      <c r="D177" s="142" t="s">
        <v>142</v>
      </c>
      <c r="E177" s="141">
        <v>2002</v>
      </c>
      <c r="F177" s="141">
        <v>8</v>
      </c>
      <c r="G177" s="222">
        <v>0</v>
      </c>
      <c r="H177" s="141" t="s">
        <v>51</v>
      </c>
      <c r="I177" s="141">
        <v>10</v>
      </c>
      <c r="J177" s="141">
        <f t="shared" si="47"/>
        <v>2012</v>
      </c>
      <c r="K177" s="223">
        <f t="shared" si="48"/>
        <v>2012.6666666666667</v>
      </c>
      <c r="L177" s="136">
        <v>9974.92</v>
      </c>
      <c r="M177" s="136">
        <f t="shared" si="49"/>
        <v>9974.92</v>
      </c>
      <c r="N177" s="136">
        <f t="shared" si="50"/>
        <v>83.124333333333325</v>
      </c>
      <c r="O177" s="136">
        <f t="shared" si="51"/>
        <v>997.49199999999996</v>
      </c>
      <c r="P177" s="329">
        <f t="shared" si="52"/>
        <v>0</v>
      </c>
      <c r="Q177" s="329">
        <f t="shared" si="53"/>
        <v>9974.92</v>
      </c>
      <c r="R177" s="136">
        <f t="shared" si="54"/>
        <v>9974.92</v>
      </c>
      <c r="S177" s="136">
        <f t="shared" si="55"/>
        <v>0</v>
      </c>
    </row>
    <row r="178" spans="1:19">
      <c r="A178" s="142"/>
      <c r="C178" s="141">
        <v>100</v>
      </c>
      <c r="D178" s="142" t="s">
        <v>143</v>
      </c>
      <c r="E178" s="141">
        <v>2002</v>
      </c>
      <c r="F178" s="141">
        <v>9</v>
      </c>
      <c r="G178" s="222">
        <v>0</v>
      </c>
      <c r="H178" s="141" t="s">
        <v>51</v>
      </c>
      <c r="I178" s="141">
        <v>10</v>
      </c>
      <c r="J178" s="141">
        <f t="shared" si="47"/>
        <v>2012</v>
      </c>
      <c r="K178" s="223">
        <f t="shared" si="48"/>
        <v>2012.75</v>
      </c>
      <c r="L178" s="136">
        <v>5130.3999999999996</v>
      </c>
      <c r="M178" s="136">
        <f t="shared" si="49"/>
        <v>5130.3999999999996</v>
      </c>
      <c r="N178" s="136">
        <f t="shared" si="50"/>
        <v>42.75333333333333</v>
      </c>
      <c r="O178" s="136">
        <f t="shared" si="51"/>
        <v>513.04</v>
      </c>
      <c r="P178" s="329">
        <f t="shared" si="52"/>
        <v>0</v>
      </c>
      <c r="Q178" s="329">
        <f t="shared" si="53"/>
        <v>5130.3999999999996</v>
      </c>
      <c r="R178" s="136">
        <f t="shared" si="54"/>
        <v>5130.3999999999996</v>
      </c>
      <c r="S178" s="136">
        <f t="shared" si="55"/>
        <v>0</v>
      </c>
    </row>
    <row r="179" spans="1:19">
      <c r="A179" s="142"/>
      <c r="C179" s="141">
        <v>125</v>
      </c>
      <c r="D179" s="142" t="s">
        <v>146</v>
      </c>
      <c r="E179" s="141">
        <v>2003</v>
      </c>
      <c r="F179" s="141">
        <v>5</v>
      </c>
      <c r="G179" s="222">
        <v>0</v>
      </c>
      <c r="H179" s="141" t="s">
        <v>51</v>
      </c>
      <c r="I179" s="141">
        <v>7</v>
      </c>
      <c r="J179" s="141">
        <f t="shared" si="47"/>
        <v>2010</v>
      </c>
      <c r="K179" s="223">
        <f t="shared" si="48"/>
        <v>2010.4166666666667</v>
      </c>
      <c r="L179" s="136">
        <v>3506.75</v>
      </c>
      <c r="M179" s="136">
        <f t="shared" si="49"/>
        <v>3506.75</v>
      </c>
      <c r="N179" s="136">
        <f t="shared" si="50"/>
        <v>41.74702380952381</v>
      </c>
      <c r="O179" s="136">
        <f t="shared" si="51"/>
        <v>500.96428571428572</v>
      </c>
      <c r="P179" s="329">
        <f t="shared" si="52"/>
        <v>0</v>
      </c>
      <c r="Q179" s="329">
        <f t="shared" si="53"/>
        <v>3506.75</v>
      </c>
      <c r="R179" s="136">
        <f t="shared" si="54"/>
        <v>3506.75</v>
      </c>
      <c r="S179" s="136">
        <f t="shared" si="55"/>
        <v>0</v>
      </c>
    </row>
    <row r="180" spans="1:19">
      <c r="A180" s="142"/>
      <c r="C180" s="141">
        <v>250</v>
      </c>
      <c r="D180" s="142" t="s">
        <v>145</v>
      </c>
      <c r="E180" s="141">
        <v>2003</v>
      </c>
      <c r="F180" s="141">
        <v>5</v>
      </c>
      <c r="G180" s="222">
        <v>0</v>
      </c>
      <c r="H180" s="141" t="s">
        <v>51</v>
      </c>
      <c r="I180" s="141">
        <v>7</v>
      </c>
      <c r="J180" s="141">
        <f t="shared" si="47"/>
        <v>2010</v>
      </c>
      <c r="K180" s="223">
        <f t="shared" si="48"/>
        <v>2010.4166666666667</v>
      </c>
      <c r="L180" s="136">
        <v>11615.25</v>
      </c>
      <c r="M180" s="136">
        <f t="shared" si="49"/>
        <v>11615.25</v>
      </c>
      <c r="N180" s="136">
        <f t="shared" si="50"/>
        <v>138.27678571428572</v>
      </c>
      <c r="O180" s="136">
        <f t="shared" si="51"/>
        <v>1659.3214285714287</v>
      </c>
      <c r="P180" s="329">
        <f t="shared" si="52"/>
        <v>0</v>
      </c>
      <c r="Q180" s="329">
        <f t="shared" si="53"/>
        <v>11615.25</v>
      </c>
      <c r="R180" s="136">
        <f t="shared" si="54"/>
        <v>11615.25</v>
      </c>
      <c r="S180" s="136">
        <f t="shared" si="55"/>
        <v>0</v>
      </c>
    </row>
    <row r="181" spans="1:19">
      <c r="A181" s="142"/>
      <c r="C181" s="141">
        <v>300</v>
      </c>
      <c r="D181" s="142" t="s">
        <v>146</v>
      </c>
      <c r="E181" s="141">
        <v>2003</v>
      </c>
      <c r="F181" s="141">
        <v>9</v>
      </c>
      <c r="G181" s="222">
        <v>0</v>
      </c>
      <c r="H181" s="141" t="s">
        <v>51</v>
      </c>
      <c r="I181" s="141">
        <v>7</v>
      </c>
      <c r="J181" s="141">
        <f t="shared" si="47"/>
        <v>2010</v>
      </c>
      <c r="K181" s="223">
        <f t="shared" si="48"/>
        <v>2010.75</v>
      </c>
      <c r="L181" s="136">
        <v>9509.77</v>
      </c>
      <c r="M181" s="136">
        <f t="shared" si="49"/>
        <v>9509.77</v>
      </c>
      <c r="N181" s="136">
        <f t="shared" si="50"/>
        <v>113.21154761904762</v>
      </c>
      <c r="O181" s="136">
        <f t="shared" si="51"/>
        <v>1358.5385714285715</v>
      </c>
      <c r="P181" s="329">
        <f t="shared" si="52"/>
        <v>0</v>
      </c>
      <c r="Q181" s="329">
        <f t="shared" si="53"/>
        <v>9509.77</v>
      </c>
      <c r="R181" s="136">
        <f t="shared" si="54"/>
        <v>9509.77</v>
      </c>
      <c r="S181" s="136">
        <f t="shared" si="55"/>
        <v>0</v>
      </c>
    </row>
    <row r="182" spans="1:19">
      <c r="A182" s="142"/>
      <c r="C182" s="141">
        <v>250</v>
      </c>
      <c r="D182" s="142" t="s">
        <v>153</v>
      </c>
      <c r="E182" s="141">
        <v>2003</v>
      </c>
      <c r="F182" s="141">
        <v>9</v>
      </c>
      <c r="G182" s="222">
        <v>0</v>
      </c>
      <c r="H182" s="141" t="s">
        <v>51</v>
      </c>
      <c r="I182" s="141">
        <v>7</v>
      </c>
      <c r="J182" s="141">
        <f t="shared" si="47"/>
        <v>2010</v>
      </c>
      <c r="K182" s="223">
        <f t="shared" si="48"/>
        <v>2010.75</v>
      </c>
      <c r="L182" s="136">
        <v>11067.75</v>
      </c>
      <c r="M182" s="136">
        <f t="shared" si="49"/>
        <v>11067.75</v>
      </c>
      <c r="N182" s="136">
        <f t="shared" si="50"/>
        <v>131.75892857142858</v>
      </c>
      <c r="O182" s="136">
        <f t="shared" si="51"/>
        <v>1581.1071428571431</v>
      </c>
      <c r="P182" s="329">
        <f t="shared" si="52"/>
        <v>0</v>
      </c>
      <c r="Q182" s="329">
        <f t="shared" si="53"/>
        <v>11067.75</v>
      </c>
      <c r="R182" s="136">
        <f t="shared" si="54"/>
        <v>11067.75</v>
      </c>
      <c r="S182" s="136">
        <f t="shared" si="55"/>
        <v>0</v>
      </c>
    </row>
    <row r="183" spans="1:19">
      <c r="A183" s="142"/>
      <c r="C183" s="141">
        <v>588</v>
      </c>
      <c r="D183" s="142" t="s">
        <v>158</v>
      </c>
      <c r="E183" s="141">
        <v>2004</v>
      </c>
      <c r="F183" s="141">
        <v>5</v>
      </c>
      <c r="G183" s="222">
        <v>0</v>
      </c>
      <c r="H183" s="141" t="s">
        <v>51</v>
      </c>
      <c r="I183" s="141">
        <v>7</v>
      </c>
      <c r="J183" s="141">
        <f t="shared" si="47"/>
        <v>2011</v>
      </c>
      <c r="K183" s="223">
        <f t="shared" si="48"/>
        <v>2011.4166666666667</v>
      </c>
      <c r="L183" s="136">
        <v>22998.89</v>
      </c>
      <c r="M183" s="136">
        <f t="shared" si="49"/>
        <v>22998.89</v>
      </c>
      <c r="N183" s="136">
        <f t="shared" si="50"/>
        <v>273.7963095238095</v>
      </c>
      <c r="O183" s="136">
        <f t="shared" si="51"/>
        <v>3285.5557142857142</v>
      </c>
      <c r="P183" s="329">
        <f t="shared" si="52"/>
        <v>0</v>
      </c>
      <c r="Q183" s="329">
        <f t="shared" si="53"/>
        <v>22998.89</v>
      </c>
      <c r="R183" s="136">
        <f t="shared" si="54"/>
        <v>22998.89</v>
      </c>
      <c r="S183" s="136">
        <f t="shared" si="55"/>
        <v>0</v>
      </c>
    </row>
    <row r="184" spans="1:19">
      <c r="A184" s="142"/>
      <c r="C184" s="141">
        <v>162</v>
      </c>
      <c r="D184" s="142" t="s">
        <v>159</v>
      </c>
      <c r="E184" s="141">
        <v>2004</v>
      </c>
      <c r="F184" s="141">
        <v>5</v>
      </c>
      <c r="G184" s="222">
        <v>0</v>
      </c>
      <c r="H184" s="141" t="s">
        <v>51</v>
      </c>
      <c r="I184" s="141">
        <v>7</v>
      </c>
      <c r="J184" s="141">
        <f t="shared" si="47"/>
        <v>2011</v>
      </c>
      <c r="K184" s="223">
        <f t="shared" si="48"/>
        <v>2011.4166666666667</v>
      </c>
      <c r="L184" s="136">
        <v>6336.43</v>
      </c>
      <c r="M184" s="136">
        <f t="shared" si="49"/>
        <v>6336.43</v>
      </c>
      <c r="N184" s="136">
        <f t="shared" si="50"/>
        <v>75.433690476190478</v>
      </c>
      <c r="O184" s="136">
        <f t="shared" si="51"/>
        <v>905.20428571428579</v>
      </c>
      <c r="P184" s="329">
        <f t="shared" si="52"/>
        <v>0</v>
      </c>
      <c r="Q184" s="329">
        <f t="shared" si="53"/>
        <v>6336.43</v>
      </c>
      <c r="R184" s="136">
        <f t="shared" si="54"/>
        <v>6336.43</v>
      </c>
      <c r="S184" s="136">
        <f t="shared" si="55"/>
        <v>0</v>
      </c>
    </row>
    <row r="185" spans="1:19">
      <c r="A185" s="142"/>
      <c r="C185" s="141">
        <v>300</v>
      </c>
      <c r="D185" s="142" t="s">
        <v>157</v>
      </c>
      <c r="E185" s="141">
        <v>2004</v>
      </c>
      <c r="F185" s="141">
        <v>5</v>
      </c>
      <c r="G185" s="222">
        <v>0</v>
      </c>
      <c r="H185" s="141" t="s">
        <v>51</v>
      </c>
      <c r="I185" s="141">
        <v>7</v>
      </c>
      <c r="J185" s="141">
        <f t="shared" si="47"/>
        <v>2011</v>
      </c>
      <c r="K185" s="223">
        <f t="shared" si="48"/>
        <v>2011.4166666666667</v>
      </c>
      <c r="L185" s="136">
        <v>9549.15</v>
      </c>
      <c r="M185" s="136">
        <f t="shared" si="49"/>
        <v>9549.15</v>
      </c>
      <c r="N185" s="136">
        <f t="shared" si="50"/>
        <v>113.68035714285713</v>
      </c>
      <c r="O185" s="136">
        <f t="shared" si="51"/>
        <v>1364.1642857142856</v>
      </c>
      <c r="P185" s="329">
        <f t="shared" si="52"/>
        <v>0</v>
      </c>
      <c r="Q185" s="329">
        <f t="shared" si="53"/>
        <v>9549.15</v>
      </c>
      <c r="R185" s="136">
        <f t="shared" si="54"/>
        <v>9549.15</v>
      </c>
      <c r="S185" s="136">
        <f t="shared" si="55"/>
        <v>0</v>
      </c>
    </row>
    <row r="186" spans="1:19">
      <c r="A186" s="142"/>
      <c r="C186" s="141">
        <v>500</v>
      </c>
      <c r="D186" s="142" t="s">
        <v>176</v>
      </c>
      <c r="E186" s="141">
        <v>2005</v>
      </c>
      <c r="F186" s="141">
        <v>9</v>
      </c>
      <c r="G186" s="222">
        <v>0</v>
      </c>
      <c r="H186" s="141" t="s">
        <v>51</v>
      </c>
      <c r="I186" s="141">
        <v>10</v>
      </c>
      <c r="J186" s="141">
        <f t="shared" si="47"/>
        <v>2015</v>
      </c>
      <c r="K186" s="223">
        <f t="shared" si="48"/>
        <v>2015.75</v>
      </c>
      <c r="L186" s="136">
        <v>23707.95</v>
      </c>
      <c r="M186" s="136">
        <f t="shared" si="49"/>
        <v>23707.95</v>
      </c>
      <c r="N186" s="136">
        <f t="shared" si="50"/>
        <v>197.56625</v>
      </c>
      <c r="O186" s="136">
        <f t="shared" si="51"/>
        <v>2370.7950000000001</v>
      </c>
      <c r="P186" s="329">
        <f t="shared" si="52"/>
        <v>0</v>
      </c>
      <c r="Q186" s="329">
        <f t="shared" si="53"/>
        <v>23707.95</v>
      </c>
      <c r="R186" s="136">
        <f t="shared" si="54"/>
        <v>23707.95</v>
      </c>
      <c r="S186" s="136">
        <f t="shared" si="55"/>
        <v>0</v>
      </c>
    </row>
    <row r="187" spans="1:19">
      <c r="A187" s="142"/>
      <c r="C187" s="141">
        <v>270</v>
      </c>
      <c r="D187" s="142" t="s">
        <v>203</v>
      </c>
      <c r="E187" s="141">
        <v>2007</v>
      </c>
      <c r="F187" s="141">
        <v>8</v>
      </c>
      <c r="G187" s="222">
        <v>0</v>
      </c>
      <c r="H187" s="141" t="s">
        <v>51</v>
      </c>
      <c r="I187" s="141">
        <v>10</v>
      </c>
      <c r="J187" s="141">
        <f t="shared" si="47"/>
        <v>2017</v>
      </c>
      <c r="K187" s="223">
        <f t="shared" si="48"/>
        <v>2017.6666666666667</v>
      </c>
      <c r="L187" s="136">
        <v>10871.56</v>
      </c>
      <c r="M187" s="136">
        <f t="shared" si="49"/>
        <v>10871.56</v>
      </c>
      <c r="N187" s="136">
        <f t="shared" si="50"/>
        <v>90.596333333333334</v>
      </c>
      <c r="O187" s="136">
        <f t="shared" si="51"/>
        <v>1087.1559999999999</v>
      </c>
      <c r="P187" s="329">
        <f t="shared" si="52"/>
        <v>0</v>
      </c>
      <c r="Q187" s="329">
        <f t="shared" si="53"/>
        <v>10871.56</v>
      </c>
      <c r="R187" s="136">
        <f t="shared" si="54"/>
        <v>10871.56</v>
      </c>
      <c r="S187" s="136">
        <f t="shared" si="55"/>
        <v>0</v>
      </c>
    </row>
    <row r="188" spans="1:19">
      <c r="A188" s="142"/>
      <c r="C188" s="141">
        <v>486</v>
      </c>
      <c r="D188" s="142" t="s">
        <v>176</v>
      </c>
      <c r="E188" s="141">
        <v>2007</v>
      </c>
      <c r="F188" s="141">
        <v>8</v>
      </c>
      <c r="G188" s="222">
        <v>0</v>
      </c>
      <c r="H188" s="141" t="s">
        <v>51</v>
      </c>
      <c r="I188" s="141">
        <v>10</v>
      </c>
      <c r="J188" s="141">
        <f t="shared" si="47"/>
        <v>2017</v>
      </c>
      <c r="K188" s="223">
        <f t="shared" si="48"/>
        <v>2017.6666666666667</v>
      </c>
      <c r="L188" s="136">
        <v>24141.59</v>
      </c>
      <c r="M188" s="136">
        <f t="shared" si="49"/>
        <v>24141.59</v>
      </c>
      <c r="N188" s="136">
        <f t="shared" si="50"/>
        <v>201.17991666666668</v>
      </c>
      <c r="O188" s="136">
        <f t="shared" si="51"/>
        <v>2414.1590000000001</v>
      </c>
      <c r="P188" s="329">
        <f t="shared" si="52"/>
        <v>0</v>
      </c>
      <c r="Q188" s="329">
        <f t="shared" si="53"/>
        <v>24141.59</v>
      </c>
      <c r="R188" s="136">
        <f t="shared" si="54"/>
        <v>24141.59</v>
      </c>
      <c r="S188" s="136">
        <f t="shared" si="55"/>
        <v>0</v>
      </c>
    </row>
    <row r="189" spans="1:19">
      <c r="A189" s="142"/>
      <c r="C189" s="141">
        <v>648</v>
      </c>
      <c r="D189" s="142" t="s">
        <v>176</v>
      </c>
      <c r="E189" s="141">
        <v>2010</v>
      </c>
      <c r="F189" s="141">
        <v>6</v>
      </c>
      <c r="G189" s="222">
        <v>0</v>
      </c>
      <c r="H189" s="141" t="s">
        <v>51</v>
      </c>
      <c r="I189" s="141">
        <v>10</v>
      </c>
      <c r="J189" s="141">
        <f t="shared" si="47"/>
        <v>2020</v>
      </c>
      <c r="K189" s="223">
        <f t="shared" si="48"/>
        <v>2020.5</v>
      </c>
      <c r="L189" s="136">
        <v>28727.18</v>
      </c>
      <c r="M189" s="136">
        <f t="shared" si="49"/>
        <v>28727.18</v>
      </c>
      <c r="N189" s="136">
        <f t="shared" si="50"/>
        <v>239.39316666666664</v>
      </c>
      <c r="O189" s="136">
        <f t="shared" si="51"/>
        <v>2872.7179999999998</v>
      </c>
      <c r="P189" s="329">
        <f t="shared" si="52"/>
        <v>0</v>
      </c>
      <c r="Q189" s="329">
        <f t="shared" si="53"/>
        <v>28727.18</v>
      </c>
      <c r="R189" s="136">
        <f t="shared" si="54"/>
        <v>28727.18</v>
      </c>
      <c r="S189" s="136">
        <f t="shared" si="55"/>
        <v>0</v>
      </c>
    </row>
    <row r="190" spans="1:19">
      <c r="A190" s="142"/>
      <c r="C190" s="141">
        <v>504</v>
      </c>
      <c r="D190" s="142" t="s">
        <v>248</v>
      </c>
      <c r="E190" s="141">
        <v>2011</v>
      </c>
      <c r="F190" s="141">
        <v>4</v>
      </c>
      <c r="G190" s="222">
        <v>0</v>
      </c>
      <c r="H190" s="141" t="s">
        <v>51</v>
      </c>
      <c r="I190" s="141">
        <v>10</v>
      </c>
      <c r="J190" s="141">
        <f t="shared" si="47"/>
        <v>2021</v>
      </c>
      <c r="K190" s="223">
        <f t="shared" si="48"/>
        <v>2021.3333333333333</v>
      </c>
      <c r="L190" s="136">
        <v>17127.650000000001</v>
      </c>
      <c r="M190" s="136">
        <f t="shared" si="49"/>
        <v>17127.650000000001</v>
      </c>
      <c r="N190" s="136">
        <f t="shared" si="50"/>
        <v>142.73041666666668</v>
      </c>
      <c r="O190" s="136">
        <f t="shared" si="51"/>
        <v>1712.7650000000003</v>
      </c>
      <c r="P190" s="329">
        <f t="shared" si="52"/>
        <v>0</v>
      </c>
      <c r="Q190" s="329">
        <f t="shared" si="53"/>
        <v>17127.650000000001</v>
      </c>
      <c r="R190" s="136">
        <f t="shared" si="54"/>
        <v>17127.650000000001</v>
      </c>
      <c r="S190" s="136">
        <f t="shared" si="55"/>
        <v>0</v>
      </c>
    </row>
    <row r="191" spans="1:19">
      <c r="A191" s="142"/>
      <c r="C191" s="141">
        <v>342</v>
      </c>
      <c r="D191" s="142" t="s">
        <v>247</v>
      </c>
      <c r="E191" s="141">
        <v>2011</v>
      </c>
      <c r="F191" s="141">
        <v>4</v>
      </c>
      <c r="G191" s="222">
        <v>0</v>
      </c>
      <c r="H191" s="141" t="s">
        <v>51</v>
      </c>
      <c r="I191" s="141">
        <v>10</v>
      </c>
      <c r="J191" s="141">
        <f t="shared" si="47"/>
        <v>2021</v>
      </c>
      <c r="K191" s="223">
        <f t="shared" si="48"/>
        <v>2021.3333333333333</v>
      </c>
      <c r="L191" s="136">
        <v>15459.36</v>
      </c>
      <c r="M191" s="136">
        <f t="shared" si="49"/>
        <v>15459.36</v>
      </c>
      <c r="N191" s="136">
        <f t="shared" si="50"/>
        <v>128.828</v>
      </c>
      <c r="O191" s="136">
        <f t="shared" si="51"/>
        <v>1545.9360000000001</v>
      </c>
      <c r="P191" s="329">
        <f t="shared" si="52"/>
        <v>0</v>
      </c>
      <c r="Q191" s="329">
        <f t="shared" si="53"/>
        <v>15459.36</v>
      </c>
      <c r="R191" s="136">
        <f t="shared" si="54"/>
        <v>15459.36</v>
      </c>
      <c r="S191" s="136">
        <f t="shared" si="55"/>
        <v>0</v>
      </c>
    </row>
    <row r="192" spans="1:19">
      <c r="A192" s="142"/>
      <c r="C192" s="141">
        <v>540</v>
      </c>
      <c r="D192" s="142" t="s">
        <v>252</v>
      </c>
      <c r="E192" s="141">
        <v>2012</v>
      </c>
      <c r="F192" s="141">
        <v>4</v>
      </c>
      <c r="G192" s="222">
        <v>0</v>
      </c>
      <c r="H192" s="141" t="s">
        <v>51</v>
      </c>
      <c r="I192" s="141">
        <v>10</v>
      </c>
      <c r="J192" s="141">
        <f t="shared" si="47"/>
        <v>2022</v>
      </c>
      <c r="K192" s="223">
        <f t="shared" si="48"/>
        <v>2022.3333333333333</v>
      </c>
      <c r="L192" s="136">
        <v>18713.95</v>
      </c>
      <c r="M192" s="136">
        <f t="shared" si="49"/>
        <v>18713.95</v>
      </c>
      <c r="N192" s="136">
        <f t="shared" si="50"/>
        <v>155.94958333333332</v>
      </c>
      <c r="O192" s="136">
        <f t="shared" si="51"/>
        <v>1871.395</v>
      </c>
      <c r="P192" s="329">
        <f t="shared" si="52"/>
        <v>0</v>
      </c>
      <c r="Q192" s="329">
        <f t="shared" si="53"/>
        <v>18713.95</v>
      </c>
      <c r="R192" s="136">
        <f t="shared" si="54"/>
        <v>18713.95</v>
      </c>
      <c r="S192" s="136">
        <f t="shared" si="55"/>
        <v>0</v>
      </c>
    </row>
    <row r="193" spans="1:19">
      <c r="A193" s="142"/>
      <c r="C193" s="141">
        <v>324</v>
      </c>
      <c r="D193" s="142" t="s">
        <v>251</v>
      </c>
      <c r="E193" s="141">
        <v>2012</v>
      </c>
      <c r="F193" s="141">
        <v>4</v>
      </c>
      <c r="G193" s="222">
        <v>0</v>
      </c>
      <c r="H193" s="141" t="s">
        <v>51</v>
      </c>
      <c r="I193" s="141">
        <v>10</v>
      </c>
      <c r="J193" s="141">
        <f t="shared" si="47"/>
        <v>2022</v>
      </c>
      <c r="K193" s="223">
        <f t="shared" si="48"/>
        <v>2022.3333333333333</v>
      </c>
      <c r="L193" s="136">
        <v>14312.06</v>
      </c>
      <c r="M193" s="136">
        <f t="shared" si="49"/>
        <v>14312.06</v>
      </c>
      <c r="N193" s="136">
        <f t="shared" si="50"/>
        <v>119.26716666666665</v>
      </c>
      <c r="O193" s="136">
        <f t="shared" si="51"/>
        <v>1431.2059999999999</v>
      </c>
      <c r="P193" s="329">
        <f t="shared" si="52"/>
        <v>0</v>
      </c>
      <c r="Q193" s="329">
        <f t="shared" si="53"/>
        <v>14312.06</v>
      </c>
      <c r="R193" s="136">
        <f t="shared" si="54"/>
        <v>14312.06</v>
      </c>
      <c r="S193" s="136">
        <f t="shared" si="55"/>
        <v>0</v>
      </c>
    </row>
    <row r="194" spans="1:19">
      <c r="A194" s="142"/>
      <c r="C194" s="141">
        <v>324</v>
      </c>
      <c r="D194" s="142" t="s">
        <v>251</v>
      </c>
      <c r="E194" s="141">
        <v>2012</v>
      </c>
      <c r="F194" s="141">
        <v>11</v>
      </c>
      <c r="G194" s="222">
        <v>0</v>
      </c>
      <c r="H194" s="141" t="s">
        <v>51</v>
      </c>
      <c r="I194" s="141">
        <v>10</v>
      </c>
      <c r="J194" s="141">
        <f t="shared" si="47"/>
        <v>2022</v>
      </c>
      <c r="K194" s="223">
        <f t="shared" si="48"/>
        <v>2022.9166666666667</v>
      </c>
      <c r="L194" s="136">
        <v>14635.18</v>
      </c>
      <c r="M194" s="136">
        <f t="shared" si="49"/>
        <v>14635.18</v>
      </c>
      <c r="N194" s="136">
        <f t="shared" si="50"/>
        <v>121.95983333333334</v>
      </c>
      <c r="O194" s="136">
        <f t="shared" si="51"/>
        <v>1463.518</v>
      </c>
      <c r="P194" s="490">
        <f t="shared" si="52"/>
        <v>0</v>
      </c>
      <c r="Q194" s="490">
        <f t="shared" si="53"/>
        <v>14269.300500000001</v>
      </c>
      <c r="R194" s="136">
        <f t="shared" si="54"/>
        <v>14635.18</v>
      </c>
      <c r="S194" s="136">
        <f t="shared" si="55"/>
        <v>0</v>
      </c>
    </row>
    <row r="195" spans="1:19">
      <c r="A195" s="142">
        <v>104373</v>
      </c>
      <c r="C195" s="141">
        <v>270</v>
      </c>
      <c r="D195" s="142" t="s">
        <v>259</v>
      </c>
      <c r="E195" s="141">
        <v>2013</v>
      </c>
      <c r="F195" s="141">
        <v>4</v>
      </c>
      <c r="G195" s="222">
        <v>0</v>
      </c>
      <c r="H195" s="141" t="s">
        <v>51</v>
      </c>
      <c r="I195" s="141">
        <v>7</v>
      </c>
      <c r="J195" s="141">
        <f t="shared" si="47"/>
        <v>2020</v>
      </c>
      <c r="K195" s="223">
        <f t="shared" si="48"/>
        <v>2020.3333333333333</v>
      </c>
      <c r="L195" s="136">
        <v>9804.99</v>
      </c>
      <c r="M195" s="136">
        <f t="shared" si="49"/>
        <v>9804.99</v>
      </c>
      <c r="N195" s="136">
        <f t="shared" si="50"/>
        <v>116.72607142857142</v>
      </c>
      <c r="O195" s="136">
        <f t="shared" si="51"/>
        <v>1400.712857142857</v>
      </c>
      <c r="P195" s="329">
        <f t="shared" si="52"/>
        <v>0</v>
      </c>
      <c r="Q195" s="329">
        <f t="shared" si="53"/>
        <v>9804.99</v>
      </c>
      <c r="R195" s="136">
        <f t="shared" si="54"/>
        <v>9804.99</v>
      </c>
      <c r="S195" s="136">
        <f t="shared" si="55"/>
        <v>0</v>
      </c>
    </row>
    <row r="196" spans="1:19">
      <c r="A196" s="142">
        <v>107394</v>
      </c>
      <c r="C196" s="141">
        <v>243</v>
      </c>
      <c r="D196" s="142" t="s">
        <v>271</v>
      </c>
      <c r="E196" s="141">
        <v>2013</v>
      </c>
      <c r="F196" s="141">
        <v>9</v>
      </c>
      <c r="G196" s="222">
        <v>0</v>
      </c>
      <c r="H196" s="141" t="s">
        <v>51</v>
      </c>
      <c r="I196" s="141">
        <v>7</v>
      </c>
      <c r="J196" s="141">
        <f t="shared" si="47"/>
        <v>2020</v>
      </c>
      <c r="K196" s="223">
        <f t="shared" si="48"/>
        <v>2020.75</v>
      </c>
      <c r="L196" s="136">
        <v>11695.39</v>
      </c>
      <c r="M196" s="136">
        <f t="shared" si="49"/>
        <v>11695.39</v>
      </c>
      <c r="N196" s="136">
        <f t="shared" si="50"/>
        <v>139.23083333333332</v>
      </c>
      <c r="O196" s="136">
        <f t="shared" si="51"/>
        <v>1670.77</v>
      </c>
      <c r="P196" s="329">
        <f t="shared" si="52"/>
        <v>0</v>
      </c>
      <c r="Q196" s="329">
        <f t="shared" si="53"/>
        <v>11695.39</v>
      </c>
      <c r="R196" s="136">
        <f t="shared" si="54"/>
        <v>11695.39</v>
      </c>
      <c r="S196" s="136">
        <f t="shared" si="55"/>
        <v>0</v>
      </c>
    </row>
    <row r="197" spans="1:19">
      <c r="A197" s="142">
        <v>116677</v>
      </c>
      <c r="C197" s="141">
        <v>243</v>
      </c>
      <c r="D197" s="142" t="s">
        <v>259</v>
      </c>
      <c r="E197" s="141">
        <v>2014</v>
      </c>
      <c r="F197" s="141">
        <v>10</v>
      </c>
      <c r="G197" s="222">
        <v>0</v>
      </c>
      <c r="H197" s="141" t="s">
        <v>51</v>
      </c>
      <c r="I197" s="141">
        <v>7</v>
      </c>
      <c r="J197" s="141">
        <f t="shared" si="47"/>
        <v>2021</v>
      </c>
      <c r="K197" s="223">
        <f t="shared" si="48"/>
        <v>2021.8333333333333</v>
      </c>
      <c r="L197" s="136">
        <v>10433.780000000001</v>
      </c>
      <c r="M197" s="136">
        <f t="shared" si="49"/>
        <v>10433.780000000001</v>
      </c>
      <c r="N197" s="136">
        <f t="shared" si="50"/>
        <v>124.21166666666669</v>
      </c>
      <c r="O197" s="136">
        <f t="shared" si="51"/>
        <v>1490.5400000000002</v>
      </c>
      <c r="P197" s="329">
        <f t="shared" si="52"/>
        <v>0</v>
      </c>
      <c r="Q197" s="329">
        <f t="shared" si="53"/>
        <v>10433.780000000001</v>
      </c>
      <c r="R197" s="136">
        <f t="shared" si="54"/>
        <v>10433.780000000001</v>
      </c>
      <c r="S197" s="136">
        <f t="shared" si="55"/>
        <v>0</v>
      </c>
    </row>
    <row r="198" spans="1:19">
      <c r="A198" s="142">
        <v>123237</v>
      </c>
      <c r="C198" s="141">
        <v>720</v>
      </c>
      <c r="D198" s="142" t="s">
        <v>271</v>
      </c>
      <c r="E198" s="141">
        <v>2015</v>
      </c>
      <c r="F198" s="141">
        <v>6</v>
      </c>
      <c r="G198" s="222">
        <v>0</v>
      </c>
      <c r="H198" s="141" t="s">
        <v>51</v>
      </c>
      <c r="I198" s="141">
        <v>7</v>
      </c>
      <c r="J198" s="141">
        <f t="shared" si="47"/>
        <v>2022</v>
      </c>
      <c r="K198" s="223">
        <f t="shared" si="48"/>
        <v>2022.5</v>
      </c>
      <c r="L198" s="136">
        <v>31880.44</v>
      </c>
      <c r="M198" s="136">
        <f t="shared" si="49"/>
        <v>31880.44</v>
      </c>
      <c r="N198" s="136">
        <f t="shared" si="50"/>
        <v>379.52904761904762</v>
      </c>
      <c r="O198" s="136">
        <f t="shared" si="51"/>
        <v>4554.3485714285716</v>
      </c>
      <c r="P198" s="329">
        <f t="shared" si="52"/>
        <v>0</v>
      </c>
      <c r="Q198" s="329">
        <f t="shared" si="53"/>
        <v>31880.44</v>
      </c>
      <c r="R198" s="136">
        <f t="shared" si="54"/>
        <v>31880.44</v>
      </c>
      <c r="S198" s="136">
        <f t="shared" si="55"/>
        <v>0</v>
      </c>
    </row>
    <row r="199" spans="1:19">
      <c r="A199" s="142">
        <v>123448</v>
      </c>
      <c r="C199" s="141">
        <v>595</v>
      </c>
      <c r="D199" s="142" t="s">
        <v>309</v>
      </c>
      <c r="E199" s="141">
        <v>2015</v>
      </c>
      <c r="F199" s="141">
        <v>6</v>
      </c>
      <c r="G199" s="222">
        <v>0</v>
      </c>
      <c r="H199" s="141" t="s">
        <v>51</v>
      </c>
      <c r="I199" s="141">
        <v>7</v>
      </c>
      <c r="J199" s="141">
        <f t="shared" si="47"/>
        <v>2022</v>
      </c>
      <c r="K199" s="223">
        <f t="shared" si="48"/>
        <v>2022.5</v>
      </c>
      <c r="L199" s="136">
        <v>31731.39</v>
      </c>
      <c r="M199" s="136">
        <f t="shared" si="49"/>
        <v>31731.39</v>
      </c>
      <c r="N199" s="136">
        <f t="shared" si="50"/>
        <v>377.75464285714287</v>
      </c>
      <c r="O199" s="136">
        <f t="shared" si="51"/>
        <v>4533.0557142857142</v>
      </c>
      <c r="P199" s="329">
        <f t="shared" si="52"/>
        <v>0</v>
      </c>
      <c r="Q199" s="329">
        <f t="shared" si="53"/>
        <v>31731.39</v>
      </c>
      <c r="R199" s="136">
        <f t="shared" si="54"/>
        <v>31731.39</v>
      </c>
      <c r="S199" s="136">
        <f t="shared" si="55"/>
        <v>0</v>
      </c>
    </row>
    <row r="200" spans="1:19">
      <c r="A200" s="142">
        <v>167138</v>
      </c>
      <c r="C200" s="141">
        <v>580</v>
      </c>
      <c r="D200" s="142" t="s">
        <v>146</v>
      </c>
      <c r="E200" s="141">
        <v>2016</v>
      </c>
      <c r="F200" s="141">
        <v>8</v>
      </c>
      <c r="G200" s="222">
        <v>0</v>
      </c>
      <c r="H200" s="141" t="s">
        <v>51</v>
      </c>
      <c r="I200" s="141">
        <v>7</v>
      </c>
      <c r="J200" s="141">
        <f t="shared" si="47"/>
        <v>2023</v>
      </c>
      <c r="K200" s="223">
        <f t="shared" si="48"/>
        <v>2023.6666666666667</v>
      </c>
      <c r="L200" s="136">
        <v>19826.36</v>
      </c>
      <c r="M200" s="136">
        <f t="shared" si="49"/>
        <v>19826.36</v>
      </c>
      <c r="N200" s="136">
        <f t="shared" si="50"/>
        <v>236.02809523809526</v>
      </c>
      <c r="O200" s="136">
        <f t="shared" si="51"/>
        <v>2832.3371428571431</v>
      </c>
      <c r="P200" s="490">
        <f t="shared" si="52"/>
        <v>2832.3371428571431</v>
      </c>
      <c r="Q200" s="490">
        <f t="shared" si="53"/>
        <v>16994.022857142856</v>
      </c>
      <c r="R200" s="136">
        <f t="shared" si="54"/>
        <v>19826.36</v>
      </c>
      <c r="S200" s="136">
        <f t="shared" si="55"/>
        <v>0</v>
      </c>
    </row>
    <row r="201" spans="1:19">
      <c r="A201" s="142">
        <v>173862</v>
      </c>
      <c r="C201" s="141">
        <v>75</v>
      </c>
      <c r="D201" s="142" t="s">
        <v>345</v>
      </c>
      <c r="E201" s="141">
        <v>2016</v>
      </c>
      <c r="F201" s="141">
        <v>12</v>
      </c>
      <c r="G201" s="222">
        <v>0</v>
      </c>
      <c r="H201" s="141" t="s">
        <v>51</v>
      </c>
      <c r="I201" s="141">
        <v>7</v>
      </c>
      <c r="J201" s="141">
        <f t="shared" si="47"/>
        <v>2023</v>
      </c>
      <c r="K201" s="223">
        <f t="shared" si="48"/>
        <v>2024</v>
      </c>
      <c r="L201" s="136">
        <v>3873.19</v>
      </c>
      <c r="M201" s="136">
        <f t="shared" si="49"/>
        <v>3873.19</v>
      </c>
      <c r="N201" s="136">
        <f t="shared" si="50"/>
        <v>46.109404761904763</v>
      </c>
      <c r="O201" s="136">
        <f t="shared" si="51"/>
        <v>553.31285714285718</v>
      </c>
      <c r="P201" s="329">
        <f t="shared" si="52"/>
        <v>553.31285714285718</v>
      </c>
      <c r="Q201" s="329">
        <f t="shared" si="53"/>
        <v>3135.4395238095658</v>
      </c>
      <c r="R201" s="136">
        <f t="shared" si="54"/>
        <v>3688.7523809524228</v>
      </c>
      <c r="S201" s="136">
        <f t="shared" si="55"/>
        <v>184.4376190475773</v>
      </c>
    </row>
    <row r="202" spans="1:19">
      <c r="A202" s="142">
        <v>173863</v>
      </c>
      <c r="C202" s="141">
        <v>401</v>
      </c>
      <c r="D202" s="142" t="s">
        <v>346</v>
      </c>
      <c r="E202" s="141">
        <v>2016</v>
      </c>
      <c r="F202" s="141">
        <v>12</v>
      </c>
      <c r="G202" s="222">
        <v>0</v>
      </c>
      <c r="H202" s="141" t="s">
        <v>51</v>
      </c>
      <c r="I202" s="141">
        <v>7</v>
      </c>
      <c r="J202" s="141">
        <f t="shared" si="47"/>
        <v>2023</v>
      </c>
      <c r="K202" s="223">
        <f t="shared" si="48"/>
        <v>2024</v>
      </c>
      <c r="L202" s="136">
        <v>16470.48</v>
      </c>
      <c r="M202" s="136">
        <f t="shared" si="49"/>
        <v>16470.48</v>
      </c>
      <c r="N202" s="136">
        <f t="shared" si="50"/>
        <v>196.07714285714283</v>
      </c>
      <c r="O202" s="136">
        <f t="shared" si="51"/>
        <v>2352.9257142857141</v>
      </c>
      <c r="P202" s="329">
        <f t="shared" si="52"/>
        <v>2352.9257142857141</v>
      </c>
      <c r="Q202" s="329">
        <f t="shared" si="53"/>
        <v>13333.245714285893</v>
      </c>
      <c r="R202" s="136">
        <f t="shared" si="54"/>
        <v>15686.171428571608</v>
      </c>
      <c r="S202" s="136">
        <f t="shared" si="55"/>
        <v>784.30857142839159</v>
      </c>
    </row>
    <row r="203" spans="1:19">
      <c r="A203" s="142">
        <v>173864</v>
      </c>
      <c r="C203" s="141">
        <v>335</v>
      </c>
      <c r="D203" s="142" t="s">
        <v>347</v>
      </c>
      <c r="E203" s="141">
        <v>2016</v>
      </c>
      <c r="F203" s="141">
        <v>12</v>
      </c>
      <c r="G203" s="222">
        <v>0</v>
      </c>
      <c r="H203" s="141" t="s">
        <v>51</v>
      </c>
      <c r="I203" s="141">
        <v>7</v>
      </c>
      <c r="J203" s="141">
        <f t="shared" si="47"/>
        <v>2023</v>
      </c>
      <c r="K203" s="223">
        <f t="shared" si="48"/>
        <v>2024</v>
      </c>
      <c r="L203" s="136">
        <v>15248.51</v>
      </c>
      <c r="M203" s="136">
        <f t="shared" si="49"/>
        <v>15248.51</v>
      </c>
      <c r="N203" s="136">
        <f t="shared" si="50"/>
        <v>181.52988095238095</v>
      </c>
      <c r="O203" s="136">
        <f t="shared" si="51"/>
        <v>2178.3585714285714</v>
      </c>
      <c r="P203" s="329">
        <f t="shared" si="52"/>
        <v>2178.3585714285714</v>
      </c>
      <c r="Q203" s="329">
        <f t="shared" si="53"/>
        <v>12344.031904762071</v>
      </c>
      <c r="R203" s="136">
        <f t="shared" si="54"/>
        <v>14522.390476190641</v>
      </c>
      <c r="S203" s="136">
        <f t="shared" si="55"/>
        <v>726.11952380935872</v>
      </c>
    </row>
    <row r="204" spans="1:19">
      <c r="A204" s="142">
        <v>178883</v>
      </c>
      <c r="C204" s="141">
        <v>510</v>
      </c>
      <c r="D204" s="142" t="s">
        <v>348</v>
      </c>
      <c r="E204" s="141">
        <v>2017</v>
      </c>
      <c r="F204" s="141">
        <v>4</v>
      </c>
      <c r="G204" s="222">
        <v>0</v>
      </c>
      <c r="H204" s="141" t="s">
        <v>51</v>
      </c>
      <c r="I204" s="141">
        <v>7</v>
      </c>
      <c r="J204" s="141">
        <f t="shared" si="47"/>
        <v>2024</v>
      </c>
      <c r="K204" s="223">
        <f t="shared" si="48"/>
        <v>2024.3333333333333</v>
      </c>
      <c r="L204" s="136">
        <v>22508.94</v>
      </c>
      <c r="M204" s="136">
        <f t="shared" si="49"/>
        <v>22508.94</v>
      </c>
      <c r="N204" s="136">
        <f t="shared" si="50"/>
        <v>267.96357142857141</v>
      </c>
      <c r="O204" s="136">
        <f t="shared" si="51"/>
        <v>3215.562857142857</v>
      </c>
      <c r="P204" s="329">
        <f t="shared" si="52"/>
        <v>3215.562857142857</v>
      </c>
      <c r="Q204" s="329">
        <f t="shared" si="53"/>
        <v>17149.668571429058</v>
      </c>
      <c r="R204" s="136">
        <f t="shared" si="54"/>
        <v>20365.231428571915</v>
      </c>
      <c r="S204" s="136">
        <f t="shared" si="55"/>
        <v>2143.7085714280838</v>
      </c>
    </row>
    <row r="205" spans="1:19">
      <c r="A205" s="142">
        <v>178884</v>
      </c>
      <c r="C205" s="141">
        <v>376</v>
      </c>
      <c r="D205" s="142" t="s">
        <v>349</v>
      </c>
      <c r="E205" s="141">
        <v>2017</v>
      </c>
      <c r="F205" s="141">
        <v>4</v>
      </c>
      <c r="G205" s="222">
        <v>0</v>
      </c>
      <c r="H205" s="141" t="s">
        <v>51</v>
      </c>
      <c r="I205" s="141">
        <v>7</v>
      </c>
      <c r="J205" s="141">
        <f t="shared" si="47"/>
        <v>2024</v>
      </c>
      <c r="K205" s="223">
        <f t="shared" si="48"/>
        <v>2024.3333333333333</v>
      </c>
      <c r="L205" s="136">
        <v>18938.43</v>
      </c>
      <c r="M205" s="136">
        <f t="shared" si="49"/>
        <v>18938.43</v>
      </c>
      <c r="N205" s="136">
        <f t="shared" si="50"/>
        <v>225.45750000000001</v>
      </c>
      <c r="O205" s="136">
        <f t="shared" si="51"/>
        <v>2705.4900000000002</v>
      </c>
      <c r="P205" s="329">
        <f t="shared" si="52"/>
        <v>2705.4900000000002</v>
      </c>
      <c r="Q205" s="329">
        <f t="shared" si="53"/>
        <v>14429.28000000041</v>
      </c>
      <c r="R205" s="136">
        <f t="shared" si="54"/>
        <v>17134.770000000412</v>
      </c>
      <c r="S205" s="136">
        <f t="shared" si="55"/>
        <v>1803.6599999995888</v>
      </c>
    </row>
    <row r="206" spans="1:19">
      <c r="A206" s="142">
        <v>178885</v>
      </c>
      <c r="C206" s="141">
        <v>840</v>
      </c>
      <c r="D206" s="142" t="s">
        <v>350</v>
      </c>
      <c r="E206" s="141">
        <v>2017</v>
      </c>
      <c r="F206" s="141">
        <v>4</v>
      </c>
      <c r="G206" s="222">
        <v>0</v>
      </c>
      <c r="H206" s="141" t="s">
        <v>51</v>
      </c>
      <c r="I206" s="141">
        <v>7</v>
      </c>
      <c r="J206" s="141">
        <f t="shared" ref="J206:J227" si="56">E206+I206</f>
        <v>2024</v>
      </c>
      <c r="K206" s="223">
        <f t="shared" ref="K206:K227" si="57">+J206+(F206/12)</f>
        <v>2024.3333333333333</v>
      </c>
      <c r="L206" s="136">
        <v>33930.910000000003</v>
      </c>
      <c r="M206" s="136">
        <f t="shared" ref="M206:M227" si="58">L206-L206*G206</f>
        <v>33930.910000000003</v>
      </c>
      <c r="N206" s="136">
        <f t="shared" ref="N206:N227" si="59">M206/I206/12</f>
        <v>403.93940476190483</v>
      </c>
      <c r="O206" s="136">
        <f t="shared" ref="O206:O227" si="60">N206*12</f>
        <v>4847.2728571428579</v>
      </c>
      <c r="P206" s="329">
        <f t="shared" ref="P206:P227" si="61">+IF(K206&lt;=$N$6,0,O206)</f>
        <v>4847.2728571428579</v>
      </c>
      <c r="Q206" s="329">
        <f t="shared" ref="Q206:Q227" si="62">+IF($K206&lt;=$N$7,$L206,IF(($E206+($F206/12))&gt;=$N$7,0,((($M206-((($K206-$N$7)*12)*$N206))))))</f>
        <v>25852.121904762644</v>
      </c>
      <c r="R206" s="136">
        <f t="shared" ref="R206:R227" si="63">+IF(K206&lt;=$N$6,M206,IF(P206=0,Q206,Q206+P206))</f>
        <v>30699.394761905503</v>
      </c>
      <c r="S206" s="136">
        <f t="shared" ref="S206:S227" si="64">+L206-R206</f>
        <v>3231.5152380945001</v>
      </c>
    </row>
    <row r="207" spans="1:19">
      <c r="A207" s="142">
        <v>178886</v>
      </c>
      <c r="C207" s="141">
        <v>624</v>
      </c>
      <c r="D207" s="142" t="s">
        <v>345</v>
      </c>
      <c r="E207" s="141">
        <v>2017</v>
      </c>
      <c r="F207" s="141">
        <v>4</v>
      </c>
      <c r="G207" s="222">
        <v>0</v>
      </c>
      <c r="H207" s="141" t="s">
        <v>51</v>
      </c>
      <c r="I207" s="141">
        <v>7</v>
      </c>
      <c r="J207" s="141">
        <f t="shared" si="56"/>
        <v>2024</v>
      </c>
      <c r="K207" s="223">
        <f t="shared" si="57"/>
        <v>2024.3333333333333</v>
      </c>
      <c r="L207" s="136">
        <v>32539.06</v>
      </c>
      <c r="M207" s="136">
        <f t="shared" si="58"/>
        <v>32539.06</v>
      </c>
      <c r="N207" s="136">
        <f t="shared" si="59"/>
        <v>387.3697619047619</v>
      </c>
      <c r="O207" s="136">
        <f t="shared" si="60"/>
        <v>4648.437142857143</v>
      </c>
      <c r="P207" s="329">
        <f t="shared" si="61"/>
        <v>4648.437142857143</v>
      </c>
      <c r="Q207" s="329">
        <f t="shared" si="62"/>
        <v>24791.664761905467</v>
      </c>
      <c r="R207" s="136">
        <f t="shared" si="63"/>
        <v>29440.101904762611</v>
      </c>
      <c r="S207" s="136">
        <f t="shared" si="64"/>
        <v>3098.9580952373908</v>
      </c>
    </row>
    <row r="208" spans="1:19">
      <c r="A208" s="142">
        <v>179025</v>
      </c>
      <c r="C208" s="141">
        <v>840</v>
      </c>
      <c r="D208" s="142" t="s">
        <v>346</v>
      </c>
      <c r="E208" s="141">
        <v>2017</v>
      </c>
      <c r="F208" s="141">
        <v>4</v>
      </c>
      <c r="G208" s="222">
        <v>0</v>
      </c>
      <c r="H208" s="141" t="s">
        <v>51</v>
      </c>
      <c r="I208" s="141">
        <v>7</v>
      </c>
      <c r="J208" s="141">
        <f t="shared" si="56"/>
        <v>2024</v>
      </c>
      <c r="K208" s="223">
        <f t="shared" si="57"/>
        <v>2024.3333333333333</v>
      </c>
      <c r="L208" s="136">
        <v>33930.910000000003</v>
      </c>
      <c r="M208" s="136">
        <f t="shared" si="58"/>
        <v>33930.910000000003</v>
      </c>
      <c r="N208" s="136">
        <f t="shared" si="59"/>
        <v>403.93940476190483</v>
      </c>
      <c r="O208" s="136">
        <f t="shared" si="60"/>
        <v>4847.2728571428579</v>
      </c>
      <c r="P208" s="329">
        <f t="shared" si="61"/>
        <v>4847.2728571428579</v>
      </c>
      <c r="Q208" s="329">
        <f t="shared" si="62"/>
        <v>25852.121904762644</v>
      </c>
      <c r="R208" s="136">
        <f t="shared" si="63"/>
        <v>30699.394761905503</v>
      </c>
      <c r="S208" s="136">
        <f t="shared" si="64"/>
        <v>3231.5152380945001</v>
      </c>
    </row>
    <row r="209" spans="1:19">
      <c r="A209" s="142">
        <v>179132</v>
      </c>
      <c r="C209" s="141">
        <v>450</v>
      </c>
      <c r="D209" s="142" t="s">
        <v>346</v>
      </c>
      <c r="E209" s="141">
        <v>2017</v>
      </c>
      <c r="F209" s="141">
        <v>4</v>
      </c>
      <c r="G209" s="222">
        <v>0</v>
      </c>
      <c r="H209" s="141" t="s">
        <v>51</v>
      </c>
      <c r="I209" s="141">
        <v>7</v>
      </c>
      <c r="J209" s="141">
        <f t="shared" si="56"/>
        <v>2024</v>
      </c>
      <c r="K209" s="223">
        <f t="shared" si="57"/>
        <v>2024.3333333333333</v>
      </c>
      <c r="L209" s="136">
        <v>19387.97</v>
      </c>
      <c r="M209" s="136">
        <f t="shared" si="58"/>
        <v>19387.97</v>
      </c>
      <c r="N209" s="136">
        <f t="shared" si="59"/>
        <v>230.80916666666667</v>
      </c>
      <c r="O209" s="136">
        <f t="shared" si="60"/>
        <v>2769.71</v>
      </c>
      <c r="P209" s="329">
        <f t="shared" si="61"/>
        <v>2769.71</v>
      </c>
      <c r="Q209" s="329">
        <f t="shared" si="62"/>
        <v>14771.786666667089</v>
      </c>
      <c r="R209" s="136">
        <f t="shared" si="63"/>
        <v>17541.496666667088</v>
      </c>
      <c r="S209" s="136">
        <f t="shared" si="64"/>
        <v>1846.4733333329132</v>
      </c>
    </row>
    <row r="210" spans="1:19">
      <c r="A210" s="142">
        <v>201018</v>
      </c>
      <c r="C210" s="141">
        <v>2000</v>
      </c>
      <c r="D210" s="142" t="s">
        <v>416</v>
      </c>
      <c r="E210" s="141">
        <v>2018</v>
      </c>
      <c r="F210" s="141">
        <v>4</v>
      </c>
      <c r="G210" s="222">
        <v>0</v>
      </c>
      <c r="H210" s="141" t="s">
        <v>51</v>
      </c>
      <c r="I210" s="141">
        <v>7</v>
      </c>
      <c r="J210" s="141">
        <f t="shared" si="56"/>
        <v>2025</v>
      </c>
      <c r="K210" s="223">
        <f t="shared" si="57"/>
        <v>2025.3333333333333</v>
      </c>
      <c r="L210" s="136">
        <v>81647.44</v>
      </c>
      <c r="M210" s="136">
        <f t="shared" si="58"/>
        <v>81647.44</v>
      </c>
      <c r="N210" s="136">
        <f t="shared" si="59"/>
        <v>971.99333333333334</v>
      </c>
      <c r="O210" s="136">
        <f t="shared" si="60"/>
        <v>11663.92</v>
      </c>
      <c r="P210" s="329">
        <f t="shared" si="61"/>
        <v>11663.92</v>
      </c>
      <c r="Q210" s="329">
        <f t="shared" si="62"/>
        <v>50543.653333335104</v>
      </c>
      <c r="R210" s="136">
        <f t="shared" si="63"/>
        <v>62207.573333335102</v>
      </c>
      <c r="S210" s="136">
        <f t="shared" si="64"/>
        <v>19439.866666664901</v>
      </c>
    </row>
    <row r="211" spans="1:19">
      <c r="A211" s="142">
        <v>201019</v>
      </c>
      <c r="C211" s="141">
        <v>312</v>
      </c>
      <c r="D211" s="142" t="s">
        <v>417</v>
      </c>
      <c r="E211" s="141">
        <v>2018</v>
      </c>
      <c r="F211" s="141">
        <v>4</v>
      </c>
      <c r="G211" s="222">
        <v>0</v>
      </c>
      <c r="H211" s="141" t="s">
        <v>51</v>
      </c>
      <c r="I211" s="141">
        <v>7</v>
      </c>
      <c r="J211" s="141">
        <f t="shared" si="56"/>
        <v>2025</v>
      </c>
      <c r="K211" s="223">
        <f t="shared" si="57"/>
        <v>2025.3333333333333</v>
      </c>
      <c r="L211" s="136">
        <v>14797.35</v>
      </c>
      <c r="M211" s="136">
        <f t="shared" si="58"/>
        <v>14797.35</v>
      </c>
      <c r="N211" s="136">
        <f t="shared" si="59"/>
        <v>176.15892857142856</v>
      </c>
      <c r="O211" s="136">
        <f t="shared" si="60"/>
        <v>2113.9071428571428</v>
      </c>
      <c r="P211" s="329">
        <f t="shared" si="61"/>
        <v>2113.9071428571428</v>
      </c>
      <c r="Q211" s="329">
        <f t="shared" si="62"/>
        <v>9160.2642857146056</v>
      </c>
      <c r="R211" s="136">
        <f t="shared" si="63"/>
        <v>11274.171428571748</v>
      </c>
      <c r="S211" s="136">
        <f t="shared" si="64"/>
        <v>3523.1785714282523</v>
      </c>
    </row>
    <row r="212" spans="1:19">
      <c r="A212" s="142">
        <v>201020</v>
      </c>
      <c r="C212" s="141">
        <v>188</v>
      </c>
      <c r="D212" s="142" t="s">
        <v>418</v>
      </c>
      <c r="E212" s="141">
        <v>2018</v>
      </c>
      <c r="F212" s="141">
        <v>4</v>
      </c>
      <c r="G212" s="222">
        <v>0</v>
      </c>
      <c r="H212" s="141" t="s">
        <v>51</v>
      </c>
      <c r="I212" s="141">
        <v>7</v>
      </c>
      <c r="J212" s="141">
        <f t="shared" si="56"/>
        <v>2025</v>
      </c>
      <c r="K212" s="223">
        <f t="shared" si="57"/>
        <v>2025.3333333333333</v>
      </c>
      <c r="L212" s="136">
        <v>10037.219999999999</v>
      </c>
      <c r="M212" s="136">
        <f t="shared" si="58"/>
        <v>10037.219999999999</v>
      </c>
      <c r="N212" s="136">
        <f t="shared" si="59"/>
        <v>119.49071428571428</v>
      </c>
      <c r="O212" s="136">
        <f t="shared" si="60"/>
        <v>1433.8885714285714</v>
      </c>
      <c r="P212" s="329">
        <f t="shared" si="61"/>
        <v>1433.8885714285714</v>
      </c>
      <c r="Q212" s="329">
        <f t="shared" si="62"/>
        <v>6213.5171428573594</v>
      </c>
      <c r="R212" s="136">
        <f t="shared" si="63"/>
        <v>7647.405714285931</v>
      </c>
      <c r="S212" s="136">
        <f t="shared" si="64"/>
        <v>2389.8142857140683</v>
      </c>
    </row>
    <row r="213" spans="1:19">
      <c r="A213" s="142">
        <v>203609</v>
      </c>
      <c r="C213" s="141">
        <v>864</v>
      </c>
      <c r="D213" s="142" t="s">
        <v>428</v>
      </c>
      <c r="E213" s="141">
        <v>2018</v>
      </c>
      <c r="F213" s="141">
        <v>8</v>
      </c>
      <c r="G213" s="222">
        <v>0</v>
      </c>
      <c r="H213" s="141" t="s">
        <v>51</v>
      </c>
      <c r="I213" s="141">
        <v>7</v>
      </c>
      <c r="J213" s="141">
        <f t="shared" si="56"/>
        <v>2025</v>
      </c>
      <c r="K213" s="223">
        <f t="shared" si="57"/>
        <v>2025.6666666666667</v>
      </c>
      <c r="L213" s="136">
        <v>39724.550000000003</v>
      </c>
      <c r="M213" s="136">
        <f t="shared" si="58"/>
        <v>39724.550000000003</v>
      </c>
      <c r="N213" s="136">
        <f t="shared" si="59"/>
        <v>472.91130952380951</v>
      </c>
      <c r="O213" s="136">
        <f t="shared" si="60"/>
        <v>5674.9357142857143</v>
      </c>
      <c r="P213" s="329">
        <f t="shared" si="61"/>
        <v>5674.9357142857143</v>
      </c>
      <c r="Q213" s="329">
        <f t="shared" si="62"/>
        <v>22699.742857142861</v>
      </c>
      <c r="R213" s="136">
        <f t="shared" si="63"/>
        <v>28374.678571428576</v>
      </c>
      <c r="S213" s="136">
        <f t="shared" si="64"/>
        <v>11349.871428571427</v>
      </c>
    </row>
    <row r="214" spans="1:19">
      <c r="A214" s="142">
        <v>210504</v>
      </c>
      <c r="C214" s="141">
        <v>624</v>
      </c>
      <c r="D214" s="142" t="s">
        <v>459</v>
      </c>
      <c r="E214" s="141">
        <v>2019</v>
      </c>
      <c r="F214" s="141">
        <v>1</v>
      </c>
      <c r="G214" s="222">
        <v>0</v>
      </c>
      <c r="H214" s="141" t="s">
        <v>51</v>
      </c>
      <c r="I214" s="141">
        <v>7</v>
      </c>
      <c r="J214" s="141">
        <f t="shared" si="56"/>
        <v>2026</v>
      </c>
      <c r="K214" s="223">
        <f t="shared" si="57"/>
        <v>2026.0833333333333</v>
      </c>
      <c r="L214" s="136">
        <v>31533.31</v>
      </c>
      <c r="M214" s="136">
        <f t="shared" si="58"/>
        <v>31533.31</v>
      </c>
      <c r="N214" s="136">
        <f t="shared" si="59"/>
        <v>375.39654761904762</v>
      </c>
      <c r="O214" s="136">
        <f t="shared" si="60"/>
        <v>4504.7585714285715</v>
      </c>
      <c r="P214" s="329">
        <f t="shared" si="61"/>
        <v>4504.7585714285715</v>
      </c>
      <c r="Q214" s="329">
        <f t="shared" si="62"/>
        <v>16142.051547619732</v>
      </c>
      <c r="R214" s="136">
        <f t="shared" si="63"/>
        <v>20646.810119048303</v>
      </c>
      <c r="S214" s="136">
        <f t="shared" si="64"/>
        <v>10886.499880951698</v>
      </c>
    </row>
    <row r="215" spans="1:19">
      <c r="A215" s="142">
        <v>212681</v>
      </c>
      <c r="C215" s="141">
        <v>588</v>
      </c>
      <c r="D215" s="142" t="s">
        <v>460</v>
      </c>
      <c r="E215" s="141">
        <v>2019</v>
      </c>
      <c r="F215" s="141">
        <v>4</v>
      </c>
      <c r="G215" s="222">
        <v>0</v>
      </c>
      <c r="H215" s="141" t="s">
        <v>51</v>
      </c>
      <c r="I215" s="141">
        <v>7</v>
      </c>
      <c r="J215" s="141">
        <f t="shared" si="56"/>
        <v>2026</v>
      </c>
      <c r="K215" s="223">
        <f t="shared" si="57"/>
        <v>2026.3333333333333</v>
      </c>
      <c r="L215" s="136">
        <v>24978</v>
      </c>
      <c r="M215" s="136">
        <f t="shared" si="58"/>
        <v>24978</v>
      </c>
      <c r="N215" s="136">
        <f t="shared" si="59"/>
        <v>297.35714285714283</v>
      </c>
      <c r="O215" s="136">
        <f t="shared" si="60"/>
        <v>3568.2857142857138</v>
      </c>
      <c r="P215" s="329">
        <f t="shared" si="61"/>
        <v>3568.2857142857138</v>
      </c>
      <c r="Q215" s="329">
        <f t="shared" si="62"/>
        <v>11894.285714286256</v>
      </c>
      <c r="R215" s="136">
        <f t="shared" si="63"/>
        <v>15462.57142857197</v>
      </c>
      <c r="S215" s="136">
        <f t="shared" si="64"/>
        <v>9515.4285714280304</v>
      </c>
    </row>
    <row r="216" spans="1:19">
      <c r="A216" s="142">
        <v>212680</v>
      </c>
      <c r="C216" s="141">
        <v>300</v>
      </c>
      <c r="D216" s="142" t="s">
        <v>346</v>
      </c>
      <c r="E216" s="141">
        <v>2019</v>
      </c>
      <c r="F216" s="141">
        <v>4</v>
      </c>
      <c r="G216" s="222">
        <v>0</v>
      </c>
      <c r="H216" s="141" t="s">
        <v>51</v>
      </c>
      <c r="I216" s="141">
        <v>7</v>
      </c>
      <c r="J216" s="141">
        <f t="shared" si="56"/>
        <v>2026</v>
      </c>
      <c r="K216" s="223">
        <f t="shared" si="57"/>
        <v>2026.3333333333333</v>
      </c>
      <c r="L216" s="136">
        <v>11165.88</v>
      </c>
      <c r="M216" s="136">
        <f t="shared" si="58"/>
        <v>11165.88</v>
      </c>
      <c r="N216" s="136">
        <f t="shared" si="59"/>
        <v>132.92714285714285</v>
      </c>
      <c r="O216" s="136">
        <f t="shared" si="60"/>
        <v>1595.1257142857144</v>
      </c>
      <c r="P216" s="329">
        <f t="shared" si="61"/>
        <v>1595.1257142857144</v>
      </c>
      <c r="Q216" s="329">
        <f t="shared" si="62"/>
        <v>5317.085714285955</v>
      </c>
      <c r="R216" s="136">
        <f t="shared" si="63"/>
        <v>6912.2114285716689</v>
      </c>
      <c r="S216" s="136">
        <f t="shared" si="64"/>
        <v>4253.6685714283303</v>
      </c>
    </row>
    <row r="217" spans="1:19">
      <c r="A217" s="142">
        <v>225891</v>
      </c>
      <c r="C217" s="141">
        <v>624</v>
      </c>
      <c r="D217" s="142" t="s">
        <v>345</v>
      </c>
      <c r="E217" s="141">
        <v>2019</v>
      </c>
      <c r="F217" s="141">
        <v>8</v>
      </c>
      <c r="G217" s="222">
        <v>0</v>
      </c>
      <c r="H217" s="141" t="s">
        <v>51</v>
      </c>
      <c r="I217" s="141">
        <v>7</v>
      </c>
      <c r="J217" s="141">
        <f t="shared" si="56"/>
        <v>2026</v>
      </c>
      <c r="K217" s="223">
        <f t="shared" si="57"/>
        <v>2026.6666666666667</v>
      </c>
      <c r="L217" s="136">
        <v>31346.080000000002</v>
      </c>
      <c r="M217" s="136">
        <f t="shared" si="58"/>
        <v>31346.080000000002</v>
      </c>
      <c r="N217" s="136">
        <f t="shared" si="59"/>
        <v>373.1676190476191</v>
      </c>
      <c r="O217" s="136">
        <f t="shared" si="60"/>
        <v>4478.011428571429</v>
      </c>
      <c r="P217" s="329">
        <f t="shared" si="61"/>
        <v>4478.011428571429</v>
      </c>
      <c r="Q217" s="329">
        <f t="shared" si="62"/>
        <v>13434.034285714286</v>
      </c>
      <c r="R217" s="136">
        <f t="shared" si="63"/>
        <v>17912.045714285716</v>
      </c>
      <c r="S217" s="136">
        <f t="shared" si="64"/>
        <v>13434.034285714286</v>
      </c>
    </row>
    <row r="218" spans="1:19">
      <c r="A218" s="142">
        <v>231605</v>
      </c>
      <c r="C218" s="141">
        <v>178</v>
      </c>
      <c r="D218" s="142" t="s">
        <v>530</v>
      </c>
      <c r="E218" s="141">
        <v>2020</v>
      </c>
      <c r="F218" s="141">
        <v>3</v>
      </c>
      <c r="G218" s="222">
        <v>0</v>
      </c>
      <c r="H218" s="141" t="s">
        <v>51</v>
      </c>
      <c r="I218" s="141">
        <v>7</v>
      </c>
      <c r="J218" s="141">
        <f t="shared" si="56"/>
        <v>2027</v>
      </c>
      <c r="K218" s="223">
        <f t="shared" si="57"/>
        <v>2027.25</v>
      </c>
      <c r="L218" s="136">
        <v>7961.95</v>
      </c>
      <c r="M218" s="136">
        <f t="shared" si="58"/>
        <v>7961.95</v>
      </c>
      <c r="N218" s="136">
        <f t="shared" si="59"/>
        <v>94.785119047619048</v>
      </c>
      <c r="O218" s="136">
        <f t="shared" si="60"/>
        <v>1137.4214285714286</v>
      </c>
      <c r="P218" s="329">
        <f t="shared" si="61"/>
        <v>1137.4214285714286</v>
      </c>
      <c r="Q218" s="329">
        <f t="shared" si="62"/>
        <v>2748.7684523810385</v>
      </c>
      <c r="R218" s="136">
        <f t="shared" si="63"/>
        <v>3886.1898809524673</v>
      </c>
      <c r="S218" s="136">
        <f t="shared" si="64"/>
        <v>4075.7601190475325</v>
      </c>
    </row>
    <row r="219" spans="1:19">
      <c r="A219" s="142">
        <v>231606</v>
      </c>
      <c r="C219" s="141">
        <v>915</v>
      </c>
      <c r="D219" s="142" t="s">
        <v>531</v>
      </c>
      <c r="E219" s="141">
        <v>2020</v>
      </c>
      <c r="F219" s="141">
        <v>3</v>
      </c>
      <c r="G219" s="222">
        <v>0</v>
      </c>
      <c r="H219" s="141" t="s">
        <v>51</v>
      </c>
      <c r="I219" s="141">
        <v>7</v>
      </c>
      <c r="J219" s="141">
        <f t="shared" si="56"/>
        <v>2027</v>
      </c>
      <c r="K219" s="223">
        <f t="shared" si="57"/>
        <v>2027.25</v>
      </c>
      <c r="L219" s="136">
        <v>35646.639999999999</v>
      </c>
      <c r="M219" s="136">
        <f t="shared" si="58"/>
        <v>35646.639999999999</v>
      </c>
      <c r="N219" s="136">
        <f t="shared" si="59"/>
        <v>424.36476190476191</v>
      </c>
      <c r="O219" s="136">
        <f t="shared" si="60"/>
        <v>5092.3771428571426</v>
      </c>
      <c r="P219" s="329">
        <f t="shared" si="61"/>
        <v>5092.3771428571426</v>
      </c>
      <c r="Q219" s="329">
        <f t="shared" si="62"/>
        <v>12306.578095238481</v>
      </c>
      <c r="R219" s="136">
        <f t="shared" si="63"/>
        <v>17398.955238095623</v>
      </c>
      <c r="S219" s="136">
        <f t="shared" si="64"/>
        <v>18247.684761904377</v>
      </c>
    </row>
    <row r="220" spans="1:19">
      <c r="A220" s="142">
        <v>231607</v>
      </c>
      <c r="C220" s="141">
        <v>504</v>
      </c>
      <c r="D220" s="142" t="s">
        <v>532</v>
      </c>
      <c r="E220" s="141">
        <v>2020</v>
      </c>
      <c r="F220" s="141">
        <v>3</v>
      </c>
      <c r="G220" s="222">
        <v>0</v>
      </c>
      <c r="H220" s="141" t="s">
        <v>51</v>
      </c>
      <c r="I220" s="141">
        <v>7</v>
      </c>
      <c r="J220" s="141">
        <f t="shared" si="56"/>
        <v>2027</v>
      </c>
      <c r="K220" s="223">
        <f t="shared" si="57"/>
        <v>2027.25</v>
      </c>
      <c r="L220" s="136">
        <v>16380.65</v>
      </c>
      <c r="M220" s="136">
        <f t="shared" si="58"/>
        <v>16380.65</v>
      </c>
      <c r="N220" s="136">
        <f t="shared" si="59"/>
        <v>195.0077380952381</v>
      </c>
      <c r="O220" s="136">
        <f t="shared" si="60"/>
        <v>2340.0928571428572</v>
      </c>
      <c r="P220" s="329">
        <f t="shared" si="61"/>
        <v>2340.0928571428572</v>
      </c>
      <c r="Q220" s="329">
        <f t="shared" si="62"/>
        <v>5655.2244047620825</v>
      </c>
      <c r="R220" s="136">
        <f t="shared" si="63"/>
        <v>7995.3172619049401</v>
      </c>
      <c r="S220" s="136">
        <f t="shared" si="64"/>
        <v>8385.3327380950595</v>
      </c>
    </row>
    <row r="221" spans="1:19">
      <c r="A221" s="142">
        <v>231983</v>
      </c>
      <c r="C221" s="141">
        <v>140</v>
      </c>
      <c r="D221" s="142" t="s">
        <v>532</v>
      </c>
      <c r="E221" s="141">
        <v>2020</v>
      </c>
      <c r="F221" s="141">
        <v>3</v>
      </c>
      <c r="G221" s="222">
        <v>0</v>
      </c>
      <c r="H221" s="141" t="s">
        <v>51</v>
      </c>
      <c r="I221" s="141">
        <v>7</v>
      </c>
      <c r="J221" s="141">
        <f t="shared" si="56"/>
        <v>2027</v>
      </c>
      <c r="K221" s="223">
        <f t="shared" si="57"/>
        <v>2027.25</v>
      </c>
      <c r="L221" s="136">
        <v>4715.3500000000004</v>
      </c>
      <c r="M221" s="136">
        <f t="shared" si="58"/>
        <v>4715.3500000000004</v>
      </c>
      <c r="N221" s="136">
        <f t="shared" si="59"/>
        <v>56.13511904761905</v>
      </c>
      <c r="O221" s="136">
        <f t="shared" si="60"/>
        <v>673.62142857142862</v>
      </c>
      <c r="P221" s="329">
        <f t="shared" si="61"/>
        <v>673.62142857142862</v>
      </c>
      <c r="Q221" s="329">
        <f t="shared" si="62"/>
        <v>1627.9184523810036</v>
      </c>
      <c r="R221" s="136">
        <f t="shared" si="63"/>
        <v>2301.5398809524322</v>
      </c>
      <c r="S221" s="136">
        <f t="shared" si="64"/>
        <v>2413.8101190475682</v>
      </c>
    </row>
    <row r="222" spans="1:19">
      <c r="A222" s="142">
        <v>231984</v>
      </c>
      <c r="C222" s="141">
        <v>1014</v>
      </c>
      <c r="D222" s="142" t="s">
        <v>531</v>
      </c>
      <c r="E222" s="141">
        <v>2020</v>
      </c>
      <c r="F222" s="141">
        <v>3</v>
      </c>
      <c r="G222" s="222">
        <v>0</v>
      </c>
      <c r="H222" s="141" t="s">
        <v>51</v>
      </c>
      <c r="I222" s="141">
        <v>7</v>
      </c>
      <c r="J222" s="141">
        <f t="shared" si="56"/>
        <v>2027</v>
      </c>
      <c r="K222" s="223">
        <f t="shared" si="57"/>
        <v>2027.25</v>
      </c>
      <c r="L222" s="136">
        <v>40540.9</v>
      </c>
      <c r="M222" s="136">
        <f t="shared" si="58"/>
        <v>40540.9</v>
      </c>
      <c r="N222" s="136">
        <f t="shared" si="59"/>
        <v>482.62976190476189</v>
      </c>
      <c r="O222" s="136">
        <f t="shared" si="60"/>
        <v>5791.5571428571429</v>
      </c>
      <c r="P222" s="329">
        <f t="shared" si="61"/>
        <v>5791.5571428571429</v>
      </c>
      <c r="Q222" s="329">
        <f t="shared" si="62"/>
        <v>13996.263095238537</v>
      </c>
      <c r="R222" s="136">
        <f t="shared" si="63"/>
        <v>19787.820238095679</v>
      </c>
      <c r="S222" s="136">
        <f t="shared" si="64"/>
        <v>20753.079761904322</v>
      </c>
    </row>
    <row r="223" spans="1:19">
      <c r="A223" s="142">
        <v>233297</v>
      </c>
      <c r="C223" s="141">
        <v>2160</v>
      </c>
      <c r="D223" s="142" t="s">
        <v>532</v>
      </c>
      <c r="E223" s="141">
        <v>2020</v>
      </c>
      <c r="F223" s="141">
        <v>3</v>
      </c>
      <c r="G223" s="222">
        <v>0</v>
      </c>
      <c r="H223" s="141" t="s">
        <v>51</v>
      </c>
      <c r="I223" s="141">
        <v>7</v>
      </c>
      <c r="J223" s="141">
        <f t="shared" si="56"/>
        <v>2027</v>
      </c>
      <c r="K223" s="223">
        <f t="shared" si="57"/>
        <v>2027.25</v>
      </c>
      <c r="L223" s="136">
        <v>72750.960000000006</v>
      </c>
      <c r="M223" s="136">
        <f t="shared" si="58"/>
        <v>72750.960000000006</v>
      </c>
      <c r="N223" s="136">
        <f t="shared" si="59"/>
        <v>866.08285714285728</v>
      </c>
      <c r="O223" s="136">
        <f t="shared" si="60"/>
        <v>10392.994285714287</v>
      </c>
      <c r="P223" s="329">
        <f t="shared" si="61"/>
        <v>10392.994285714287</v>
      </c>
      <c r="Q223" s="329">
        <f t="shared" si="62"/>
        <v>25116.402857143643</v>
      </c>
      <c r="R223" s="136">
        <f t="shared" si="63"/>
        <v>35509.397142857932</v>
      </c>
      <c r="S223" s="136">
        <f t="shared" si="64"/>
        <v>37241.562857142075</v>
      </c>
    </row>
    <row r="224" spans="1:19">
      <c r="A224" s="142">
        <v>233298</v>
      </c>
      <c r="C224" s="141">
        <v>220</v>
      </c>
      <c r="D224" s="142" t="s">
        <v>530</v>
      </c>
      <c r="E224" s="141">
        <v>2020</v>
      </c>
      <c r="F224" s="141">
        <v>3</v>
      </c>
      <c r="G224" s="222">
        <v>0</v>
      </c>
      <c r="H224" s="141" t="s">
        <v>51</v>
      </c>
      <c r="I224" s="141">
        <v>7</v>
      </c>
      <c r="J224" s="141">
        <f t="shared" si="56"/>
        <v>2027</v>
      </c>
      <c r="K224" s="223">
        <f t="shared" si="57"/>
        <v>2027.25</v>
      </c>
      <c r="L224" s="136">
        <v>10105.18</v>
      </c>
      <c r="M224" s="136">
        <f t="shared" si="58"/>
        <v>10105.18</v>
      </c>
      <c r="N224" s="136">
        <f t="shared" si="59"/>
        <v>120.29976190476191</v>
      </c>
      <c r="O224" s="136">
        <f t="shared" si="60"/>
        <v>1443.5971428571429</v>
      </c>
      <c r="P224" s="329">
        <f t="shared" si="61"/>
        <v>1443.5971428571429</v>
      </c>
      <c r="Q224" s="329">
        <f t="shared" si="62"/>
        <v>3488.6930952382045</v>
      </c>
      <c r="R224" s="136">
        <f t="shared" si="63"/>
        <v>4932.2902380953474</v>
      </c>
      <c r="S224" s="136">
        <f t="shared" si="64"/>
        <v>5172.8897619046529</v>
      </c>
    </row>
    <row r="225" spans="1:19">
      <c r="A225" s="142">
        <v>233301</v>
      </c>
      <c r="C225" s="141">
        <v>936</v>
      </c>
      <c r="D225" s="142" t="s">
        <v>531</v>
      </c>
      <c r="E225" s="141">
        <v>2020</v>
      </c>
      <c r="F225" s="141">
        <v>3</v>
      </c>
      <c r="G225" s="222">
        <v>0</v>
      </c>
      <c r="H225" s="141" t="s">
        <v>51</v>
      </c>
      <c r="I225" s="141">
        <v>7</v>
      </c>
      <c r="J225" s="141">
        <f t="shared" si="56"/>
        <v>2027</v>
      </c>
      <c r="K225" s="223">
        <f t="shared" si="57"/>
        <v>2027.25</v>
      </c>
      <c r="L225" s="136">
        <v>37422.400000000001</v>
      </c>
      <c r="M225" s="136">
        <f t="shared" si="58"/>
        <v>37422.400000000001</v>
      </c>
      <c r="N225" s="136">
        <f t="shared" si="59"/>
        <v>445.50476190476189</v>
      </c>
      <c r="O225" s="136">
        <f t="shared" si="60"/>
        <v>5346.0571428571429</v>
      </c>
      <c r="P225" s="329">
        <f t="shared" si="61"/>
        <v>5346.0571428571429</v>
      </c>
      <c r="Q225" s="329">
        <f t="shared" si="62"/>
        <v>12919.638095238504</v>
      </c>
      <c r="R225" s="136">
        <f t="shared" si="63"/>
        <v>18265.695238095646</v>
      </c>
      <c r="S225" s="136">
        <f t="shared" si="64"/>
        <v>19156.704761904355</v>
      </c>
    </row>
    <row r="226" spans="1:19">
      <c r="A226" s="142">
        <v>234183</v>
      </c>
      <c r="C226" s="141">
        <v>2300</v>
      </c>
      <c r="D226" s="142" t="s">
        <v>532</v>
      </c>
      <c r="E226" s="141">
        <v>2020</v>
      </c>
      <c r="F226" s="141">
        <v>3</v>
      </c>
      <c r="G226" s="222">
        <v>0</v>
      </c>
      <c r="H226" s="141" t="s">
        <v>51</v>
      </c>
      <c r="I226" s="141">
        <v>7</v>
      </c>
      <c r="J226" s="141">
        <f t="shared" si="56"/>
        <v>2027</v>
      </c>
      <c r="K226" s="223">
        <f t="shared" si="57"/>
        <v>2027.25</v>
      </c>
      <c r="L226" s="136">
        <v>8537</v>
      </c>
      <c r="M226" s="136">
        <f t="shared" si="58"/>
        <v>8537</v>
      </c>
      <c r="N226" s="136">
        <f t="shared" si="59"/>
        <v>101.63095238095239</v>
      </c>
      <c r="O226" s="136">
        <f t="shared" si="60"/>
        <v>1219.5714285714287</v>
      </c>
      <c r="P226" s="329">
        <f t="shared" si="61"/>
        <v>1219.5714285714287</v>
      </c>
      <c r="Q226" s="329">
        <f t="shared" si="62"/>
        <v>2947.2976190477111</v>
      </c>
      <c r="R226" s="136">
        <f t="shared" si="63"/>
        <v>4166.8690476191396</v>
      </c>
      <c r="S226" s="136">
        <f t="shared" si="64"/>
        <v>4370.1309523808604</v>
      </c>
    </row>
    <row r="227" spans="1:19">
      <c r="A227" s="142">
        <v>234184</v>
      </c>
      <c r="C227" s="141">
        <v>615</v>
      </c>
      <c r="D227" s="142" t="s">
        <v>530</v>
      </c>
      <c r="E227" s="141">
        <v>2020</v>
      </c>
      <c r="F227" s="141">
        <v>3</v>
      </c>
      <c r="G227" s="222">
        <v>0</v>
      </c>
      <c r="H227" s="141" t="s">
        <v>51</v>
      </c>
      <c r="I227" s="141">
        <v>7</v>
      </c>
      <c r="J227" s="141">
        <f t="shared" si="56"/>
        <v>2027</v>
      </c>
      <c r="K227" s="223">
        <f t="shared" si="57"/>
        <v>2027.25</v>
      </c>
      <c r="L227" s="136">
        <v>2277</v>
      </c>
      <c r="M227" s="136">
        <f t="shared" si="58"/>
        <v>2277</v>
      </c>
      <c r="N227" s="136">
        <f t="shared" si="59"/>
        <v>27.107142857142858</v>
      </c>
      <c r="O227" s="136">
        <f t="shared" si="60"/>
        <v>325.28571428571428</v>
      </c>
      <c r="P227" s="329">
        <f t="shared" si="61"/>
        <v>325.28571428571428</v>
      </c>
      <c r="Q227" s="329">
        <f t="shared" si="62"/>
        <v>786.10714285716745</v>
      </c>
      <c r="R227" s="136">
        <f t="shared" si="63"/>
        <v>1111.3928571428817</v>
      </c>
      <c r="S227" s="136">
        <f t="shared" si="64"/>
        <v>1165.6071428571183</v>
      </c>
    </row>
    <row r="228" spans="1:19">
      <c r="A228" s="142"/>
      <c r="C228" s="141"/>
      <c r="D228" s="142"/>
      <c r="E228" s="141"/>
      <c r="F228" s="141"/>
      <c r="G228" s="222"/>
      <c r="H228" s="141"/>
      <c r="L228" s="123"/>
      <c r="M228" s="123"/>
      <c r="N228" s="123"/>
      <c r="O228" s="123"/>
      <c r="P228" s="123"/>
      <c r="Q228" s="123"/>
      <c r="R228" s="123"/>
      <c r="S228" s="123"/>
    </row>
    <row r="229" spans="1:19">
      <c r="A229" s="284"/>
      <c r="B229" s="245"/>
      <c r="C229" s="245"/>
      <c r="D229" s="246" t="s">
        <v>256</v>
      </c>
      <c r="E229" s="227"/>
      <c r="F229" s="227"/>
      <c r="G229" s="228"/>
      <c r="H229" s="247"/>
      <c r="I229" s="227"/>
      <c r="J229" s="227"/>
      <c r="K229" s="227"/>
      <c r="L229" s="167">
        <f t="shared" ref="L229:S229" si="65">SUM(L174:L228)</f>
        <v>1192008.8699999999</v>
      </c>
      <c r="M229" s="167">
        <f t="shared" si="65"/>
        <v>1192008.8699999999</v>
      </c>
      <c r="N229" s="167">
        <f t="shared" si="65"/>
        <v>14001.17929761905</v>
      </c>
      <c r="O229" s="167">
        <f t="shared" si="65"/>
        <v>168014.15157142858</v>
      </c>
      <c r="P229" s="167">
        <f t="shared" si="65"/>
        <v>99746.088571428569</v>
      </c>
      <c r="Q229" s="167">
        <f t="shared" si="65"/>
        <v>879071.28050001035</v>
      </c>
      <c r="R229" s="167">
        <f t="shared" si="65"/>
        <v>979183.24857143871</v>
      </c>
      <c r="S229" s="167">
        <f t="shared" si="65"/>
        <v>212825.62142856122</v>
      </c>
    </row>
    <row r="230" spans="1:19">
      <c r="A230" s="142"/>
      <c r="E230" s="141"/>
      <c r="F230" s="141"/>
      <c r="G230" s="222"/>
      <c r="H230" s="141"/>
      <c r="L230" s="158"/>
    </row>
    <row r="231" spans="1:19">
      <c r="A231" s="142"/>
      <c r="D231" s="226" t="s">
        <v>2275</v>
      </c>
      <c r="E231" s="141"/>
      <c r="F231" s="141"/>
      <c r="H231" s="141"/>
      <c r="L231" s="158"/>
    </row>
    <row r="232" spans="1:19">
      <c r="A232" s="142"/>
      <c r="C232" s="130">
        <v>960</v>
      </c>
      <c r="D232" s="142" t="s">
        <v>212</v>
      </c>
      <c r="E232" s="141">
        <v>2011</v>
      </c>
      <c r="F232" s="141">
        <v>5</v>
      </c>
      <c r="G232" s="222">
        <v>0</v>
      </c>
      <c r="H232" s="141" t="s">
        <v>51</v>
      </c>
      <c r="I232" s="141">
        <v>10</v>
      </c>
      <c r="J232" s="141">
        <f t="shared" ref="J232:J238" si="66">E232+I232</f>
        <v>2021</v>
      </c>
      <c r="K232" s="223">
        <f t="shared" ref="K232:K238" si="67">+J232+(F232/12)</f>
        <v>2021.4166666666667</v>
      </c>
      <c r="L232" s="136">
        <v>6929.61</v>
      </c>
      <c r="M232" s="136">
        <f t="shared" ref="M232:M238" si="68">L232-L232*G232</f>
        <v>6929.61</v>
      </c>
      <c r="N232" s="136">
        <f t="shared" ref="N232:N238" si="69">M232/I232/12</f>
        <v>57.746749999999999</v>
      </c>
      <c r="O232" s="136">
        <f t="shared" ref="O232:O238" si="70">N232*12</f>
        <v>692.96100000000001</v>
      </c>
      <c r="P232" s="329">
        <f t="shared" ref="P232:P238" si="71">+IF(K232&lt;=$N$6,0,O232)</f>
        <v>0</v>
      </c>
      <c r="Q232" s="329">
        <f t="shared" ref="Q232:Q238" si="72">+IF($K232&lt;=$N$7,$L232,IF(($E232+($F232/12))&gt;=$N$7,0,((($M232-((($K232-$N$7)*12)*$N232))))))</f>
        <v>6929.61</v>
      </c>
      <c r="R232" s="136">
        <f t="shared" ref="R232:R238" si="73">+IF(K232&lt;=$N$6,M232,IF(P232=0,Q232,Q232+P232))</f>
        <v>6929.61</v>
      </c>
      <c r="S232" s="136">
        <f t="shared" ref="S232:S238" si="74">+L232-R232</f>
        <v>0</v>
      </c>
    </row>
    <row r="233" spans="1:19">
      <c r="A233" s="142"/>
      <c r="C233" s="130">
        <v>720</v>
      </c>
      <c r="D233" s="142" t="s">
        <v>212</v>
      </c>
      <c r="E233" s="141">
        <v>2013</v>
      </c>
      <c r="F233" s="141">
        <v>12</v>
      </c>
      <c r="G233" s="222">
        <v>0</v>
      </c>
      <c r="H233" s="141" t="s">
        <v>51</v>
      </c>
      <c r="I233" s="141">
        <v>10</v>
      </c>
      <c r="J233" s="141">
        <f t="shared" si="66"/>
        <v>2023</v>
      </c>
      <c r="K233" s="223">
        <f t="shared" si="67"/>
        <v>2024</v>
      </c>
      <c r="L233" s="136">
        <v>5853.6</v>
      </c>
      <c r="M233" s="136">
        <f t="shared" si="68"/>
        <v>5853.6</v>
      </c>
      <c r="N233" s="136">
        <f t="shared" si="69"/>
        <v>48.78</v>
      </c>
      <c r="O233" s="136">
        <f t="shared" si="70"/>
        <v>585.36</v>
      </c>
      <c r="P233" s="329">
        <f t="shared" si="71"/>
        <v>585.36</v>
      </c>
      <c r="Q233" s="329">
        <f t="shared" si="72"/>
        <v>5073.1200000000445</v>
      </c>
      <c r="R233" s="136">
        <f t="shared" si="73"/>
        <v>5658.4800000000441</v>
      </c>
      <c r="S233" s="136">
        <f t="shared" si="74"/>
        <v>195.11999999995624</v>
      </c>
    </row>
    <row r="234" spans="1:19">
      <c r="A234" s="142">
        <v>128144</v>
      </c>
      <c r="C234" s="130">
        <v>720</v>
      </c>
      <c r="D234" s="142" t="s">
        <v>212</v>
      </c>
      <c r="E234" s="141">
        <v>2015</v>
      </c>
      <c r="F234" s="141">
        <v>11</v>
      </c>
      <c r="G234" s="222">
        <v>0</v>
      </c>
      <c r="H234" s="141" t="s">
        <v>51</v>
      </c>
      <c r="I234" s="141">
        <v>5</v>
      </c>
      <c r="J234" s="141">
        <f t="shared" si="66"/>
        <v>2020</v>
      </c>
      <c r="K234" s="223">
        <f t="shared" si="67"/>
        <v>2020.9166666666667</v>
      </c>
      <c r="L234" s="136">
        <v>6126.77</v>
      </c>
      <c r="M234" s="136">
        <f t="shared" si="68"/>
        <v>6126.77</v>
      </c>
      <c r="N234" s="136">
        <f t="shared" si="69"/>
        <v>102.11283333333334</v>
      </c>
      <c r="O234" s="136">
        <f t="shared" si="70"/>
        <v>1225.354</v>
      </c>
      <c r="P234" s="329">
        <f t="shared" si="71"/>
        <v>0</v>
      </c>
      <c r="Q234" s="329">
        <f t="shared" si="72"/>
        <v>6126.77</v>
      </c>
      <c r="R234" s="136">
        <f t="shared" si="73"/>
        <v>6126.77</v>
      </c>
      <c r="S234" s="136">
        <f t="shared" si="74"/>
        <v>0</v>
      </c>
    </row>
    <row r="235" spans="1:19">
      <c r="A235" s="142">
        <v>132477</v>
      </c>
      <c r="C235" s="130">
        <v>1800</v>
      </c>
      <c r="D235" s="142" t="s">
        <v>212</v>
      </c>
      <c r="E235" s="141">
        <v>2016</v>
      </c>
      <c r="F235" s="141">
        <v>4</v>
      </c>
      <c r="G235" s="222">
        <v>0</v>
      </c>
      <c r="H235" s="141" t="s">
        <v>51</v>
      </c>
      <c r="I235" s="141">
        <v>5</v>
      </c>
      <c r="J235" s="141">
        <f t="shared" si="66"/>
        <v>2021</v>
      </c>
      <c r="K235" s="223">
        <f t="shared" si="67"/>
        <v>2021.3333333333333</v>
      </c>
      <c r="L235" s="136">
        <v>15181</v>
      </c>
      <c r="M235" s="136">
        <f t="shared" si="68"/>
        <v>15181</v>
      </c>
      <c r="N235" s="136">
        <f t="shared" si="69"/>
        <v>253.01666666666665</v>
      </c>
      <c r="O235" s="136">
        <f t="shared" si="70"/>
        <v>3036.2</v>
      </c>
      <c r="P235" s="329">
        <f t="shared" si="71"/>
        <v>0</v>
      </c>
      <c r="Q235" s="329">
        <f t="shared" si="72"/>
        <v>15181</v>
      </c>
      <c r="R235" s="136">
        <f t="shared" si="73"/>
        <v>15181</v>
      </c>
      <c r="S235" s="136">
        <f t="shared" si="74"/>
        <v>0</v>
      </c>
    </row>
    <row r="236" spans="1:19">
      <c r="A236" s="142">
        <v>204803</v>
      </c>
      <c r="C236" s="130">
        <v>850</v>
      </c>
      <c r="D236" s="142" t="s">
        <v>427</v>
      </c>
      <c r="E236" s="141">
        <v>2018</v>
      </c>
      <c r="F236" s="141">
        <v>8</v>
      </c>
      <c r="G236" s="222">
        <v>0</v>
      </c>
      <c r="H236" s="141" t="s">
        <v>51</v>
      </c>
      <c r="I236" s="141">
        <v>5</v>
      </c>
      <c r="J236" s="141">
        <f t="shared" si="66"/>
        <v>2023</v>
      </c>
      <c r="K236" s="223">
        <f t="shared" si="67"/>
        <v>2023.6666666666667</v>
      </c>
      <c r="L236" s="136">
        <v>7590.12</v>
      </c>
      <c r="M236" s="136">
        <f t="shared" si="68"/>
        <v>7590.12</v>
      </c>
      <c r="N236" s="136">
        <f t="shared" si="69"/>
        <v>126.502</v>
      </c>
      <c r="O236" s="136">
        <f t="shared" si="70"/>
        <v>1518.0239999999999</v>
      </c>
      <c r="P236" s="490">
        <f t="shared" si="71"/>
        <v>1518.0239999999999</v>
      </c>
      <c r="Q236" s="490">
        <f t="shared" si="72"/>
        <v>6072.0959999999995</v>
      </c>
      <c r="R236" s="136">
        <f t="shared" si="73"/>
        <v>7590.119999999999</v>
      </c>
      <c r="S236" s="136">
        <f t="shared" si="74"/>
        <v>0</v>
      </c>
    </row>
    <row r="237" spans="1:19">
      <c r="A237" s="142">
        <v>234065</v>
      </c>
      <c r="C237" s="130">
        <v>500</v>
      </c>
      <c r="D237" s="142" t="s">
        <v>548</v>
      </c>
      <c r="E237" s="141">
        <v>2020</v>
      </c>
      <c r="F237" s="141">
        <v>5</v>
      </c>
      <c r="G237" s="222">
        <v>0</v>
      </c>
      <c r="H237" s="141" t="s">
        <v>51</v>
      </c>
      <c r="I237" s="141">
        <v>5</v>
      </c>
      <c r="J237" s="141">
        <f t="shared" si="66"/>
        <v>2025</v>
      </c>
      <c r="K237" s="223">
        <f t="shared" si="67"/>
        <v>2025.4166666666667</v>
      </c>
      <c r="L237" s="136">
        <v>4868.8</v>
      </c>
      <c r="M237" s="136">
        <f t="shared" si="68"/>
        <v>4868.8</v>
      </c>
      <c r="N237" s="136">
        <f t="shared" si="69"/>
        <v>81.146666666666661</v>
      </c>
      <c r="O237" s="136">
        <f t="shared" si="70"/>
        <v>973.76</v>
      </c>
      <c r="P237" s="329">
        <f t="shared" si="71"/>
        <v>973.76</v>
      </c>
      <c r="Q237" s="329">
        <f t="shared" si="72"/>
        <v>2190.9600000000005</v>
      </c>
      <c r="R237" s="136">
        <f t="shared" si="73"/>
        <v>3164.7200000000003</v>
      </c>
      <c r="S237" s="136">
        <f t="shared" si="74"/>
        <v>1704.08</v>
      </c>
    </row>
    <row r="238" spans="1:19">
      <c r="A238" s="142">
        <v>243433</v>
      </c>
      <c r="C238" s="130">
        <v>480</v>
      </c>
      <c r="D238" s="142" t="s">
        <v>427</v>
      </c>
      <c r="E238" s="141">
        <v>2020</v>
      </c>
      <c r="F238" s="141">
        <v>9</v>
      </c>
      <c r="G238" s="222">
        <v>0</v>
      </c>
      <c r="H238" s="141" t="s">
        <v>51</v>
      </c>
      <c r="I238" s="141">
        <v>5</v>
      </c>
      <c r="J238" s="141">
        <f t="shared" si="66"/>
        <v>2025</v>
      </c>
      <c r="K238" s="223">
        <f t="shared" si="67"/>
        <v>2025.75</v>
      </c>
      <c r="L238" s="136">
        <v>4961.28</v>
      </c>
      <c r="M238" s="136">
        <f t="shared" si="68"/>
        <v>4961.28</v>
      </c>
      <c r="N238" s="136">
        <f t="shared" si="69"/>
        <v>82.688000000000002</v>
      </c>
      <c r="O238" s="136">
        <f t="shared" si="70"/>
        <v>992.25600000000009</v>
      </c>
      <c r="P238" s="329">
        <f t="shared" si="71"/>
        <v>992.25600000000009</v>
      </c>
      <c r="Q238" s="329">
        <f t="shared" si="72"/>
        <v>1901.8240000000746</v>
      </c>
      <c r="R238" s="136">
        <f t="shared" si="73"/>
        <v>2894.0800000000745</v>
      </c>
      <c r="S238" s="136">
        <f t="shared" si="74"/>
        <v>2067.1999999999252</v>
      </c>
    </row>
    <row r="239" spans="1:19">
      <c r="A239" s="142"/>
      <c r="C239" s="141"/>
      <c r="D239" s="142"/>
      <c r="E239" s="141"/>
      <c r="F239" s="141"/>
      <c r="G239" s="222"/>
      <c r="H239" s="141"/>
      <c r="L239" s="123"/>
      <c r="M239" s="123"/>
      <c r="N239" s="123"/>
      <c r="O239" s="123"/>
      <c r="P239" s="123"/>
      <c r="Q239" s="123"/>
      <c r="R239" s="123"/>
      <c r="S239" s="123"/>
    </row>
    <row r="240" spans="1:19">
      <c r="A240" s="284"/>
      <c r="B240" s="245"/>
      <c r="C240" s="245"/>
      <c r="D240" s="246" t="s">
        <v>508</v>
      </c>
      <c r="E240" s="227"/>
      <c r="F240" s="227"/>
      <c r="G240" s="228"/>
      <c r="H240" s="247"/>
      <c r="I240" s="227"/>
      <c r="J240" s="227"/>
      <c r="K240" s="227"/>
      <c r="L240" s="167">
        <f t="shared" ref="L240:S240" si="75">SUM(L232:L239)</f>
        <v>51511.18</v>
      </c>
      <c r="M240" s="167">
        <f t="shared" si="75"/>
        <v>51511.18</v>
      </c>
      <c r="N240" s="167">
        <f t="shared" si="75"/>
        <v>751.99291666666659</v>
      </c>
      <c r="O240" s="167">
        <f t="shared" si="75"/>
        <v>9023.9149999999991</v>
      </c>
      <c r="P240" s="167">
        <f t="shared" si="75"/>
        <v>4069.4000000000005</v>
      </c>
      <c r="Q240" s="167">
        <f t="shared" si="75"/>
        <v>43475.380000000114</v>
      </c>
      <c r="R240" s="167">
        <f t="shared" si="75"/>
        <v>47544.780000000115</v>
      </c>
      <c r="S240" s="167">
        <f t="shared" si="75"/>
        <v>3966.3999999998814</v>
      </c>
    </row>
    <row r="241" spans="1:19">
      <c r="A241" s="131"/>
      <c r="B241" s="165"/>
      <c r="C241" s="165"/>
      <c r="D241" s="165"/>
      <c r="E241" s="127"/>
      <c r="F241" s="127"/>
      <c r="G241" s="166"/>
      <c r="H241" s="141"/>
      <c r="I241" s="127"/>
      <c r="J241" s="127"/>
      <c r="K241" s="127"/>
      <c r="L241" s="172"/>
      <c r="M241" s="172"/>
      <c r="N241" s="172"/>
      <c r="O241" s="172"/>
      <c r="P241" s="172"/>
      <c r="Q241" s="172"/>
      <c r="R241" s="172"/>
      <c r="S241" s="172"/>
    </row>
    <row r="242" spans="1:19">
      <c r="A242" s="131"/>
      <c r="B242" s="165"/>
      <c r="C242" s="165"/>
      <c r="D242" s="226" t="s">
        <v>509</v>
      </c>
      <c r="E242" s="127"/>
      <c r="F242" s="127"/>
      <c r="G242" s="166"/>
      <c r="H242" s="141"/>
      <c r="I242" s="127"/>
      <c r="J242" s="127"/>
      <c r="K242" s="127"/>
      <c r="L242" s="172"/>
      <c r="M242" s="172"/>
      <c r="N242" s="172"/>
      <c r="O242" s="172"/>
      <c r="P242" s="172"/>
      <c r="Q242" s="172"/>
      <c r="R242" s="172"/>
      <c r="S242" s="172"/>
    </row>
    <row r="243" spans="1:19">
      <c r="A243" s="142">
        <v>179887</v>
      </c>
      <c r="C243" s="130">
        <v>624</v>
      </c>
      <c r="D243" s="142" t="s">
        <v>357</v>
      </c>
      <c r="E243" s="141">
        <v>2017</v>
      </c>
      <c r="F243" s="141">
        <v>4</v>
      </c>
      <c r="G243" s="222">
        <v>0</v>
      </c>
      <c r="H243" s="141" t="s">
        <v>51</v>
      </c>
      <c r="I243" s="141">
        <v>7</v>
      </c>
      <c r="J243" s="141">
        <f t="shared" ref="J243:J255" si="76">E243+I243</f>
        <v>2024</v>
      </c>
      <c r="K243" s="223">
        <f t="shared" ref="K243:K255" si="77">+J243+(F243/12)</f>
        <v>2024.3333333333333</v>
      </c>
      <c r="L243" s="241">
        <v>32539.06</v>
      </c>
      <c r="M243" s="136">
        <f t="shared" ref="M243:M255" si="78">L243-L243*G243</f>
        <v>32539.06</v>
      </c>
      <c r="N243" s="136">
        <f t="shared" ref="N243:N255" si="79">M243/I243/12</f>
        <v>387.3697619047619</v>
      </c>
      <c r="O243" s="136">
        <f t="shared" ref="O243:O255" si="80">N243*12</f>
        <v>4648.437142857143</v>
      </c>
      <c r="P243" s="329">
        <f t="shared" ref="P243:P255" si="81">+IF(K243&lt;=$N$6,0,O243)</f>
        <v>4648.437142857143</v>
      </c>
      <c r="Q243" s="329">
        <f t="shared" ref="Q243:Q255" si="82">+IF($K243&lt;=$N$7,$L243,IF(($E243+($F243/12))&gt;=$N$7,0,((($M243-((($K243-$N$7)*12)*$N243))))))</f>
        <v>24791.664761905467</v>
      </c>
      <c r="R243" s="136">
        <f t="shared" ref="R243:R255" si="83">+IF(K243&lt;=$N$6,M243,IF(P243=0,Q243,Q243+P243))</f>
        <v>29440.101904762611</v>
      </c>
      <c r="S243" s="136">
        <f t="shared" ref="S243:S255" si="84">+L243-R243</f>
        <v>3098.9580952373908</v>
      </c>
    </row>
    <row r="244" spans="1:19">
      <c r="A244" s="142">
        <v>179932</v>
      </c>
      <c r="C244" s="130">
        <v>624</v>
      </c>
      <c r="D244" s="142" t="s">
        <v>357</v>
      </c>
      <c r="E244" s="141">
        <v>2017</v>
      </c>
      <c r="F244" s="141">
        <v>4</v>
      </c>
      <c r="G244" s="222">
        <v>0</v>
      </c>
      <c r="H244" s="141" t="s">
        <v>51</v>
      </c>
      <c r="I244" s="141">
        <v>7</v>
      </c>
      <c r="J244" s="141">
        <f t="shared" si="76"/>
        <v>2024</v>
      </c>
      <c r="K244" s="223">
        <f t="shared" si="77"/>
        <v>2024.3333333333333</v>
      </c>
      <c r="L244" s="241">
        <v>32539.06</v>
      </c>
      <c r="M244" s="136">
        <f t="shared" si="78"/>
        <v>32539.06</v>
      </c>
      <c r="N244" s="136">
        <f t="shared" si="79"/>
        <v>387.3697619047619</v>
      </c>
      <c r="O244" s="136">
        <f t="shared" si="80"/>
        <v>4648.437142857143</v>
      </c>
      <c r="P244" s="329">
        <f t="shared" si="81"/>
        <v>4648.437142857143</v>
      </c>
      <c r="Q244" s="329">
        <f t="shared" si="82"/>
        <v>24791.664761905467</v>
      </c>
      <c r="R244" s="136">
        <f t="shared" si="83"/>
        <v>29440.101904762611</v>
      </c>
      <c r="S244" s="136">
        <f t="shared" si="84"/>
        <v>3098.9580952373908</v>
      </c>
    </row>
    <row r="245" spans="1:19">
      <c r="A245" s="142">
        <v>179933</v>
      </c>
      <c r="C245" s="130">
        <v>624</v>
      </c>
      <c r="D245" s="142" t="s">
        <v>357</v>
      </c>
      <c r="E245" s="141">
        <v>2017</v>
      </c>
      <c r="F245" s="141">
        <v>4</v>
      </c>
      <c r="G245" s="222">
        <v>0</v>
      </c>
      <c r="H245" s="141" t="s">
        <v>51</v>
      </c>
      <c r="I245" s="141">
        <v>7</v>
      </c>
      <c r="J245" s="141">
        <f t="shared" si="76"/>
        <v>2024</v>
      </c>
      <c r="K245" s="223">
        <f t="shared" si="77"/>
        <v>2024.3333333333333</v>
      </c>
      <c r="L245" s="241">
        <v>32539.06</v>
      </c>
      <c r="M245" s="136">
        <f t="shared" si="78"/>
        <v>32539.06</v>
      </c>
      <c r="N245" s="136">
        <f t="shared" si="79"/>
        <v>387.3697619047619</v>
      </c>
      <c r="O245" s="136">
        <f t="shared" si="80"/>
        <v>4648.437142857143</v>
      </c>
      <c r="P245" s="329">
        <f t="shared" si="81"/>
        <v>4648.437142857143</v>
      </c>
      <c r="Q245" s="329">
        <f t="shared" si="82"/>
        <v>24791.664761905467</v>
      </c>
      <c r="R245" s="136">
        <f t="shared" si="83"/>
        <v>29440.101904762611</v>
      </c>
      <c r="S245" s="136">
        <f t="shared" si="84"/>
        <v>3098.9580952373908</v>
      </c>
    </row>
    <row r="246" spans="1:19">
      <c r="A246" s="142">
        <v>180264</v>
      </c>
      <c r="C246" s="130">
        <v>380</v>
      </c>
      <c r="D246" s="142" t="s">
        <v>358</v>
      </c>
      <c r="E246" s="141">
        <v>2017</v>
      </c>
      <c r="F246" s="141">
        <v>4</v>
      </c>
      <c r="G246" s="222">
        <v>0</v>
      </c>
      <c r="H246" s="141" t="s">
        <v>51</v>
      </c>
      <c r="I246" s="141">
        <v>7</v>
      </c>
      <c r="J246" s="141">
        <f t="shared" si="76"/>
        <v>2024</v>
      </c>
      <c r="K246" s="223">
        <f t="shared" si="77"/>
        <v>2024.3333333333333</v>
      </c>
      <c r="L246" s="241">
        <v>20835.12</v>
      </c>
      <c r="M246" s="136">
        <f t="shared" si="78"/>
        <v>20835.12</v>
      </c>
      <c r="N246" s="136">
        <f t="shared" si="79"/>
        <v>248.03714285714284</v>
      </c>
      <c r="O246" s="136">
        <f t="shared" si="80"/>
        <v>2976.4457142857141</v>
      </c>
      <c r="P246" s="329">
        <f t="shared" si="81"/>
        <v>2976.4457142857141</v>
      </c>
      <c r="Q246" s="329">
        <f t="shared" si="82"/>
        <v>15874.377142857593</v>
      </c>
      <c r="R246" s="136">
        <f t="shared" si="83"/>
        <v>18850.822857143306</v>
      </c>
      <c r="S246" s="136">
        <f t="shared" si="84"/>
        <v>1984.2971428566925</v>
      </c>
    </row>
    <row r="247" spans="1:19">
      <c r="A247" s="142">
        <v>181057</v>
      </c>
      <c r="C247" s="130">
        <v>624</v>
      </c>
      <c r="D247" s="142" t="s">
        <v>357</v>
      </c>
      <c r="E247" s="141">
        <v>2017</v>
      </c>
      <c r="F247" s="141">
        <v>4</v>
      </c>
      <c r="G247" s="222">
        <v>0</v>
      </c>
      <c r="H247" s="141" t="s">
        <v>51</v>
      </c>
      <c r="I247" s="141">
        <v>7</v>
      </c>
      <c r="J247" s="141">
        <f t="shared" si="76"/>
        <v>2024</v>
      </c>
      <c r="K247" s="223">
        <f t="shared" si="77"/>
        <v>2024.3333333333333</v>
      </c>
      <c r="L247" s="241">
        <v>32539.06</v>
      </c>
      <c r="M247" s="136">
        <f t="shared" si="78"/>
        <v>32539.06</v>
      </c>
      <c r="N247" s="136">
        <f t="shared" si="79"/>
        <v>387.3697619047619</v>
      </c>
      <c r="O247" s="136">
        <f t="shared" si="80"/>
        <v>4648.437142857143</v>
      </c>
      <c r="P247" s="329">
        <f t="shared" si="81"/>
        <v>4648.437142857143</v>
      </c>
      <c r="Q247" s="329">
        <f t="shared" si="82"/>
        <v>24791.664761905467</v>
      </c>
      <c r="R247" s="136">
        <f t="shared" si="83"/>
        <v>29440.101904762611</v>
      </c>
      <c r="S247" s="136">
        <f t="shared" si="84"/>
        <v>3098.9580952373908</v>
      </c>
    </row>
    <row r="248" spans="1:19">
      <c r="A248" s="142">
        <v>183526</v>
      </c>
      <c r="C248" s="130">
        <v>624</v>
      </c>
      <c r="D248" s="142" t="s">
        <v>359</v>
      </c>
      <c r="E248" s="141">
        <v>2017</v>
      </c>
      <c r="F248" s="141">
        <v>6</v>
      </c>
      <c r="G248" s="222">
        <v>0</v>
      </c>
      <c r="H248" s="141" t="s">
        <v>51</v>
      </c>
      <c r="I248" s="141">
        <v>7</v>
      </c>
      <c r="J248" s="141">
        <f t="shared" si="76"/>
        <v>2024</v>
      </c>
      <c r="K248" s="223">
        <f t="shared" si="77"/>
        <v>2024.5</v>
      </c>
      <c r="L248" s="241">
        <v>32732.59</v>
      </c>
      <c r="M248" s="136">
        <f t="shared" si="78"/>
        <v>32732.59</v>
      </c>
      <c r="N248" s="136">
        <f t="shared" si="79"/>
        <v>389.67369047619053</v>
      </c>
      <c r="O248" s="136">
        <f t="shared" si="80"/>
        <v>4676.0842857142861</v>
      </c>
      <c r="P248" s="329">
        <f t="shared" si="81"/>
        <v>4676.0842857142861</v>
      </c>
      <c r="Q248" s="329">
        <f t="shared" si="82"/>
        <v>24159.768809524161</v>
      </c>
      <c r="R248" s="136">
        <f t="shared" si="83"/>
        <v>28835.853095238446</v>
      </c>
      <c r="S248" s="136">
        <f t="shared" si="84"/>
        <v>3896.7369047615539</v>
      </c>
    </row>
    <row r="249" spans="1:19">
      <c r="A249" s="142">
        <v>183527</v>
      </c>
      <c r="C249" s="130">
        <v>624</v>
      </c>
      <c r="D249" s="142" t="s">
        <v>359</v>
      </c>
      <c r="E249" s="141">
        <v>2017</v>
      </c>
      <c r="F249" s="141">
        <v>6</v>
      </c>
      <c r="G249" s="222">
        <v>0</v>
      </c>
      <c r="H249" s="141" t="s">
        <v>51</v>
      </c>
      <c r="I249" s="141">
        <v>7</v>
      </c>
      <c r="J249" s="141">
        <f t="shared" si="76"/>
        <v>2024</v>
      </c>
      <c r="K249" s="223">
        <f t="shared" si="77"/>
        <v>2024.5</v>
      </c>
      <c r="L249" s="241">
        <v>32732.59</v>
      </c>
      <c r="M249" s="136">
        <f t="shared" si="78"/>
        <v>32732.59</v>
      </c>
      <c r="N249" s="136">
        <f t="shared" si="79"/>
        <v>389.67369047619053</v>
      </c>
      <c r="O249" s="136">
        <f t="shared" si="80"/>
        <v>4676.0842857142861</v>
      </c>
      <c r="P249" s="329">
        <f t="shared" si="81"/>
        <v>4676.0842857142861</v>
      </c>
      <c r="Q249" s="329">
        <f t="shared" si="82"/>
        <v>24159.768809524161</v>
      </c>
      <c r="R249" s="136">
        <f t="shared" si="83"/>
        <v>28835.853095238446</v>
      </c>
      <c r="S249" s="136">
        <f t="shared" si="84"/>
        <v>3896.7369047615539</v>
      </c>
    </row>
    <row r="250" spans="1:19">
      <c r="A250" s="142">
        <v>231985</v>
      </c>
      <c r="C250" s="141">
        <v>702</v>
      </c>
      <c r="D250" s="142" t="s">
        <v>547</v>
      </c>
      <c r="E250" s="141">
        <v>2020</v>
      </c>
      <c r="F250" s="141">
        <v>3</v>
      </c>
      <c r="G250" s="222">
        <v>0</v>
      </c>
      <c r="H250" s="141" t="s">
        <v>51</v>
      </c>
      <c r="I250" s="141">
        <v>7</v>
      </c>
      <c r="J250" s="141">
        <f t="shared" si="76"/>
        <v>2027</v>
      </c>
      <c r="K250" s="223">
        <f t="shared" si="77"/>
        <v>2027.25</v>
      </c>
      <c r="L250" s="136">
        <v>32244.7</v>
      </c>
      <c r="M250" s="136">
        <f t="shared" si="78"/>
        <v>32244.7</v>
      </c>
      <c r="N250" s="136">
        <f t="shared" si="79"/>
        <v>383.86547619047616</v>
      </c>
      <c r="O250" s="136">
        <f t="shared" si="80"/>
        <v>4606.3857142857141</v>
      </c>
      <c r="P250" s="329">
        <f t="shared" si="81"/>
        <v>4606.3857142857141</v>
      </c>
      <c r="Q250" s="329">
        <f t="shared" si="82"/>
        <v>11132.098809524163</v>
      </c>
      <c r="R250" s="136">
        <f t="shared" si="83"/>
        <v>15738.484523809877</v>
      </c>
      <c r="S250" s="136">
        <f t="shared" si="84"/>
        <v>16506.215476190126</v>
      </c>
    </row>
    <row r="251" spans="1:19">
      <c r="A251" s="142">
        <v>233299</v>
      </c>
      <c r="C251" s="141">
        <v>702</v>
      </c>
      <c r="D251" s="142" t="s">
        <v>547</v>
      </c>
      <c r="E251" s="141">
        <v>2020</v>
      </c>
      <c r="F251" s="141">
        <v>3</v>
      </c>
      <c r="G251" s="222">
        <v>0</v>
      </c>
      <c r="H251" s="141" t="s">
        <v>51</v>
      </c>
      <c r="I251" s="141">
        <v>7</v>
      </c>
      <c r="J251" s="141">
        <f t="shared" si="76"/>
        <v>2027</v>
      </c>
      <c r="K251" s="223">
        <f t="shared" si="77"/>
        <v>2027.25</v>
      </c>
      <c r="L251" s="136">
        <v>32244.68</v>
      </c>
      <c r="M251" s="136">
        <f t="shared" si="78"/>
        <v>32244.68</v>
      </c>
      <c r="N251" s="136">
        <f t="shared" si="79"/>
        <v>383.86523809523811</v>
      </c>
      <c r="O251" s="136">
        <f t="shared" si="80"/>
        <v>4606.3828571428576</v>
      </c>
      <c r="P251" s="329">
        <f t="shared" si="81"/>
        <v>4606.3828571428576</v>
      </c>
      <c r="Q251" s="329">
        <f t="shared" si="82"/>
        <v>11132.091904762252</v>
      </c>
      <c r="R251" s="136">
        <f t="shared" si="83"/>
        <v>15738.474761905109</v>
      </c>
      <c r="S251" s="136">
        <f t="shared" si="84"/>
        <v>16506.205238094892</v>
      </c>
    </row>
    <row r="252" spans="1:19">
      <c r="A252" s="142">
        <v>233300</v>
      </c>
      <c r="C252" s="141">
        <v>2536</v>
      </c>
      <c r="D252" s="142" t="s">
        <v>547</v>
      </c>
      <c r="E252" s="141">
        <v>2020</v>
      </c>
      <c r="F252" s="141">
        <v>3</v>
      </c>
      <c r="G252" s="222">
        <v>0</v>
      </c>
      <c r="H252" s="141" t="s">
        <v>51</v>
      </c>
      <c r="I252" s="141">
        <v>7</v>
      </c>
      <c r="J252" s="141">
        <f t="shared" si="76"/>
        <v>2027</v>
      </c>
      <c r="K252" s="223">
        <f t="shared" si="77"/>
        <v>2027.25</v>
      </c>
      <c r="L252" s="136">
        <v>116485.09</v>
      </c>
      <c r="M252" s="136">
        <f t="shared" si="78"/>
        <v>116485.09</v>
      </c>
      <c r="N252" s="136">
        <f t="shared" si="79"/>
        <v>1386.7272619047619</v>
      </c>
      <c r="O252" s="136">
        <f t="shared" si="80"/>
        <v>16640.727142857144</v>
      </c>
      <c r="P252" s="329">
        <f t="shared" si="81"/>
        <v>16640.727142857144</v>
      </c>
      <c r="Q252" s="329">
        <f t="shared" si="82"/>
        <v>40215.090595239351</v>
      </c>
      <c r="R252" s="136">
        <f t="shared" si="83"/>
        <v>56855.817738096492</v>
      </c>
      <c r="S252" s="136">
        <f t="shared" si="84"/>
        <v>59629.272261903505</v>
      </c>
    </row>
    <row r="253" spans="1:19">
      <c r="A253" s="142">
        <v>234185</v>
      </c>
      <c r="C253" s="141">
        <v>2965</v>
      </c>
      <c r="D253" s="142" t="s">
        <v>547</v>
      </c>
      <c r="E253" s="141">
        <v>2020</v>
      </c>
      <c r="F253" s="141">
        <v>3</v>
      </c>
      <c r="G253" s="222">
        <v>0</v>
      </c>
      <c r="H253" s="141" t="s">
        <v>51</v>
      </c>
      <c r="I253" s="141">
        <v>7</v>
      </c>
      <c r="J253" s="141">
        <f t="shared" si="76"/>
        <v>2027</v>
      </c>
      <c r="K253" s="223">
        <f t="shared" si="77"/>
        <v>2027.25</v>
      </c>
      <c r="L253" s="136">
        <v>10915</v>
      </c>
      <c r="M253" s="136">
        <f t="shared" si="78"/>
        <v>10915</v>
      </c>
      <c r="N253" s="136">
        <f t="shared" si="79"/>
        <v>129.94047619047618</v>
      </c>
      <c r="O253" s="136">
        <f t="shared" si="80"/>
        <v>1559.2857142857142</v>
      </c>
      <c r="P253" s="329">
        <f t="shared" si="81"/>
        <v>1559.2857142857142</v>
      </c>
      <c r="Q253" s="329">
        <f t="shared" si="82"/>
        <v>3768.2738095239283</v>
      </c>
      <c r="R253" s="136">
        <f t="shared" si="83"/>
        <v>5327.559523809643</v>
      </c>
      <c r="S253" s="136">
        <f t="shared" si="84"/>
        <v>5587.440476190357</v>
      </c>
    </row>
    <row r="254" spans="1:19">
      <c r="A254" s="142">
        <v>234186</v>
      </c>
      <c r="C254" s="141">
        <v>2530</v>
      </c>
      <c r="D254" s="142" t="s">
        <v>547</v>
      </c>
      <c r="E254" s="141">
        <v>2020</v>
      </c>
      <c r="F254" s="141">
        <v>3</v>
      </c>
      <c r="G254" s="222">
        <v>0</v>
      </c>
      <c r="H254" s="141" t="s">
        <v>51</v>
      </c>
      <c r="I254" s="141">
        <v>7</v>
      </c>
      <c r="J254" s="141">
        <f t="shared" si="76"/>
        <v>2027</v>
      </c>
      <c r="K254" s="223">
        <f t="shared" si="77"/>
        <v>2027.25</v>
      </c>
      <c r="L254" s="136">
        <v>9393.77</v>
      </c>
      <c r="M254" s="136">
        <f t="shared" si="78"/>
        <v>9393.77</v>
      </c>
      <c r="N254" s="136">
        <f t="shared" si="79"/>
        <v>111.83059523809526</v>
      </c>
      <c r="O254" s="136">
        <f t="shared" si="80"/>
        <v>1341.967142857143</v>
      </c>
      <c r="P254" s="329">
        <f t="shared" si="81"/>
        <v>1341.967142857143</v>
      </c>
      <c r="Q254" s="329">
        <f t="shared" si="82"/>
        <v>3243.0872619048632</v>
      </c>
      <c r="R254" s="136">
        <f t="shared" si="83"/>
        <v>4585.054404762006</v>
      </c>
      <c r="S254" s="136">
        <f t="shared" si="84"/>
        <v>4808.7155952379944</v>
      </c>
    </row>
    <row r="255" spans="1:19">
      <c r="A255" s="142">
        <v>236848</v>
      </c>
      <c r="C255" s="141">
        <v>351</v>
      </c>
      <c r="D255" s="142" t="s">
        <v>547</v>
      </c>
      <c r="E255" s="141">
        <v>2020</v>
      </c>
      <c r="F255" s="141">
        <v>3</v>
      </c>
      <c r="G255" s="222">
        <v>0</v>
      </c>
      <c r="H255" s="141" t="s">
        <v>51</v>
      </c>
      <c r="I255" s="141">
        <v>7</v>
      </c>
      <c r="J255" s="141">
        <f t="shared" si="76"/>
        <v>2027</v>
      </c>
      <c r="K255" s="223">
        <f t="shared" si="77"/>
        <v>2027.25</v>
      </c>
      <c r="L255" s="136">
        <v>14947.1</v>
      </c>
      <c r="M255" s="136">
        <f t="shared" si="78"/>
        <v>14947.1</v>
      </c>
      <c r="N255" s="136">
        <f t="shared" si="79"/>
        <v>177.94166666666669</v>
      </c>
      <c r="O255" s="136">
        <f t="shared" si="80"/>
        <v>2135.3000000000002</v>
      </c>
      <c r="P255" s="329">
        <f t="shared" si="81"/>
        <v>2135.3000000000002</v>
      </c>
      <c r="Q255" s="329">
        <f t="shared" si="82"/>
        <v>5160.3083333334944</v>
      </c>
      <c r="R255" s="136">
        <f t="shared" si="83"/>
        <v>7295.6083333334946</v>
      </c>
      <c r="S255" s="136">
        <f t="shared" si="84"/>
        <v>7651.4916666665058</v>
      </c>
    </row>
    <row r="256" spans="1:19">
      <c r="A256" s="131"/>
      <c r="B256" s="165"/>
      <c r="C256" s="165"/>
      <c r="D256" s="165"/>
      <c r="E256" s="127"/>
      <c r="F256" s="127"/>
      <c r="G256" s="166"/>
      <c r="H256" s="141"/>
      <c r="I256" s="127"/>
      <c r="J256" s="127"/>
      <c r="K256" s="127"/>
      <c r="L256" s="172"/>
      <c r="M256" s="172"/>
      <c r="N256" s="172"/>
      <c r="O256" s="172"/>
      <c r="P256" s="172"/>
      <c r="Q256" s="172"/>
      <c r="R256" s="172"/>
      <c r="S256" s="172"/>
    </row>
    <row r="257" spans="1:19">
      <c r="A257" s="284"/>
      <c r="B257" s="245"/>
      <c r="C257" s="245"/>
      <c r="D257" s="246" t="s">
        <v>511</v>
      </c>
      <c r="E257" s="227"/>
      <c r="F257" s="227"/>
      <c r="G257" s="228"/>
      <c r="H257" s="247"/>
      <c r="I257" s="227"/>
      <c r="J257" s="227"/>
      <c r="K257" s="227"/>
      <c r="L257" s="167">
        <f t="shared" ref="L257:S257" si="85">SUM(L242:L256)</f>
        <v>432686.88</v>
      </c>
      <c r="M257" s="167">
        <f t="shared" si="85"/>
        <v>432686.88</v>
      </c>
      <c r="N257" s="167">
        <f t="shared" si="85"/>
        <v>5151.0342857142859</v>
      </c>
      <c r="O257" s="167">
        <f t="shared" si="85"/>
        <v>61812.411428571439</v>
      </c>
      <c r="P257" s="167">
        <f t="shared" si="85"/>
        <v>61812.411428571439</v>
      </c>
      <c r="Q257" s="167">
        <f t="shared" si="85"/>
        <v>238011.52452381587</v>
      </c>
      <c r="R257" s="167">
        <f t="shared" si="85"/>
        <v>299823.93595238723</v>
      </c>
      <c r="S257" s="167">
        <f t="shared" si="85"/>
        <v>132862.94404761275</v>
      </c>
    </row>
    <row r="258" spans="1:19">
      <c r="A258" s="131"/>
      <c r="B258" s="165"/>
      <c r="C258" s="165"/>
      <c r="D258" s="165"/>
      <c r="E258" s="127"/>
      <c r="F258" s="127"/>
      <c r="G258" s="166"/>
      <c r="H258" s="141"/>
      <c r="I258" s="127"/>
      <c r="J258" s="127"/>
      <c r="K258" s="127"/>
      <c r="L258" s="172"/>
      <c r="M258" s="172"/>
      <c r="N258" s="172"/>
      <c r="O258" s="172"/>
      <c r="P258" s="172"/>
      <c r="Q258" s="172"/>
      <c r="R258" s="172"/>
      <c r="S258" s="172"/>
    </row>
    <row r="259" spans="1:19">
      <c r="A259" s="142"/>
      <c r="D259" s="134" t="s">
        <v>490</v>
      </c>
      <c r="E259" s="141"/>
      <c r="F259" s="141"/>
      <c r="G259" s="222"/>
      <c r="H259" s="141"/>
      <c r="K259" s="223"/>
      <c r="L259" s="123"/>
      <c r="M259" s="136"/>
      <c r="N259" s="136"/>
      <c r="O259" s="136"/>
      <c r="P259" s="136"/>
      <c r="Q259" s="136"/>
      <c r="R259" s="136"/>
      <c r="S259" s="136"/>
    </row>
    <row r="260" spans="1:19">
      <c r="A260" s="142">
        <v>224643</v>
      </c>
      <c r="B260" s="130" t="s">
        <v>53</v>
      </c>
      <c r="C260" s="130">
        <v>2</v>
      </c>
      <c r="D260" s="142" t="s">
        <v>491</v>
      </c>
      <c r="E260" s="141">
        <v>2019</v>
      </c>
      <c r="F260" s="141">
        <v>11</v>
      </c>
      <c r="G260" s="222">
        <v>0</v>
      </c>
      <c r="H260" s="141" t="s">
        <v>51</v>
      </c>
      <c r="I260" s="141">
        <v>12</v>
      </c>
      <c r="J260" s="141">
        <f>E260+I260</f>
        <v>2031</v>
      </c>
      <c r="K260" s="223">
        <f>+J260+(F260/12)</f>
        <v>2031.9166666666667</v>
      </c>
      <c r="L260" s="241">
        <v>20239.59</v>
      </c>
      <c r="M260" s="136">
        <f>L260-L260*G260</f>
        <v>20239.59</v>
      </c>
      <c r="N260" s="136">
        <f>M260/I260/12</f>
        <v>140.55270833333333</v>
      </c>
      <c r="O260" s="136">
        <f>N260*12</f>
        <v>1686.6324999999999</v>
      </c>
      <c r="P260" s="329">
        <f>+IF(K260&lt;=$N$6,0,O260)</f>
        <v>1686.6324999999999</v>
      </c>
      <c r="Q260" s="329">
        <f>+IF($K260&lt;=$N$7,$L260,IF(($E260+($F260/12))&gt;=$N$7,0,((($M260-((($K260-$N$7)*12)*$N260))))))</f>
        <v>4638.239375000001</v>
      </c>
      <c r="R260" s="136">
        <f>+IF(K260&lt;=$N$6,M260,IF(P260=0,Q260,Q260+P260))</f>
        <v>6324.8718750000007</v>
      </c>
      <c r="S260" s="136">
        <f>+L260-R260</f>
        <v>13914.718124999999</v>
      </c>
    </row>
    <row r="261" spans="1:19">
      <c r="A261" s="142">
        <v>215133</v>
      </c>
      <c r="C261" s="130">
        <v>980</v>
      </c>
      <c r="D261" s="142" t="s">
        <v>492</v>
      </c>
      <c r="E261" s="141">
        <v>2019</v>
      </c>
      <c r="F261" s="141">
        <v>5</v>
      </c>
      <c r="G261" s="222">
        <v>0</v>
      </c>
      <c r="H261" s="141" t="s">
        <v>51</v>
      </c>
      <c r="I261" s="141">
        <v>7</v>
      </c>
      <c r="J261" s="141">
        <f>E261+I261</f>
        <v>2026</v>
      </c>
      <c r="K261" s="223">
        <f>+J261+(F261/12)</f>
        <v>2026.4166666666667</v>
      </c>
      <c r="L261" s="241">
        <v>8772.23</v>
      </c>
      <c r="M261" s="136">
        <f>L261-L261*G261</f>
        <v>8772.23</v>
      </c>
      <c r="N261" s="136">
        <f>M261/I261/12</f>
        <v>104.43130952380953</v>
      </c>
      <c r="O261" s="136">
        <f>N261*12</f>
        <v>1253.1757142857143</v>
      </c>
      <c r="P261" s="329">
        <f>+IF(K261&lt;=$N$6,0,O261)</f>
        <v>1253.1757142857143</v>
      </c>
      <c r="Q261" s="329">
        <f>+IF($K261&lt;=$N$7,$L261,IF(($E261+($F261/12))&gt;=$N$7,0,((($M261-((($K261-$N$7)*12)*$N261))))))</f>
        <v>4072.8210714285706</v>
      </c>
      <c r="R261" s="136">
        <f>+IF(K261&lt;=$N$6,M261,IF(P261=0,Q261,Q261+P261))</f>
        <v>5325.9967857142847</v>
      </c>
      <c r="S261" s="136">
        <f>+L261-R261</f>
        <v>3446.2332142857149</v>
      </c>
    </row>
    <row r="262" spans="1:19">
      <c r="A262" s="131"/>
      <c r="B262" s="165"/>
      <c r="C262" s="165"/>
      <c r="D262" s="165"/>
      <c r="E262" s="127"/>
      <c r="F262" s="127"/>
      <c r="G262" s="166"/>
      <c r="H262" s="141"/>
      <c r="I262" s="127"/>
      <c r="J262" s="127"/>
      <c r="K262" s="127"/>
      <c r="L262" s="172"/>
      <c r="M262" s="172"/>
      <c r="N262" s="172"/>
      <c r="O262" s="172"/>
      <c r="P262" s="172"/>
      <c r="Q262" s="172"/>
      <c r="R262" s="172"/>
      <c r="S262" s="172"/>
    </row>
    <row r="263" spans="1:19">
      <c r="A263" s="284"/>
      <c r="B263" s="245"/>
      <c r="C263" s="245"/>
      <c r="D263" s="246" t="s">
        <v>493</v>
      </c>
      <c r="E263" s="227"/>
      <c r="F263" s="227"/>
      <c r="G263" s="228"/>
      <c r="H263" s="247"/>
      <c r="I263" s="227"/>
      <c r="J263" s="227"/>
      <c r="K263" s="227"/>
      <c r="L263" s="167">
        <f t="shared" ref="L263:S263" si="86">SUM(L260:L262)</f>
        <v>29011.82</v>
      </c>
      <c r="M263" s="167">
        <f t="shared" si="86"/>
        <v>29011.82</v>
      </c>
      <c r="N263" s="167">
        <f t="shared" si="86"/>
        <v>244.98401785714287</v>
      </c>
      <c r="O263" s="167">
        <f t="shared" si="86"/>
        <v>2939.8082142857143</v>
      </c>
      <c r="P263" s="167">
        <f t="shared" si="86"/>
        <v>2939.8082142857143</v>
      </c>
      <c r="Q263" s="167">
        <f t="shared" si="86"/>
        <v>8711.0604464285716</v>
      </c>
      <c r="R263" s="167">
        <f t="shared" si="86"/>
        <v>11650.868660714284</v>
      </c>
      <c r="S263" s="167">
        <f t="shared" si="86"/>
        <v>17360.951339285715</v>
      </c>
    </row>
    <row r="264" spans="1:19">
      <c r="A264" s="131"/>
      <c r="B264" s="165"/>
      <c r="C264" s="165"/>
      <c r="D264" s="165"/>
      <c r="E264" s="127"/>
      <c r="F264" s="127"/>
      <c r="G264" s="166"/>
      <c r="H264" s="141"/>
      <c r="I264" s="127"/>
      <c r="J264" s="127"/>
      <c r="K264" s="127"/>
      <c r="L264" s="172"/>
      <c r="M264" s="172"/>
      <c r="N264" s="172"/>
      <c r="O264" s="172"/>
      <c r="P264" s="172"/>
      <c r="Q264" s="172"/>
      <c r="R264" s="172"/>
      <c r="S264" s="172"/>
    </row>
    <row r="265" spans="1:19">
      <c r="A265" s="142"/>
      <c r="E265" s="141"/>
      <c r="F265" s="141"/>
      <c r="G265" s="222"/>
      <c r="H265" s="141"/>
      <c r="L265" s="170"/>
      <c r="M265" s="225"/>
      <c r="N265" s="225"/>
      <c r="O265" s="225"/>
      <c r="P265" s="225"/>
      <c r="Q265" s="225"/>
      <c r="R265" s="225"/>
      <c r="S265" s="225"/>
    </row>
    <row r="266" spans="1:19" s="165" customFormat="1" ht="12.75" thickBot="1">
      <c r="A266" s="286"/>
      <c r="B266" s="237"/>
      <c r="C266" s="237"/>
      <c r="D266" s="237" t="s">
        <v>512</v>
      </c>
      <c r="E266" s="238"/>
      <c r="F266" s="238"/>
      <c r="G266" s="239"/>
      <c r="H266" s="238"/>
      <c r="I266" s="238"/>
      <c r="J266" s="238"/>
      <c r="K266" s="238"/>
      <c r="L266" s="240">
        <f t="shared" ref="L266:S266" si="87">L240+L171+L229+L131+L263+L257</f>
        <v>3569013.6242105258</v>
      </c>
      <c r="M266" s="240">
        <f t="shared" si="87"/>
        <v>3569013.6242105258</v>
      </c>
      <c r="N266" s="240">
        <f t="shared" si="87"/>
        <v>37321.339291127304</v>
      </c>
      <c r="O266" s="240">
        <f t="shared" si="87"/>
        <v>447856.0714935275</v>
      </c>
      <c r="P266" s="240">
        <f t="shared" si="87"/>
        <v>234055.25230806388</v>
      </c>
      <c r="Q266" s="240">
        <f t="shared" si="87"/>
        <v>2598274.6783874477</v>
      </c>
      <c r="R266" s="240">
        <f t="shared" si="87"/>
        <v>2834843.8473383677</v>
      </c>
      <c r="S266" s="240">
        <f t="shared" si="87"/>
        <v>734169.7768721584</v>
      </c>
    </row>
    <row r="267" spans="1:19" s="165" customFormat="1">
      <c r="A267" s="131"/>
      <c r="H267" s="127"/>
      <c r="I267" s="127"/>
      <c r="J267" s="127"/>
      <c r="K267" s="127"/>
    </row>
    <row r="268" spans="1:19">
      <c r="A268" s="142"/>
      <c r="D268" s="142"/>
      <c r="H268" s="141"/>
    </row>
    <row r="269" spans="1:19">
      <c r="A269" s="142"/>
      <c r="D269" s="142"/>
      <c r="H269" s="141"/>
      <c r="M269" s="229"/>
    </row>
    <row r="270" spans="1:19">
      <c r="A270" s="142"/>
      <c r="D270" s="131"/>
      <c r="H270" s="141"/>
      <c r="L270" s="158"/>
    </row>
    <row r="271" spans="1:19">
      <c r="A271" s="142"/>
      <c r="H271" s="143"/>
      <c r="I271" s="143"/>
      <c r="L271" s="158"/>
    </row>
    <row r="272" spans="1:19">
      <c r="A272" s="142"/>
      <c r="H272" s="143"/>
      <c r="I272" s="143"/>
      <c r="L272" s="158"/>
    </row>
    <row r="273" spans="1:19">
      <c r="A273" s="142"/>
      <c r="H273" s="143"/>
      <c r="I273" s="143"/>
      <c r="L273" s="158"/>
    </row>
    <row r="274" spans="1:19">
      <c r="A274" s="142"/>
      <c r="H274" s="143"/>
      <c r="I274" s="143"/>
      <c r="L274" s="158"/>
    </row>
    <row r="275" spans="1:19" s="156" customFormat="1">
      <c r="A275" s="230"/>
      <c r="D275" s="230" t="s">
        <v>238</v>
      </c>
      <c r="H275" s="231"/>
      <c r="I275" s="231"/>
      <c r="J275" s="232"/>
      <c r="K275" s="232"/>
      <c r="L275" s="233"/>
    </row>
    <row r="276" spans="1:19" s="156" customFormat="1">
      <c r="A276" s="230"/>
      <c r="C276" s="232">
        <v>10</v>
      </c>
      <c r="D276" s="230" t="s">
        <v>170</v>
      </c>
      <c r="E276" s="232">
        <v>2009</v>
      </c>
      <c r="F276" s="232">
        <v>12</v>
      </c>
      <c r="G276" s="234"/>
      <c r="H276" s="232" t="s">
        <v>51</v>
      </c>
      <c r="I276" s="232">
        <v>10</v>
      </c>
      <c r="J276" s="232">
        <f>E276+I276</f>
        <v>2019</v>
      </c>
      <c r="K276" s="232"/>
      <c r="L276" s="235">
        <f>4890+710.7+470.46</f>
        <v>6071.16</v>
      </c>
      <c r="M276" s="235">
        <f>L276-L276*G276</f>
        <v>6071.16</v>
      </c>
      <c r="N276" s="235">
        <f>M276/I276/12</f>
        <v>50.592999999999996</v>
      </c>
      <c r="O276" s="235"/>
      <c r="P276" s="235">
        <f>+IF(K276&lt;=$N$6,0,O276)</f>
        <v>0</v>
      </c>
      <c r="Q276" s="235">
        <f>+IF($K276&lt;=$N$7,$L276,IF(($E276+($F276/12))&gt;=$N$7,0,((($M276-((($K276-$N$7)*12)*$N276))))))</f>
        <v>6071.16</v>
      </c>
      <c r="R276" s="235">
        <f>+IF(K276&lt;=$N$6,M276,IF(P276=0,Q276,Q276+P276))</f>
        <v>6071.16</v>
      </c>
      <c r="S276" s="235">
        <f>+IF(P276=0,0,((L276-Q276)+(L276-R276))/2)</f>
        <v>0</v>
      </c>
    </row>
    <row r="277" spans="1:19" s="156" customFormat="1">
      <c r="A277" s="230"/>
      <c r="C277" s="232">
        <v>10</v>
      </c>
      <c r="D277" s="230" t="s">
        <v>230</v>
      </c>
      <c r="E277" s="232">
        <v>2009</v>
      </c>
      <c r="F277" s="232">
        <v>12</v>
      </c>
      <c r="G277" s="234"/>
      <c r="H277" s="232" t="s">
        <v>51</v>
      </c>
      <c r="I277" s="232">
        <v>10</v>
      </c>
      <c r="J277" s="232">
        <f>E277+I277</f>
        <v>2019</v>
      </c>
      <c r="K277" s="232"/>
      <c r="L277" s="235">
        <v>6569.8</v>
      </c>
      <c r="M277" s="235">
        <f>L277-L277*G277</f>
        <v>6569.8</v>
      </c>
      <c r="N277" s="235">
        <f>M277/I277/12</f>
        <v>54.748333333333335</v>
      </c>
      <c r="O277" s="235"/>
      <c r="P277" s="235">
        <f>+IF(K277&lt;=$N$6,0,O277)</f>
        <v>0</v>
      </c>
      <c r="Q277" s="235">
        <f>+IF($K277&lt;=$N$7,$L277,IF(($E277+($F277/12))&gt;=$N$7,0,((($M277-((($K277-$N$7)*12)*$N277))))))</f>
        <v>6569.8</v>
      </c>
      <c r="R277" s="235">
        <f>+IF(K277&lt;=$N$6,M277,IF(P277=0,Q277,Q277+P277))</f>
        <v>6569.8</v>
      </c>
      <c r="S277" s="235">
        <f>+IF(P277=0,0,((L277-Q277)+(L277-R277))/2)</f>
        <v>0</v>
      </c>
    </row>
    <row r="278" spans="1:19" s="156" customFormat="1">
      <c r="A278" s="230"/>
      <c r="C278" s="232">
        <v>10</v>
      </c>
      <c r="D278" s="230" t="s">
        <v>231</v>
      </c>
      <c r="E278" s="232">
        <v>2009</v>
      </c>
      <c r="F278" s="232">
        <v>12</v>
      </c>
      <c r="G278" s="234"/>
      <c r="H278" s="232" t="s">
        <v>51</v>
      </c>
      <c r="I278" s="232">
        <v>10</v>
      </c>
      <c r="J278" s="232">
        <f>E278+I278</f>
        <v>2019</v>
      </c>
      <c r="K278" s="232"/>
      <c r="L278" s="235">
        <v>6645.57</v>
      </c>
      <c r="M278" s="235">
        <f>L278-L278*G278</f>
        <v>6645.57</v>
      </c>
      <c r="N278" s="235">
        <f>M278/I278/12</f>
        <v>55.379750000000001</v>
      </c>
      <c r="O278" s="235"/>
      <c r="P278" s="235">
        <f>+IF(K278&lt;=$N$6,0,O278)</f>
        <v>0</v>
      </c>
      <c r="Q278" s="235">
        <f>+IF($K278&lt;=$N$7,$L278,IF(($E278+($F278/12))&gt;=$N$7,0,((($M278-((($K278-$N$7)*12)*$N278))))))</f>
        <v>6645.57</v>
      </c>
      <c r="R278" s="235">
        <f>+IF(K278&lt;=$N$6,M278,IF(P278=0,Q278,Q278+P278))</f>
        <v>6645.57</v>
      </c>
      <c r="S278" s="235">
        <f>+IF(P278=0,0,((L278-Q278)+(L278-R278))/2)</f>
        <v>0</v>
      </c>
    </row>
    <row r="279" spans="1:19" s="156" customFormat="1">
      <c r="A279" s="230"/>
      <c r="C279" s="232"/>
      <c r="D279" s="230"/>
      <c r="E279" s="232"/>
      <c r="F279" s="232"/>
      <c r="G279" s="234"/>
      <c r="H279" s="232"/>
      <c r="I279" s="232"/>
      <c r="J279" s="232"/>
      <c r="K279" s="232"/>
      <c r="L279" s="235"/>
      <c r="M279" s="235"/>
      <c r="N279" s="235"/>
      <c r="O279" s="235"/>
      <c r="P279" s="235"/>
      <c r="Q279" s="235"/>
      <c r="R279" s="235"/>
      <c r="S279" s="235"/>
    </row>
    <row r="280" spans="1:19" s="156" customFormat="1">
      <c r="A280" s="230"/>
      <c r="D280" s="156" t="s">
        <v>241</v>
      </c>
      <c r="H280" s="232"/>
      <c r="I280" s="232"/>
      <c r="J280" s="232"/>
      <c r="K280" s="232"/>
      <c r="L280" s="233"/>
    </row>
    <row r="281" spans="1:19" s="156" customFormat="1">
      <c r="A281" s="230"/>
      <c r="H281" s="232"/>
      <c r="I281" s="232"/>
      <c r="J281" s="232"/>
      <c r="K281" s="232"/>
      <c r="L281" s="233"/>
    </row>
    <row r="282" spans="1:19">
      <c r="A282" s="142"/>
      <c r="D282" s="236" t="s">
        <v>279</v>
      </c>
      <c r="H282" s="141"/>
      <c r="L282" s="158"/>
    </row>
    <row r="283" spans="1:19" s="156" customFormat="1">
      <c r="A283" s="230"/>
      <c r="C283" s="156">
        <v>115</v>
      </c>
      <c r="D283" s="230" t="s">
        <v>139</v>
      </c>
      <c r="E283" s="232">
        <v>2001</v>
      </c>
      <c r="F283" s="232">
        <v>8</v>
      </c>
      <c r="G283" s="234"/>
      <c r="H283" s="232" t="s">
        <v>51</v>
      </c>
      <c r="I283" s="232">
        <v>5</v>
      </c>
      <c r="J283" s="232">
        <f>E283+I283</f>
        <v>2006</v>
      </c>
      <c r="K283" s="232"/>
      <c r="L283" s="235">
        <v>935.82</v>
      </c>
      <c r="M283" s="235">
        <f>L283-L283*G283</f>
        <v>935.82</v>
      </c>
      <c r="N283" s="235">
        <f>M283/I283/12</f>
        <v>15.597000000000001</v>
      </c>
      <c r="O283" s="235"/>
      <c r="P283" s="235">
        <f>+IF(K283&lt;=$N$6,0,O283)</f>
        <v>0</v>
      </c>
      <c r="Q283" s="235">
        <f>+IF($K283&lt;=$N$7,$L283,IF(($E283+($F283/12))&gt;=$N$7,0,((($M283-((($K283-$N$7)*12)*$N283))))))</f>
        <v>935.82</v>
      </c>
      <c r="R283" s="235">
        <f>+IF(K283&lt;=$N$6,M283,IF(P283=0,Q283,Q283+P283))</f>
        <v>935.82</v>
      </c>
      <c r="S283" s="235">
        <f>+IF(P283=0,0,((L283-Q283)+(L283-R283))/2)</f>
        <v>0</v>
      </c>
    </row>
    <row r="284" spans="1:19" s="156" customFormat="1">
      <c r="A284" s="230"/>
      <c r="C284" s="156">
        <v>400</v>
      </c>
      <c r="D284" s="230" t="s">
        <v>141</v>
      </c>
      <c r="E284" s="232">
        <v>2002</v>
      </c>
      <c r="F284" s="232">
        <v>8</v>
      </c>
      <c r="G284" s="234"/>
      <c r="H284" s="232" t="s">
        <v>51</v>
      </c>
      <c r="I284" s="232">
        <v>10</v>
      </c>
      <c r="J284" s="232">
        <f>E284+I284</f>
        <v>2012</v>
      </c>
      <c r="K284" s="232"/>
      <c r="L284" s="235">
        <v>1950.66</v>
      </c>
      <c r="M284" s="235">
        <f>L284-L284*G284</f>
        <v>1950.66</v>
      </c>
      <c r="N284" s="235">
        <f>M284/I284/12</f>
        <v>16.255500000000001</v>
      </c>
      <c r="O284" s="235"/>
      <c r="P284" s="235">
        <f>+IF(K284&lt;=$N$6,0,O284)</f>
        <v>0</v>
      </c>
      <c r="Q284" s="235">
        <f>+IF($K284&lt;=$N$7,$L284,IF(($E284+($F284/12))&gt;=$N$7,0,((($M284-((($K284-$N$7)*12)*$N284))))))</f>
        <v>1950.66</v>
      </c>
      <c r="R284" s="235">
        <f>+IF(K284&lt;=$N$6,M284,IF(P284=0,Q284,Q284+P284))</f>
        <v>1950.66</v>
      </c>
      <c r="S284" s="235">
        <f>+IF(P284=0,0,((L284-Q284)+(L284-R284))/2)</f>
        <v>0</v>
      </c>
    </row>
    <row r="285" spans="1:19" s="156" customFormat="1">
      <c r="A285" s="230"/>
      <c r="C285" s="156">
        <v>500</v>
      </c>
      <c r="D285" s="230" t="s">
        <v>144</v>
      </c>
      <c r="E285" s="232">
        <v>2003</v>
      </c>
      <c r="F285" s="232">
        <v>3</v>
      </c>
      <c r="G285" s="234"/>
      <c r="H285" s="232" t="s">
        <v>51</v>
      </c>
      <c r="I285" s="232">
        <v>5</v>
      </c>
      <c r="J285" s="232">
        <f>E285+I285</f>
        <v>2008</v>
      </c>
      <c r="K285" s="232"/>
      <c r="L285" s="235">
        <v>6138.47</v>
      </c>
      <c r="M285" s="235">
        <f>L285-L285*G285</f>
        <v>6138.47</v>
      </c>
      <c r="N285" s="235">
        <f>M285/I285/12</f>
        <v>102.30783333333333</v>
      </c>
      <c r="O285" s="235"/>
      <c r="P285" s="235">
        <f>+IF(K285&lt;=$N$6,0,O285)</f>
        <v>0</v>
      </c>
      <c r="Q285" s="235">
        <f>+IF($K285&lt;=$N$7,$L285,IF(($E285+($F285/12))&gt;=$N$7,0,((($M285-((($K285-$N$7)*12)*$N285))))))</f>
        <v>6138.47</v>
      </c>
      <c r="R285" s="235">
        <f>+IF(K285&lt;=$N$6,M285,IF(P285=0,Q285,Q285+P285))</f>
        <v>6138.47</v>
      </c>
      <c r="S285" s="235">
        <f>+IF(P285=0,0,((L285-Q285)+(L285-R285))/2)</f>
        <v>0</v>
      </c>
    </row>
    <row r="286" spans="1:19">
      <c r="A286" s="142"/>
      <c r="H286" s="141"/>
      <c r="L286" s="158"/>
    </row>
    <row r="287" spans="1:19">
      <c r="A287" s="142"/>
      <c r="H287" s="141"/>
      <c r="L287" s="158"/>
    </row>
    <row r="288" spans="1:19">
      <c r="A288" s="142"/>
      <c r="H288" s="141"/>
      <c r="L288" s="158"/>
    </row>
    <row r="289" spans="1:19">
      <c r="A289" s="142"/>
      <c r="H289" s="141"/>
      <c r="L289" s="158"/>
    </row>
    <row r="290" spans="1:19">
      <c r="A290" s="142"/>
      <c r="D290" s="236" t="s">
        <v>302</v>
      </c>
      <c r="H290" s="141"/>
      <c r="L290" s="158"/>
    </row>
    <row r="291" spans="1:19">
      <c r="A291" s="142"/>
      <c r="C291" s="141">
        <v>10</v>
      </c>
      <c r="D291" s="142" t="s">
        <v>121</v>
      </c>
      <c r="E291" s="141">
        <v>1997</v>
      </c>
      <c r="F291" s="141">
        <v>12</v>
      </c>
      <c r="G291" s="222"/>
      <c r="H291" s="141" t="s">
        <v>51</v>
      </c>
      <c r="I291" s="141">
        <v>5</v>
      </c>
      <c r="J291" s="141">
        <f t="shared" ref="J291:J299" si="88">E291+I291</f>
        <v>2002</v>
      </c>
      <c r="L291" s="123">
        <f>51619/19*10</f>
        <v>27167.894736842103</v>
      </c>
      <c r="M291" s="123">
        <f t="shared" ref="M291:M299" si="89">L291-L291*G291</f>
        <v>27167.894736842103</v>
      </c>
      <c r="N291" s="123">
        <f t="shared" ref="N291:N299" si="90">M291/I291/12</f>
        <v>452.79824561403507</v>
      </c>
      <c r="O291" s="123"/>
      <c r="P291" s="123">
        <f t="shared" ref="P291:P299" si="91">+IF(K291&lt;=$N$6,0,O291)</f>
        <v>0</v>
      </c>
      <c r="Q291" s="123">
        <f t="shared" ref="Q291:Q299" si="92">+IF($K291&lt;=$N$7,$L291,IF(($E291+($F291/12))&gt;=$N$7,0,((($M291-((($K291-$N$7)*12)*$N291))))))</f>
        <v>27167.894736842103</v>
      </c>
      <c r="R291" s="123">
        <f t="shared" ref="R291:R299" si="93">+IF(K291&lt;=$N$6,M291,IF(P291=0,Q291,Q291+P291))</f>
        <v>27167.894736842103</v>
      </c>
      <c r="S291" s="123">
        <f t="shared" ref="S291:S299" si="94">+IF(P291=0,0,((L291-Q291)+(L291-R291))/2)</f>
        <v>0</v>
      </c>
    </row>
    <row r="292" spans="1:19">
      <c r="A292" s="142"/>
      <c r="C292" s="141">
        <v>17</v>
      </c>
      <c r="D292" s="142" t="s">
        <v>149</v>
      </c>
      <c r="E292" s="141">
        <v>2003</v>
      </c>
      <c r="F292" s="141">
        <v>9</v>
      </c>
      <c r="G292" s="222"/>
      <c r="H292" s="141" t="s">
        <v>51</v>
      </c>
      <c r="I292" s="141">
        <v>10</v>
      </c>
      <c r="J292" s="141">
        <f t="shared" si="88"/>
        <v>2013</v>
      </c>
      <c r="L292" s="123">
        <v>8906.3700000000008</v>
      </c>
      <c r="M292" s="123">
        <f t="shared" si="89"/>
        <v>8906.3700000000008</v>
      </c>
      <c r="N292" s="123">
        <f t="shared" si="90"/>
        <v>74.219750000000005</v>
      </c>
      <c r="O292" s="123"/>
      <c r="P292" s="123">
        <f t="shared" si="91"/>
        <v>0</v>
      </c>
      <c r="Q292" s="123">
        <f t="shared" si="92"/>
        <v>8906.3700000000008</v>
      </c>
      <c r="R292" s="123">
        <f t="shared" si="93"/>
        <v>8906.3700000000008</v>
      </c>
      <c r="S292" s="123">
        <f t="shared" si="94"/>
        <v>0</v>
      </c>
    </row>
    <row r="293" spans="1:19">
      <c r="A293" s="142"/>
      <c r="C293" s="141">
        <v>30</v>
      </c>
      <c r="D293" s="142" t="s">
        <v>126</v>
      </c>
      <c r="E293" s="141">
        <v>1997</v>
      </c>
      <c r="F293" s="141">
        <v>12</v>
      </c>
      <c r="G293" s="222"/>
      <c r="H293" s="141" t="s">
        <v>51</v>
      </c>
      <c r="I293" s="141">
        <v>10</v>
      </c>
      <c r="J293" s="141">
        <f t="shared" si="88"/>
        <v>2007</v>
      </c>
      <c r="L293" s="123">
        <v>9306.4</v>
      </c>
      <c r="M293" s="123">
        <f t="shared" si="89"/>
        <v>9306.4</v>
      </c>
      <c r="N293" s="123">
        <f t="shared" si="90"/>
        <v>77.553333333333327</v>
      </c>
      <c r="O293" s="123"/>
      <c r="P293" s="123">
        <f t="shared" si="91"/>
        <v>0</v>
      </c>
      <c r="Q293" s="123">
        <f t="shared" si="92"/>
        <v>9306.4</v>
      </c>
      <c r="R293" s="123">
        <f t="shared" si="93"/>
        <v>9306.4</v>
      </c>
      <c r="S293" s="123">
        <f t="shared" si="94"/>
        <v>0</v>
      </c>
    </row>
    <row r="294" spans="1:19">
      <c r="A294" s="142"/>
      <c r="C294" s="141">
        <v>125</v>
      </c>
      <c r="D294" s="142" t="s">
        <v>69</v>
      </c>
      <c r="E294" s="141">
        <v>1998</v>
      </c>
      <c r="F294" s="141">
        <v>2</v>
      </c>
      <c r="G294" s="222"/>
      <c r="H294" s="141" t="s">
        <v>51</v>
      </c>
      <c r="I294" s="141">
        <v>10</v>
      </c>
      <c r="J294" s="141">
        <f t="shared" si="88"/>
        <v>2008</v>
      </c>
      <c r="L294" s="123">
        <v>35899.9</v>
      </c>
      <c r="M294" s="123">
        <f t="shared" si="89"/>
        <v>35899.9</v>
      </c>
      <c r="N294" s="123">
        <f t="shared" si="90"/>
        <v>299.16583333333335</v>
      </c>
      <c r="O294" s="123"/>
      <c r="P294" s="123">
        <f t="shared" si="91"/>
        <v>0</v>
      </c>
      <c r="Q294" s="123">
        <f t="shared" si="92"/>
        <v>35899.9</v>
      </c>
      <c r="R294" s="123">
        <f t="shared" si="93"/>
        <v>35899.9</v>
      </c>
      <c r="S294" s="123">
        <f t="shared" si="94"/>
        <v>0</v>
      </c>
    </row>
    <row r="295" spans="1:19">
      <c r="A295" s="142"/>
      <c r="C295" s="141">
        <v>30</v>
      </c>
      <c r="D295" s="142" t="s">
        <v>131</v>
      </c>
      <c r="E295" s="141">
        <v>1998</v>
      </c>
      <c r="F295" s="141">
        <v>6</v>
      </c>
      <c r="G295" s="222"/>
      <c r="H295" s="141" t="s">
        <v>51</v>
      </c>
      <c r="I295" s="141">
        <v>10</v>
      </c>
      <c r="J295" s="141">
        <f t="shared" si="88"/>
        <v>2008</v>
      </c>
      <c r="L295" s="123">
        <v>9243.86</v>
      </c>
      <c r="M295" s="123">
        <f t="shared" si="89"/>
        <v>9243.86</v>
      </c>
      <c r="N295" s="123">
        <f t="shared" si="90"/>
        <v>77.032166666666669</v>
      </c>
      <c r="O295" s="123"/>
      <c r="P295" s="123">
        <f t="shared" si="91"/>
        <v>0</v>
      </c>
      <c r="Q295" s="123">
        <f t="shared" si="92"/>
        <v>9243.86</v>
      </c>
      <c r="R295" s="123">
        <f t="shared" si="93"/>
        <v>9243.86</v>
      </c>
      <c r="S295" s="123">
        <f t="shared" si="94"/>
        <v>0</v>
      </c>
    </row>
    <row r="296" spans="1:19">
      <c r="A296" s="142"/>
      <c r="C296" s="141">
        <v>8</v>
      </c>
      <c r="D296" s="142" t="s">
        <v>137</v>
      </c>
      <c r="E296" s="141">
        <v>2001</v>
      </c>
      <c r="F296" s="141">
        <v>7</v>
      </c>
      <c r="G296" s="222"/>
      <c r="H296" s="141" t="s">
        <v>51</v>
      </c>
      <c r="I296" s="141">
        <v>10</v>
      </c>
      <c r="J296" s="141">
        <f t="shared" si="88"/>
        <v>2011</v>
      </c>
      <c r="L296" s="123">
        <f>7473.51/19*8</f>
        <v>3146.7410526315789</v>
      </c>
      <c r="M296" s="123">
        <f t="shared" si="89"/>
        <v>3146.7410526315789</v>
      </c>
      <c r="N296" s="123">
        <f t="shared" si="90"/>
        <v>26.222842105263158</v>
      </c>
      <c r="O296" s="123"/>
      <c r="P296" s="123">
        <f t="shared" si="91"/>
        <v>0</v>
      </c>
      <c r="Q296" s="123">
        <f t="shared" si="92"/>
        <v>3146.7410526315789</v>
      </c>
      <c r="R296" s="123">
        <f t="shared" si="93"/>
        <v>3146.7410526315789</v>
      </c>
      <c r="S296" s="123">
        <f t="shared" si="94"/>
        <v>0</v>
      </c>
    </row>
    <row r="297" spans="1:19">
      <c r="A297" s="142"/>
      <c r="C297" s="141">
        <v>10</v>
      </c>
      <c r="D297" s="142" t="s">
        <v>151</v>
      </c>
      <c r="E297" s="141">
        <v>2003</v>
      </c>
      <c r="F297" s="141">
        <v>9</v>
      </c>
      <c r="G297" s="222"/>
      <c r="H297" s="141" t="s">
        <v>51</v>
      </c>
      <c r="I297" s="141">
        <v>10</v>
      </c>
      <c r="J297" s="141">
        <f t="shared" si="88"/>
        <v>2013</v>
      </c>
      <c r="L297" s="123">
        <v>3622.39</v>
      </c>
      <c r="M297" s="123">
        <f t="shared" si="89"/>
        <v>3622.39</v>
      </c>
      <c r="N297" s="123">
        <f t="shared" si="90"/>
        <v>30.186583333333331</v>
      </c>
      <c r="O297" s="123"/>
      <c r="P297" s="123">
        <f t="shared" si="91"/>
        <v>0</v>
      </c>
      <c r="Q297" s="123">
        <f t="shared" si="92"/>
        <v>3622.39</v>
      </c>
      <c r="R297" s="123">
        <f t="shared" si="93"/>
        <v>3622.39</v>
      </c>
      <c r="S297" s="123">
        <f t="shared" si="94"/>
        <v>0</v>
      </c>
    </row>
    <row r="298" spans="1:19">
      <c r="A298" s="142"/>
      <c r="C298" s="130">
        <v>1050</v>
      </c>
      <c r="D298" s="142" t="s">
        <v>155</v>
      </c>
      <c r="E298" s="141">
        <v>2004</v>
      </c>
      <c r="F298" s="141">
        <v>3</v>
      </c>
      <c r="G298" s="222"/>
      <c r="H298" s="141" t="s">
        <v>51</v>
      </c>
      <c r="I298" s="141">
        <v>10</v>
      </c>
      <c r="J298" s="141">
        <f t="shared" si="88"/>
        <v>2014</v>
      </c>
      <c r="L298" s="123">
        <v>5619.43</v>
      </c>
      <c r="M298" s="123">
        <f t="shared" si="89"/>
        <v>5619.43</v>
      </c>
      <c r="N298" s="123">
        <f t="shared" si="90"/>
        <v>46.828583333333334</v>
      </c>
      <c r="O298" s="123"/>
      <c r="P298" s="123">
        <f t="shared" si="91"/>
        <v>0</v>
      </c>
      <c r="Q298" s="123">
        <f t="shared" si="92"/>
        <v>5619.43</v>
      </c>
      <c r="R298" s="123">
        <f t="shared" si="93"/>
        <v>5619.43</v>
      </c>
      <c r="S298" s="123">
        <f t="shared" si="94"/>
        <v>0</v>
      </c>
    </row>
    <row r="299" spans="1:19">
      <c r="A299" s="142"/>
      <c r="C299" s="141">
        <v>10</v>
      </c>
      <c r="D299" s="142" t="s">
        <v>124</v>
      </c>
      <c r="E299" s="141">
        <v>1997</v>
      </c>
      <c r="F299" s="141">
        <v>12</v>
      </c>
      <c r="G299" s="222"/>
      <c r="H299" s="141" t="s">
        <v>51</v>
      </c>
      <c r="I299" s="141">
        <v>7</v>
      </c>
      <c r="J299" s="141">
        <f t="shared" si="88"/>
        <v>2004</v>
      </c>
      <c r="L299" s="123">
        <v>3203</v>
      </c>
      <c r="M299" s="123">
        <f t="shared" si="89"/>
        <v>3203</v>
      </c>
      <c r="N299" s="123">
        <f t="shared" si="90"/>
        <v>38.13095238095238</v>
      </c>
      <c r="O299" s="123"/>
      <c r="P299" s="123">
        <f t="shared" si="91"/>
        <v>0</v>
      </c>
      <c r="Q299" s="123">
        <f t="shared" si="92"/>
        <v>3203</v>
      </c>
      <c r="R299" s="123">
        <f t="shared" si="93"/>
        <v>3203</v>
      </c>
      <c r="S299" s="123">
        <f t="shared" si="94"/>
        <v>0</v>
      </c>
    </row>
    <row r="300" spans="1:19">
      <c r="A300" s="142"/>
      <c r="H300" s="141"/>
    </row>
    <row r="301" spans="1:19">
      <c r="A301" s="142"/>
      <c r="H301" s="141"/>
    </row>
    <row r="302" spans="1:19">
      <c r="A302" s="142"/>
      <c r="D302" s="236" t="s">
        <v>318</v>
      </c>
      <c r="H302" s="141"/>
    </row>
    <row r="303" spans="1:19">
      <c r="A303" s="142">
        <v>27469</v>
      </c>
      <c r="C303" s="141">
        <v>4</v>
      </c>
      <c r="D303" s="142" t="s">
        <v>163</v>
      </c>
      <c r="E303" s="141">
        <v>2004</v>
      </c>
      <c r="F303" s="141">
        <v>5</v>
      </c>
      <c r="G303" s="222"/>
      <c r="H303" s="141" t="s">
        <v>51</v>
      </c>
      <c r="I303" s="141">
        <v>10</v>
      </c>
      <c r="J303" s="141">
        <f>E303+I303</f>
        <v>2014</v>
      </c>
      <c r="L303" s="123">
        <v>2319.62</v>
      </c>
      <c r="M303" s="123">
        <f>L303-L303*G303</f>
        <v>2319.62</v>
      </c>
      <c r="N303" s="123">
        <f>M303/I303/12</f>
        <v>19.330166666666667</v>
      </c>
      <c r="O303" s="123"/>
      <c r="P303" s="123">
        <f>+IF(K303&lt;=$N$6,0,O303)</f>
        <v>0</v>
      </c>
      <c r="Q303" s="123">
        <f>+IF($K303&lt;=$N$7,$L303,IF(($E303+($F303/12))&gt;=$N$7,0,((($M303-((($K303-$N$7)*12)*$N303))))))</f>
        <v>2319.62</v>
      </c>
      <c r="R303" s="123">
        <f>+IF(K303&lt;=$N$6,M303,IF(P303=0,Q303,Q303+P303))</f>
        <v>2319.62</v>
      </c>
      <c r="S303" s="123">
        <f>+IF(P303=0,0,((L303-Q303)+(L303-R303))/2)</f>
        <v>0</v>
      </c>
    </row>
    <row r="304" spans="1:19">
      <c r="A304" s="142">
        <v>26303</v>
      </c>
      <c r="C304" s="141">
        <v>28</v>
      </c>
      <c r="D304" s="142" t="s">
        <v>165</v>
      </c>
      <c r="E304" s="141">
        <v>2004</v>
      </c>
      <c r="F304" s="141">
        <v>6</v>
      </c>
      <c r="G304" s="222"/>
      <c r="H304" s="141" t="s">
        <v>51</v>
      </c>
      <c r="I304" s="141">
        <v>10</v>
      </c>
      <c r="J304" s="141">
        <f>E304+I304</f>
        <v>2014</v>
      </c>
      <c r="L304" s="123">
        <v>11119.36</v>
      </c>
      <c r="M304" s="123">
        <f>L304-L304*G304</f>
        <v>11119.36</v>
      </c>
      <c r="N304" s="123">
        <f>M304/I304/12</f>
        <v>92.661333333333346</v>
      </c>
      <c r="O304" s="123"/>
      <c r="P304" s="123">
        <f>+IF(K304&lt;=$N$6,0,O304)</f>
        <v>0</v>
      </c>
      <c r="Q304" s="123">
        <f>+IF($K304&lt;=$N$7,$L304,IF(($E304+($F304/12))&gt;=$N$7,0,((($M304-((($K304-$N$7)*12)*$N304))))))</f>
        <v>11119.36</v>
      </c>
      <c r="R304" s="123">
        <f>+IF(K304&lt;=$N$6,M304,IF(P304=0,Q304,Q304+P304))</f>
        <v>11119.36</v>
      </c>
      <c r="S304" s="123">
        <f>+IF(P304=0,0,((L304-Q304)+(L304-R304))/2)</f>
        <v>0</v>
      </c>
    </row>
    <row r="305" spans="1:19">
      <c r="A305" s="142">
        <v>6882</v>
      </c>
      <c r="C305" s="141">
        <v>4</v>
      </c>
      <c r="D305" s="142" t="s">
        <v>122</v>
      </c>
      <c r="H305" s="141"/>
    </row>
    <row r="306" spans="1:19">
      <c r="A306" s="142"/>
      <c r="H306" s="141"/>
    </row>
    <row r="307" spans="1:19">
      <c r="A307" s="142"/>
      <c r="H307" s="141"/>
    </row>
    <row r="308" spans="1:19">
      <c r="A308" s="142"/>
      <c r="H308" s="141"/>
    </row>
    <row r="309" spans="1:19">
      <c r="A309" s="142"/>
      <c r="H309" s="141"/>
    </row>
    <row r="310" spans="1:19">
      <c r="A310" s="142"/>
      <c r="H310" s="141"/>
    </row>
    <row r="311" spans="1:19">
      <c r="A311" s="142"/>
      <c r="H311" s="141"/>
    </row>
    <row r="312" spans="1:19">
      <c r="A312" s="142"/>
      <c r="H312" s="141"/>
    </row>
    <row r="313" spans="1:19">
      <c r="A313" s="142"/>
      <c r="H313" s="141"/>
    </row>
    <row r="314" spans="1:19">
      <c r="A314" s="180"/>
      <c r="B314" s="120"/>
      <c r="C314" s="123"/>
      <c r="D314" s="124"/>
      <c r="E314" s="124"/>
      <c r="F314" s="124"/>
      <c r="G314" s="124"/>
      <c r="H314" s="124"/>
      <c r="I314" s="125"/>
      <c r="J314" s="125"/>
      <c r="K314" s="125"/>
      <c r="L314" s="120"/>
      <c r="M314" s="120"/>
      <c r="N314" s="120"/>
      <c r="O314" s="120"/>
      <c r="P314" s="120"/>
      <c r="Q314" s="120"/>
      <c r="R314" s="120"/>
      <c r="S314" s="120"/>
    </row>
    <row r="315" spans="1:19">
      <c r="A315" s="180"/>
      <c r="B315" s="126"/>
      <c r="C315" s="127"/>
      <c r="D315" s="128"/>
      <c r="E315" s="126"/>
      <c r="F315" s="126"/>
      <c r="G315" s="129"/>
      <c r="H315" s="126"/>
      <c r="I315" s="126"/>
      <c r="J315" s="126"/>
      <c r="K315" s="126"/>
      <c r="L315" s="126"/>
      <c r="M315" s="128"/>
      <c r="N315" s="128"/>
      <c r="O315" s="128"/>
      <c r="P315" s="128"/>
      <c r="Q315" s="128"/>
      <c r="R315" s="128"/>
      <c r="S315" s="128"/>
    </row>
    <row r="316" spans="1:19">
      <c r="A316" s="142"/>
      <c r="B316" s="127"/>
      <c r="C316" s="127"/>
      <c r="D316" s="131"/>
      <c r="E316" s="127"/>
      <c r="F316" s="127"/>
      <c r="G316" s="132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</row>
    <row r="317" spans="1:19">
      <c r="A317" s="134"/>
      <c r="B317" s="133"/>
      <c r="C317" s="133"/>
      <c r="D317" s="134"/>
      <c r="E317" s="133"/>
      <c r="F317" s="133"/>
      <c r="G317" s="135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</row>
    <row r="318" spans="1:19">
      <c r="A318" s="142"/>
      <c r="H318" s="141"/>
    </row>
    <row r="319" spans="1:19">
      <c r="A319" s="142"/>
      <c r="H319" s="141"/>
    </row>
    <row r="320" spans="1:19">
      <c r="A320" s="142"/>
      <c r="H320" s="141"/>
    </row>
    <row r="321" spans="1:19">
      <c r="A321" s="142"/>
      <c r="H321" s="141"/>
    </row>
    <row r="322" spans="1:19">
      <c r="A322" s="142"/>
      <c r="H322" s="141"/>
    </row>
    <row r="323" spans="1:19">
      <c r="A323" s="142"/>
      <c r="H323" s="141"/>
    </row>
    <row r="324" spans="1:19">
      <c r="A324" s="142"/>
      <c r="L324" s="141"/>
    </row>
    <row r="325" spans="1:19">
      <c r="A325" s="142"/>
      <c r="L325" s="141"/>
      <c r="O325" s="120"/>
      <c r="P325" s="120"/>
      <c r="Q325" s="120"/>
      <c r="R325" s="120"/>
      <c r="S325" s="120"/>
    </row>
    <row r="326" spans="1:19">
      <c r="A326" s="180"/>
      <c r="B326" s="120"/>
      <c r="C326" s="123"/>
      <c r="D326" s="124"/>
      <c r="E326" s="124"/>
      <c r="F326" s="124"/>
      <c r="G326" s="124"/>
      <c r="H326" s="124"/>
      <c r="I326" s="125"/>
      <c r="J326" s="125"/>
      <c r="K326" s="125"/>
      <c r="L326" s="120"/>
      <c r="M326" s="120"/>
      <c r="N326" s="120"/>
      <c r="O326" s="128"/>
      <c r="P326" s="128"/>
      <c r="Q326" s="128"/>
      <c r="R326" s="128"/>
      <c r="S326" s="128"/>
    </row>
    <row r="327" spans="1:19">
      <c r="A327" s="180"/>
      <c r="B327" s="126"/>
      <c r="C327" s="127"/>
      <c r="D327" s="128"/>
      <c r="E327" s="126"/>
      <c r="F327" s="126"/>
      <c r="G327" s="129"/>
      <c r="H327" s="126"/>
      <c r="I327" s="126"/>
      <c r="J327" s="126"/>
      <c r="K327" s="126"/>
      <c r="L327" s="126"/>
      <c r="M327" s="128"/>
      <c r="N327" s="128"/>
      <c r="O327" s="127"/>
      <c r="P327" s="127"/>
      <c r="Q327" s="127"/>
      <c r="R327" s="127"/>
      <c r="S327" s="127"/>
    </row>
    <row r="328" spans="1:19">
      <c r="A328" s="142"/>
      <c r="B328" s="127"/>
      <c r="C328" s="127"/>
      <c r="D328" s="131"/>
      <c r="E328" s="127"/>
      <c r="F328" s="127"/>
      <c r="G328" s="132"/>
      <c r="H328" s="127"/>
      <c r="I328" s="127"/>
      <c r="J328" s="127"/>
      <c r="K328" s="127"/>
      <c r="L328" s="127"/>
      <c r="M328" s="127"/>
      <c r="N328" s="127"/>
      <c r="O328" s="133"/>
      <c r="P328" s="133"/>
      <c r="Q328" s="133"/>
      <c r="R328" s="133"/>
      <c r="S328" s="133"/>
    </row>
    <row r="329" spans="1:19">
      <c r="A329" s="134"/>
      <c r="B329" s="133"/>
      <c r="C329" s="133"/>
      <c r="D329" s="134"/>
      <c r="E329" s="133"/>
      <c r="F329" s="133"/>
      <c r="G329" s="135"/>
      <c r="H329" s="133"/>
      <c r="I329" s="133"/>
      <c r="J329" s="133"/>
      <c r="K329" s="133"/>
      <c r="L329" s="133"/>
      <c r="M329" s="133"/>
      <c r="N329" s="133"/>
    </row>
    <row r="330" spans="1:19">
      <c r="A330" s="142"/>
      <c r="L330" s="141"/>
    </row>
    <row r="331" spans="1:19">
      <c r="A331" s="142"/>
      <c r="L331" s="141"/>
    </row>
    <row r="332" spans="1:19">
      <c r="A332" s="142"/>
      <c r="H332" s="141"/>
    </row>
    <row r="333" spans="1:19">
      <c r="A333" s="142"/>
      <c r="H333" s="141"/>
    </row>
    <row r="334" spans="1:19">
      <c r="A334" s="142"/>
      <c r="H334" s="141"/>
    </row>
    <row r="335" spans="1:19">
      <c r="A335" s="142"/>
      <c r="H335" s="141"/>
    </row>
    <row r="336" spans="1:19">
      <c r="A336" s="142"/>
      <c r="H336" s="141"/>
    </row>
    <row r="337" spans="1:8">
      <c r="A337" s="142"/>
      <c r="H337" s="141"/>
    </row>
    <row r="338" spans="1:8">
      <c r="A338" s="142"/>
      <c r="H338" s="141"/>
    </row>
    <row r="339" spans="1:8">
      <c r="A339" s="142"/>
      <c r="H339" s="141"/>
    </row>
    <row r="340" spans="1:8">
      <c r="A340" s="142"/>
      <c r="H340" s="141"/>
    </row>
    <row r="341" spans="1:8">
      <c r="A341" s="142"/>
      <c r="H341" s="141"/>
    </row>
    <row r="342" spans="1:8">
      <c r="A342" s="142"/>
      <c r="H342" s="141"/>
    </row>
    <row r="343" spans="1:8">
      <c r="A343" s="142"/>
      <c r="H343" s="141"/>
    </row>
    <row r="344" spans="1:8">
      <c r="A344" s="142"/>
      <c r="H344" s="141"/>
    </row>
    <row r="345" spans="1:8">
      <c r="A345" s="142"/>
      <c r="H345" s="141"/>
    </row>
    <row r="346" spans="1:8">
      <c r="A346" s="142"/>
      <c r="H346" s="141"/>
    </row>
    <row r="347" spans="1:8">
      <c r="A347" s="142"/>
      <c r="H347" s="141"/>
    </row>
    <row r="348" spans="1:8">
      <c r="A348" s="142"/>
      <c r="H348" s="141"/>
    </row>
    <row r="349" spans="1:8">
      <c r="A349" s="142"/>
      <c r="H349" s="141"/>
    </row>
    <row r="350" spans="1:8">
      <c r="A350" s="142"/>
      <c r="H350" s="141"/>
    </row>
    <row r="351" spans="1:8">
      <c r="A351" s="142"/>
      <c r="H351" s="141"/>
    </row>
    <row r="352" spans="1:8">
      <c r="A352" s="142"/>
      <c r="H352" s="141"/>
    </row>
    <row r="353" spans="1:8">
      <c r="A353" s="142"/>
      <c r="H353" s="141"/>
    </row>
    <row r="354" spans="1:8">
      <c r="A354" s="142"/>
      <c r="H354" s="141"/>
    </row>
    <row r="355" spans="1:8">
      <c r="A355" s="142"/>
      <c r="H355" s="141"/>
    </row>
    <row r="356" spans="1:8">
      <c r="A356" s="142"/>
      <c r="H356" s="141"/>
    </row>
    <row r="357" spans="1:8">
      <c r="A357" s="142"/>
      <c r="H357" s="141"/>
    </row>
    <row r="358" spans="1:8">
      <c r="A358" s="142"/>
      <c r="H358" s="141"/>
    </row>
    <row r="359" spans="1:8">
      <c r="A359" s="142"/>
      <c r="H359" s="141"/>
    </row>
    <row r="360" spans="1:8">
      <c r="A360" s="142"/>
      <c r="H360" s="141"/>
    </row>
    <row r="361" spans="1:8">
      <c r="A361" s="142"/>
      <c r="H361" s="141"/>
    </row>
    <row r="362" spans="1:8">
      <c r="A362" s="142"/>
      <c r="H362" s="141"/>
    </row>
    <row r="363" spans="1:8">
      <c r="A363" s="142"/>
      <c r="H363" s="141"/>
    </row>
    <row r="364" spans="1:8">
      <c r="A364" s="142"/>
      <c r="H364" s="141"/>
    </row>
    <row r="365" spans="1:8">
      <c r="A365" s="142"/>
      <c r="H365" s="141"/>
    </row>
    <row r="366" spans="1:8">
      <c r="A366" s="142"/>
      <c r="H366" s="141"/>
    </row>
    <row r="367" spans="1:8">
      <c r="A367" s="142"/>
      <c r="H367" s="141"/>
    </row>
    <row r="368" spans="1:8">
      <c r="A368" s="142"/>
      <c r="H368" s="141"/>
    </row>
    <row r="369" spans="1:8">
      <c r="A369" s="142"/>
      <c r="H369" s="141"/>
    </row>
    <row r="370" spans="1:8">
      <c r="A370" s="142"/>
      <c r="H370" s="141"/>
    </row>
    <row r="371" spans="1:8">
      <c r="A371" s="142"/>
      <c r="H371" s="141"/>
    </row>
    <row r="372" spans="1:8">
      <c r="A372" s="142"/>
      <c r="H372" s="141"/>
    </row>
    <row r="373" spans="1:8">
      <c r="A373" s="142"/>
      <c r="H373" s="141"/>
    </row>
    <row r="374" spans="1:8">
      <c r="A374" s="142"/>
      <c r="H374" s="141"/>
    </row>
    <row r="375" spans="1:8">
      <c r="A375" s="142"/>
      <c r="H375" s="141"/>
    </row>
    <row r="376" spans="1:8">
      <c r="A376" s="142"/>
      <c r="H376" s="141"/>
    </row>
    <row r="377" spans="1:8">
      <c r="A377" s="142"/>
      <c r="H377" s="141"/>
    </row>
    <row r="378" spans="1:8">
      <c r="A378" s="142"/>
      <c r="H378" s="141"/>
    </row>
    <row r="379" spans="1:8">
      <c r="A379" s="142"/>
      <c r="H379" s="141"/>
    </row>
    <row r="380" spans="1:8">
      <c r="A380" s="142"/>
      <c r="H380" s="141"/>
    </row>
    <row r="381" spans="1:8">
      <c r="A381" s="142"/>
      <c r="H381" s="141"/>
    </row>
    <row r="382" spans="1:8">
      <c r="A382" s="142"/>
      <c r="H382" s="141"/>
    </row>
    <row r="383" spans="1:8">
      <c r="A383" s="142"/>
      <c r="H383" s="141"/>
    </row>
    <row r="384" spans="1:8">
      <c r="A384" s="142"/>
      <c r="H384" s="141"/>
    </row>
    <row r="385" spans="1:8">
      <c r="A385" s="142"/>
      <c r="H385" s="141"/>
    </row>
    <row r="386" spans="1:8">
      <c r="A386" s="142"/>
      <c r="H386" s="141"/>
    </row>
    <row r="387" spans="1:8">
      <c r="A387" s="142"/>
      <c r="H387" s="141"/>
    </row>
    <row r="388" spans="1:8">
      <c r="A388" s="142"/>
      <c r="H388" s="141"/>
    </row>
    <row r="389" spans="1:8">
      <c r="A389" s="142"/>
      <c r="H389" s="141"/>
    </row>
    <row r="390" spans="1:8">
      <c r="A390" s="142"/>
      <c r="H390" s="141"/>
    </row>
    <row r="391" spans="1:8">
      <c r="A391" s="142"/>
      <c r="H391" s="141"/>
    </row>
    <row r="392" spans="1:8">
      <c r="A392" s="142"/>
      <c r="H392" s="141"/>
    </row>
    <row r="393" spans="1:8">
      <c r="A393" s="142"/>
      <c r="H393" s="141"/>
    </row>
    <row r="394" spans="1:8">
      <c r="A394" s="142"/>
      <c r="H394" s="141"/>
    </row>
    <row r="395" spans="1:8">
      <c r="A395" s="142"/>
      <c r="H395" s="141"/>
    </row>
    <row r="396" spans="1:8">
      <c r="A396" s="142"/>
      <c r="H396" s="141"/>
    </row>
    <row r="397" spans="1:8">
      <c r="A397" s="142"/>
      <c r="H397" s="141"/>
    </row>
    <row r="398" spans="1:8">
      <c r="A398" s="142"/>
      <c r="H398" s="141"/>
    </row>
    <row r="399" spans="1:8">
      <c r="A399" s="142"/>
      <c r="H399" s="141"/>
    </row>
    <row r="400" spans="1:8">
      <c r="A400" s="142"/>
      <c r="H400" s="141"/>
    </row>
    <row r="401" spans="1:8">
      <c r="A401" s="142"/>
      <c r="H401" s="141"/>
    </row>
    <row r="402" spans="1:8">
      <c r="A402" s="142"/>
      <c r="H402" s="141"/>
    </row>
    <row r="403" spans="1:8">
      <c r="A403" s="142"/>
      <c r="H403" s="141"/>
    </row>
    <row r="404" spans="1:8">
      <c r="A404" s="142"/>
      <c r="H404" s="141"/>
    </row>
    <row r="405" spans="1:8">
      <c r="A405" s="142"/>
      <c r="H405" s="141"/>
    </row>
    <row r="406" spans="1:8">
      <c r="A406" s="142"/>
      <c r="H406" s="141"/>
    </row>
    <row r="407" spans="1:8">
      <c r="A407" s="142"/>
      <c r="H407" s="141"/>
    </row>
    <row r="408" spans="1:8">
      <c r="A408" s="142"/>
      <c r="H408" s="141"/>
    </row>
    <row r="409" spans="1:8">
      <c r="A409" s="142"/>
      <c r="H409" s="141"/>
    </row>
    <row r="410" spans="1:8">
      <c r="A410" s="142"/>
      <c r="H410" s="141"/>
    </row>
    <row r="411" spans="1:8">
      <c r="A411" s="142"/>
      <c r="H411" s="141"/>
    </row>
    <row r="412" spans="1:8">
      <c r="A412" s="142"/>
      <c r="H412" s="141"/>
    </row>
    <row r="413" spans="1:8">
      <c r="A413" s="142"/>
      <c r="H413" s="141"/>
    </row>
    <row r="414" spans="1:8">
      <c r="A414" s="142"/>
      <c r="H414" s="141"/>
    </row>
    <row r="415" spans="1:8">
      <c r="A415" s="142"/>
      <c r="H415" s="141"/>
    </row>
    <row r="416" spans="1:8">
      <c r="A416" s="142"/>
      <c r="H416" s="141"/>
    </row>
    <row r="417" spans="1:8">
      <c r="A417" s="142"/>
      <c r="H417" s="141"/>
    </row>
    <row r="418" spans="1:8">
      <c r="A418" s="142"/>
      <c r="H418" s="141"/>
    </row>
    <row r="419" spans="1:8">
      <c r="A419" s="142"/>
      <c r="H419" s="141"/>
    </row>
    <row r="420" spans="1:8">
      <c r="A420" s="142"/>
      <c r="H420" s="141"/>
    </row>
    <row r="421" spans="1:8">
      <c r="A421" s="142"/>
      <c r="H421" s="141"/>
    </row>
    <row r="422" spans="1:8">
      <c r="A422" s="142"/>
      <c r="H422" s="141"/>
    </row>
    <row r="423" spans="1:8">
      <c r="A423" s="142"/>
      <c r="H423" s="141"/>
    </row>
    <row r="424" spans="1:8">
      <c r="A424" s="142"/>
      <c r="H424" s="141"/>
    </row>
    <row r="425" spans="1:8">
      <c r="A425" s="142"/>
      <c r="H425" s="141"/>
    </row>
    <row r="426" spans="1:8">
      <c r="A426" s="142"/>
      <c r="H426" s="141"/>
    </row>
    <row r="427" spans="1:8">
      <c r="A427" s="142"/>
      <c r="H427" s="141"/>
    </row>
    <row r="428" spans="1:8">
      <c r="A428" s="142"/>
      <c r="H428" s="141"/>
    </row>
    <row r="429" spans="1:8">
      <c r="A429" s="142"/>
      <c r="H429" s="141"/>
    </row>
    <row r="430" spans="1:8">
      <c r="A430" s="142"/>
      <c r="H430" s="141"/>
    </row>
    <row r="431" spans="1:8">
      <c r="A431" s="142"/>
      <c r="H431" s="141"/>
    </row>
    <row r="432" spans="1:8">
      <c r="A432" s="142"/>
      <c r="H432" s="141"/>
    </row>
    <row r="433" spans="1:8">
      <c r="A433" s="142"/>
      <c r="H433" s="141"/>
    </row>
    <row r="434" spans="1:8">
      <c r="A434" s="142"/>
      <c r="H434" s="141"/>
    </row>
    <row r="435" spans="1:8">
      <c r="A435" s="142"/>
      <c r="H435" s="141"/>
    </row>
    <row r="436" spans="1:8">
      <c r="A436" s="142"/>
      <c r="H436" s="141"/>
    </row>
    <row r="437" spans="1:8">
      <c r="A437" s="142"/>
      <c r="H437" s="141"/>
    </row>
    <row r="438" spans="1:8">
      <c r="A438" s="142"/>
      <c r="H438" s="141"/>
    </row>
    <row r="439" spans="1:8">
      <c r="A439" s="142"/>
      <c r="H439" s="141"/>
    </row>
    <row r="440" spans="1:8">
      <c r="A440" s="142"/>
      <c r="H440" s="141"/>
    </row>
    <row r="441" spans="1:8">
      <c r="A441" s="142"/>
      <c r="H441" s="141"/>
    </row>
    <row r="442" spans="1:8">
      <c r="A442" s="142"/>
      <c r="H442" s="141"/>
    </row>
    <row r="443" spans="1:8">
      <c r="A443" s="142"/>
      <c r="H443" s="141"/>
    </row>
    <row r="444" spans="1:8">
      <c r="A444" s="142"/>
      <c r="H444" s="141"/>
    </row>
    <row r="445" spans="1:8">
      <c r="A445" s="142"/>
      <c r="H445" s="141"/>
    </row>
    <row r="446" spans="1:8">
      <c r="A446" s="142"/>
      <c r="H446" s="141"/>
    </row>
    <row r="447" spans="1:8">
      <c r="A447" s="142"/>
      <c r="H447" s="141"/>
    </row>
    <row r="448" spans="1:8">
      <c r="A448" s="142"/>
      <c r="H448" s="141"/>
    </row>
    <row r="449" spans="1:8">
      <c r="A449" s="142"/>
      <c r="H449" s="141"/>
    </row>
    <row r="450" spans="1:8">
      <c r="A450" s="142"/>
      <c r="H450" s="141"/>
    </row>
    <row r="451" spans="1:8">
      <c r="A451" s="142"/>
      <c r="H451" s="141"/>
    </row>
    <row r="452" spans="1:8">
      <c r="A452" s="142"/>
      <c r="H452" s="141"/>
    </row>
    <row r="453" spans="1:8">
      <c r="A453" s="142"/>
      <c r="H453" s="141"/>
    </row>
    <row r="454" spans="1:8">
      <c r="A454" s="142"/>
      <c r="H454" s="141"/>
    </row>
    <row r="455" spans="1:8">
      <c r="A455" s="142"/>
      <c r="H455" s="141"/>
    </row>
    <row r="456" spans="1:8">
      <c r="A456" s="142"/>
      <c r="H456" s="141"/>
    </row>
    <row r="457" spans="1:8">
      <c r="A457" s="142"/>
      <c r="H457" s="141"/>
    </row>
    <row r="458" spans="1:8">
      <c r="H458" s="141"/>
    </row>
    <row r="459" spans="1:8">
      <c r="H459" s="141"/>
    </row>
    <row r="460" spans="1:8">
      <c r="H460" s="141"/>
    </row>
    <row r="461" spans="1:8">
      <c r="H461" s="141"/>
    </row>
    <row r="462" spans="1:8">
      <c r="H462" s="141"/>
    </row>
    <row r="463" spans="1:8">
      <c r="H463" s="141"/>
    </row>
    <row r="464" spans="1:8">
      <c r="H464" s="141"/>
    </row>
    <row r="465" spans="8:8">
      <c r="H465" s="141"/>
    </row>
    <row r="466" spans="8:8">
      <c r="H466" s="141"/>
    </row>
    <row r="467" spans="8:8">
      <c r="H467" s="141"/>
    </row>
    <row r="468" spans="8:8">
      <c r="H468" s="141"/>
    </row>
    <row r="469" spans="8:8">
      <c r="H469" s="141"/>
    </row>
    <row r="470" spans="8:8">
      <c r="H470" s="141"/>
    </row>
    <row r="471" spans="8:8">
      <c r="H471" s="141"/>
    </row>
    <row r="472" spans="8:8">
      <c r="H472" s="141"/>
    </row>
    <row r="473" spans="8:8">
      <c r="H473" s="141"/>
    </row>
    <row r="474" spans="8:8">
      <c r="H474" s="141"/>
    </row>
    <row r="475" spans="8:8">
      <c r="H475" s="141"/>
    </row>
    <row r="476" spans="8:8">
      <c r="H476" s="141"/>
    </row>
    <row r="477" spans="8:8">
      <c r="H477" s="141"/>
    </row>
    <row r="478" spans="8:8">
      <c r="H478" s="141"/>
    </row>
    <row r="479" spans="8:8">
      <c r="H479" s="141"/>
    </row>
    <row r="480" spans="8:8">
      <c r="H480" s="141"/>
    </row>
    <row r="481" spans="8:8">
      <c r="H481" s="141"/>
    </row>
    <row r="482" spans="8:8">
      <c r="H482" s="141"/>
    </row>
    <row r="483" spans="8:8">
      <c r="H483" s="141"/>
    </row>
    <row r="484" spans="8:8">
      <c r="H484" s="141"/>
    </row>
    <row r="485" spans="8:8">
      <c r="H485" s="141"/>
    </row>
    <row r="486" spans="8:8">
      <c r="H486" s="141"/>
    </row>
    <row r="487" spans="8:8">
      <c r="H487" s="141"/>
    </row>
    <row r="488" spans="8:8">
      <c r="H488" s="141"/>
    </row>
    <row r="489" spans="8:8">
      <c r="H489" s="141"/>
    </row>
    <row r="490" spans="8:8">
      <c r="H490" s="141"/>
    </row>
    <row r="491" spans="8:8">
      <c r="H491" s="141"/>
    </row>
    <row r="492" spans="8:8">
      <c r="H492" s="141"/>
    </row>
    <row r="493" spans="8:8">
      <c r="H493" s="141"/>
    </row>
    <row r="494" spans="8:8">
      <c r="H494" s="141"/>
    </row>
    <row r="495" spans="8:8">
      <c r="H495" s="141"/>
    </row>
    <row r="496" spans="8:8">
      <c r="H496" s="141"/>
    </row>
    <row r="497" spans="8:8">
      <c r="H497" s="141"/>
    </row>
    <row r="498" spans="8:8">
      <c r="H498" s="141"/>
    </row>
    <row r="499" spans="8:8">
      <c r="H499" s="141"/>
    </row>
    <row r="500" spans="8:8">
      <c r="H500" s="141"/>
    </row>
    <row r="501" spans="8:8">
      <c r="H501" s="141"/>
    </row>
    <row r="502" spans="8:8">
      <c r="H502" s="141"/>
    </row>
    <row r="503" spans="8:8">
      <c r="H503" s="141"/>
    </row>
    <row r="504" spans="8:8">
      <c r="H504" s="141"/>
    </row>
    <row r="505" spans="8:8">
      <c r="H505" s="141"/>
    </row>
    <row r="506" spans="8:8">
      <c r="H506" s="141"/>
    </row>
    <row r="507" spans="8:8">
      <c r="H507" s="141"/>
    </row>
    <row r="508" spans="8:8">
      <c r="H508" s="141"/>
    </row>
    <row r="509" spans="8:8">
      <c r="H509" s="141"/>
    </row>
    <row r="510" spans="8:8">
      <c r="H510" s="141"/>
    </row>
    <row r="511" spans="8:8">
      <c r="H511" s="141"/>
    </row>
    <row r="512" spans="8:8">
      <c r="H512" s="141"/>
    </row>
    <row r="513" spans="8:8">
      <c r="H513" s="141"/>
    </row>
    <row r="514" spans="8:8">
      <c r="H514" s="141"/>
    </row>
    <row r="515" spans="8:8">
      <c r="H515" s="141"/>
    </row>
    <row r="516" spans="8:8">
      <c r="H516" s="141"/>
    </row>
    <row r="517" spans="8:8">
      <c r="H517" s="141"/>
    </row>
    <row r="518" spans="8:8">
      <c r="H518" s="141"/>
    </row>
    <row r="519" spans="8:8">
      <c r="H519" s="141"/>
    </row>
    <row r="520" spans="8:8">
      <c r="H520" s="141"/>
    </row>
    <row r="521" spans="8:8">
      <c r="H521" s="141"/>
    </row>
    <row r="522" spans="8:8">
      <c r="H522" s="141"/>
    </row>
    <row r="523" spans="8:8">
      <c r="H523" s="141"/>
    </row>
    <row r="524" spans="8:8">
      <c r="H524" s="141"/>
    </row>
    <row r="525" spans="8:8">
      <c r="H525" s="141"/>
    </row>
    <row r="526" spans="8:8">
      <c r="H526" s="141"/>
    </row>
    <row r="527" spans="8:8">
      <c r="H527" s="141"/>
    </row>
    <row r="528" spans="8:8">
      <c r="H528" s="141"/>
    </row>
    <row r="529" spans="8:8">
      <c r="H529" s="141"/>
    </row>
    <row r="530" spans="8:8">
      <c r="H530" s="141"/>
    </row>
    <row r="531" spans="8:8">
      <c r="H531" s="141"/>
    </row>
    <row r="532" spans="8:8">
      <c r="H532" s="141"/>
    </row>
    <row r="533" spans="8:8">
      <c r="H533" s="141"/>
    </row>
    <row r="534" spans="8:8">
      <c r="H534" s="141"/>
    </row>
    <row r="535" spans="8:8">
      <c r="H535" s="141"/>
    </row>
    <row r="536" spans="8:8">
      <c r="H536" s="141"/>
    </row>
    <row r="537" spans="8:8">
      <c r="H537" s="141"/>
    </row>
    <row r="538" spans="8:8">
      <c r="H538" s="141"/>
    </row>
    <row r="539" spans="8:8">
      <c r="H539" s="141"/>
    </row>
    <row r="540" spans="8:8">
      <c r="H540" s="141"/>
    </row>
    <row r="541" spans="8:8">
      <c r="H541" s="141"/>
    </row>
    <row r="542" spans="8:8">
      <c r="H542" s="141"/>
    </row>
    <row r="543" spans="8:8">
      <c r="H543" s="141"/>
    </row>
    <row r="544" spans="8:8">
      <c r="H544" s="141"/>
    </row>
    <row r="545" spans="8:8">
      <c r="H545" s="141"/>
    </row>
    <row r="546" spans="8:8">
      <c r="H546" s="141"/>
    </row>
    <row r="547" spans="8:8">
      <c r="H547" s="141"/>
    </row>
    <row r="548" spans="8:8">
      <c r="H548" s="141"/>
    </row>
    <row r="549" spans="8:8">
      <c r="H549" s="141"/>
    </row>
    <row r="550" spans="8:8">
      <c r="H550" s="141"/>
    </row>
    <row r="551" spans="8:8">
      <c r="H551" s="141"/>
    </row>
    <row r="552" spans="8:8">
      <c r="H552" s="141"/>
    </row>
    <row r="553" spans="8:8">
      <c r="H553" s="141"/>
    </row>
    <row r="554" spans="8:8">
      <c r="H554" s="141"/>
    </row>
    <row r="555" spans="8:8">
      <c r="H555" s="141"/>
    </row>
    <row r="556" spans="8:8">
      <c r="H556" s="141"/>
    </row>
    <row r="557" spans="8:8">
      <c r="H557" s="141"/>
    </row>
    <row r="558" spans="8:8">
      <c r="H558" s="141"/>
    </row>
    <row r="559" spans="8:8">
      <c r="H559" s="141"/>
    </row>
    <row r="560" spans="8:8">
      <c r="H560" s="141"/>
    </row>
    <row r="561" spans="8:8">
      <c r="H561" s="141"/>
    </row>
    <row r="562" spans="8:8">
      <c r="H562" s="141"/>
    </row>
    <row r="563" spans="8:8">
      <c r="H563" s="141"/>
    </row>
    <row r="564" spans="8:8">
      <c r="H564" s="141"/>
    </row>
    <row r="565" spans="8:8">
      <c r="H565" s="141"/>
    </row>
    <row r="566" spans="8:8">
      <c r="H566" s="141"/>
    </row>
    <row r="567" spans="8:8">
      <c r="H567" s="141"/>
    </row>
    <row r="568" spans="8:8">
      <c r="H568" s="141"/>
    </row>
    <row r="569" spans="8:8">
      <c r="H569" s="141"/>
    </row>
    <row r="570" spans="8:8">
      <c r="H570" s="141"/>
    </row>
    <row r="571" spans="8:8">
      <c r="H571" s="141"/>
    </row>
    <row r="572" spans="8:8">
      <c r="H572" s="141"/>
    </row>
    <row r="573" spans="8:8">
      <c r="H573" s="141"/>
    </row>
    <row r="574" spans="8:8">
      <c r="H574" s="141"/>
    </row>
    <row r="575" spans="8:8">
      <c r="H575" s="141"/>
    </row>
    <row r="576" spans="8:8">
      <c r="H576" s="141"/>
    </row>
    <row r="577" spans="8:8">
      <c r="H577" s="141"/>
    </row>
    <row r="578" spans="8:8">
      <c r="H578" s="141"/>
    </row>
    <row r="579" spans="8:8">
      <c r="H579" s="141"/>
    </row>
    <row r="580" spans="8:8">
      <c r="H580" s="141"/>
    </row>
    <row r="581" spans="8:8">
      <c r="H581" s="141"/>
    </row>
    <row r="582" spans="8:8">
      <c r="H582" s="141"/>
    </row>
    <row r="583" spans="8:8">
      <c r="H583" s="141"/>
    </row>
    <row r="584" spans="8:8">
      <c r="H584" s="141"/>
    </row>
    <row r="585" spans="8:8">
      <c r="H585" s="141"/>
    </row>
    <row r="586" spans="8:8">
      <c r="H586" s="141"/>
    </row>
    <row r="587" spans="8:8">
      <c r="H587" s="141"/>
    </row>
    <row r="588" spans="8:8">
      <c r="H588" s="141"/>
    </row>
    <row r="589" spans="8:8">
      <c r="H589" s="141"/>
    </row>
    <row r="590" spans="8:8">
      <c r="H590" s="141"/>
    </row>
    <row r="591" spans="8:8">
      <c r="H591" s="141"/>
    </row>
    <row r="592" spans="8:8">
      <c r="H592" s="141"/>
    </row>
    <row r="593" spans="8:8">
      <c r="H593" s="141"/>
    </row>
    <row r="594" spans="8:8">
      <c r="H594" s="141"/>
    </row>
    <row r="595" spans="8:8">
      <c r="H595" s="141"/>
    </row>
    <row r="596" spans="8:8">
      <c r="H596" s="141"/>
    </row>
    <row r="597" spans="8:8">
      <c r="H597" s="141"/>
    </row>
    <row r="598" spans="8:8">
      <c r="H598" s="141"/>
    </row>
    <row r="599" spans="8:8">
      <c r="H599" s="141"/>
    </row>
    <row r="600" spans="8:8">
      <c r="H600" s="141"/>
    </row>
    <row r="601" spans="8:8">
      <c r="H601" s="141"/>
    </row>
    <row r="602" spans="8:8">
      <c r="H602" s="141"/>
    </row>
    <row r="603" spans="8:8">
      <c r="H603" s="141"/>
    </row>
    <row r="604" spans="8:8">
      <c r="H604" s="141"/>
    </row>
    <row r="605" spans="8:8">
      <c r="H605" s="141"/>
    </row>
  </sheetData>
  <autoFilter ref="A10:S266" xr:uid="{00000000-0001-0000-0200-000000000000}"/>
  <phoneticPr fontId="0" type="noConversion"/>
  <pageMargins left="0.5" right="0.5" top="0.5" bottom="0.55000000000000004" header="0.5" footer="0.5"/>
  <pageSetup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W185"/>
  <sheetViews>
    <sheetView tabSelected="1" topLeftCell="A75" workbookViewId="0">
      <selection activeCell="F37" sqref="F37"/>
    </sheetView>
  </sheetViews>
  <sheetFormatPr defaultColWidth="15.21875" defaultRowHeight="12"/>
  <cols>
    <col min="1" max="1" width="23" style="130" customWidth="1"/>
    <col min="2" max="2" width="4" style="130" bestFit="1" customWidth="1"/>
    <col min="3" max="3" width="5.21875" style="141" customWidth="1"/>
    <col min="4" max="4" width="19.21875" style="130" customWidth="1"/>
    <col min="5" max="5" width="6.109375" style="130" customWidth="1"/>
    <col min="6" max="6" width="4.109375" style="130" customWidth="1"/>
    <col min="7" max="7" width="5.33203125" style="130" customWidth="1"/>
    <col min="8" max="8" width="5.44140625" style="130" customWidth="1"/>
    <col min="9" max="9" width="4.77734375" style="130" customWidth="1"/>
    <col min="10" max="11" width="6.109375" style="130" customWidth="1"/>
    <col min="12" max="12" width="16.77734375" style="130" customWidth="1"/>
    <col min="13" max="13" width="11" style="130" bestFit="1" customWidth="1"/>
    <col min="14" max="19" width="9.5546875" style="130" customWidth="1"/>
    <col min="20" max="16384" width="15.21875" style="130"/>
  </cols>
  <sheetData>
    <row r="1" spans="1:19">
      <c r="A1" s="220" t="s">
        <v>178</v>
      </c>
      <c r="B1" s="220"/>
      <c r="D1" s="141"/>
      <c r="E1" s="119" t="s">
        <v>404</v>
      </c>
      <c r="J1" s="141"/>
      <c r="K1" s="141"/>
      <c r="M1" s="123"/>
      <c r="N1" s="123"/>
      <c r="O1" s="123"/>
      <c r="P1" s="123"/>
      <c r="Q1" s="123"/>
      <c r="R1" s="123"/>
      <c r="S1" s="123"/>
    </row>
    <row r="2" spans="1:19" ht="15">
      <c r="A2" s="220" t="s">
        <v>0</v>
      </c>
      <c r="B2" s="220"/>
      <c r="D2" s="141"/>
      <c r="E2" s="120"/>
      <c r="J2" s="141"/>
      <c r="K2" s="141"/>
      <c r="M2" s="121"/>
      <c r="N2" s="324">
        <f>+'2112 Trks'!N2</f>
        <v>8</v>
      </c>
      <c r="O2" s="325" t="s">
        <v>1896</v>
      </c>
      <c r="P2" s="221"/>
      <c r="Q2" s="221"/>
      <c r="R2" s="221"/>
      <c r="S2" s="221"/>
    </row>
    <row r="3" spans="1:19" ht="15">
      <c r="A3" s="254">
        <f>Summary!H8</f>
        <v>45138</v>
      </c>
      <c r="B3" s="254"/>
      <c r="D3" s="141"/>
      <c r="E3" s="120"/>
      <c r="J3" s="141"/>
      <c r="K3" s="141"/>
      <c r="M3" s="121"/>
      <c r="N3" s="324">
        <f>+'2112 Trks'!N3</f>
        <v>7</v>
      </c>
      <c r="O3" s="325" t="s">
        <v>1897</v>
      </c>
      <c r="P3" s="221"/>
      <c r="Q3" s="221"/>
      <c r="R3" s="221"/>
      <c r="S3" s="221"/>
    </row>
    <row r="4" spans="1:19" ht="15">
      <c r="D4" s="141"/>
      <c r="E4" s="120"/>
      <c r="J4" s="141"/>
      <c r="K4" s="141"/>
      <c r="M4" s="121"/>
      <c r="N4" s="324">
        <f>+'2112 Trks'!N4</f>
        <v>2022</v>
      </c>
      <c r="O4" s="325" t="s">
        <v>1834</v>
      </c>
      <c r="P4" s="221"/>
      <c r="Q4" s="221"/>
      <c r="R4" s="221"/>
      <c r="S4" s="221"/>
    </row>
    <row r="5" spans="1:19" ht="11.25" customHeight="1">
      <c r="D5" s="141"/>
      <c r="E5" s="120"/>
      <c r="J5" s="141"/>
      <c r="K5" s="141"/>
      <c r="M5" s="121"/>
      <c r="N5" s="324">
        <f>+'2112 Trks'!N5</f>
        <v>2023</v>
      </c>
      <c r="O5" s="325" t="s">
        <v>11</v>
      </c>
      <c r="P5" s="221"/>
      <c r="Q5" s="221"/>
      <c r="R5" s="221"/>
      <c r="S5" s="221"/>
    </row>
    <row r="6" spans="1:19" ht="11.25" customHeight="1">
      <c r="J6" s="141"/>
      <c r="K6" s="141"/>
      <c r="N6" s="324">
        <f>+'2112 Trks'!N6</f>
        <v>2023.5833333333333</v>
      </c>
      <c r="O6" s="325" t="s">
        <v>1898</v>
      </c>
    </row>
    <row r="7" spans="1:19" ht="15">
      <c r="C7" s="255"/>
      <c r="D7" s="123"/>
      <c r="E7" s="123"/>
      <c r="F7" s="123"/>
      <c r="G7" s="123"/>
      <c r="H7" s="123"/>
      <c r="I7" s="123"/>
      <c r="J7" s="141"/>
      <c r="K7" s="141"/>
      <c r="N7" s="324">
        <f>+'2112 Trks'!N7</f>
        <v>2022.6666666666667</v>
      </c>
      <c r="O7" s="328" t="s">
        <v>1899</v>
      </c>
      <c r="Q7" s="130" t="s">
        <v>18</v>
      </c>
      <c r="R7" s="130" t="s">
        <v>73</v>
      </c>
    </row>
    <row r="8" spans="1:19">
      <c r="A8" s="127"/>
      <c r="B8" s="127"/>
      <c r="C8" s="127" t="s">
        <v>54</v>
      </c>
      <c r="D8" s="131"/>
      <c r="E8" s="127" t="s">
        <v>56</v>
      </c>
      <c r="F8" s="127"/>
      <c r="G8" s="132" t="s">
        <v>23</v>
      </c>
      <c r="H8" s="127" t="s">
        <v>54</v>
      </c>
      <c r="I8" s="127"/>
      <c r="J8" s="127" t="s">
        <v>24</v>
      </c>
      <c r="K8" s="126"/>
      <c r="L8" s="127" t="s">
        <v>54</v>
      </c>
      <c r="M8" s="131" t="s">
        <v>54</v>
      </c>
      <c r="N8" s="131"/>
      <c r="O8" s="131"/>
      <c r="P8" s="131" t="s">
        <v>65</v>
      </c>
      <c r="Q8" s="131" t="s">
        <v>72</v>
      </c>
      <c r="R8" s="131" t="s">
        <v>72</v>
      </c>
      <c r="S8" s="131" t="s">
        <v>38</v>
      </c>
    </row>
    <row r="9" spans="1:19">
      <c r="A9" s="127"/>
      <c r="B9" s="127"/>
      <c r="C9" s="127"/>
      <c r="D9" s="131"/>
      <c r="E9" s="127" t="s">
        <v>58</v>
      </c>
      <c r="F9" s="127"/>
      <c r="G9" s="132" t="s">
        <v>29</v>
      </c>
      <c r="H9" s="127" t="s">
        <v>30</v>
      </c>
      <c r="I9" s="127" t="s">
        <v>61</v>
      </c>
      <c r="J9" s="127" t="s">
        <v>62</v>
      </c>
      <c r="K9" s="127" t="s">
        <v>406</v>
      </c>
      <c r="L9" s="127" t="s">
        <v>31</v>
      </c>
      <c r="M9" s="127" t="s">
        <v>64</v>
      </c>
      <c r="N9" s="127" t="s">
        <v>66</v>
      </c>
      <c r="O9" s="127" t="s">
        <v>405</v>
      </c>
      <c r="P9" s="127" t="s">
        <v>24</v>
      </c>
      <c r="Q9" s="127" t="s">
        <v>64</v>
      </c>
      <c r="R9" s="127" t="s">
        <v>64</v>
      </c>
      <c r="S9" s="127" t="s">
        <v>45</v>
      </c>
    </row>
    <row r="10" spans="1:19">
      <c r="A10" s="133" t="s">
        <v>261</v>
      </c>
      <c r="B10" s="133" t="s">
        <v>52</v>
      </c>
      <c r="C10" s="133" t="s">
        <v>59</v>
      </c>
      <c r="D10" s="134" t="s">
        <v>60</v>
      </c>
      <c r="E10" s="133" t="s">
        <v>24</v>
      </c>
      <c r="F10" s="133" t="s">
        <v>39</v>
      </c>
      <c r="G10" s="135" t="s">
        <v>34</v>
      </c>
      <c r="H10" s="133" t="s">
        <v>40</v>
      </c>
      <c r="I10" s="133" t="s">
        <v>63</v>
      </c>
      <c r="J10" s="133" t="s">
        <v>64</v>
      </c>
      <c r="K10" s="133" t="s">
        <v>407</v>
      </c>
      <c r="L10" s="133" t="s">
        <v>42</v>
      </c>
      <c r="M10" s="133" t="s">
        <v>42</v>
      </c>
      <c r="N10" s="133" t="s">
        <v>64</v>
      </c>
      <c r="O10" s="133" t="s">
        <v>64</v>
      </c>
      <c r="P10" s="133" t="s">
        <v>64</v>
      </c>
      <c r="Q10" s="211">
        <f>+Summary!F8</f>
        <v>44774</v>
      </c>
      <c r="R10" s="211">
        <f>+Summary!G8</f>
        <v>45138</v>
      </c>
      <c r="S10" s="211">
        <f>+Summary!H8</f>
        <v>45138</v>
      </c>
    </row>
    <row r="11" spans="1:19">
      <c r="A11" s="221"/>
      <c r="B11" s="221"/>
      <c r="C11" s="255"/>
      <c r="D11" s="226" t="s">
        <v>79</v>
      </c>
      <c r="E11" s="259"/>
      <c r="F11" s="141"/>
      <c r="G11" s="143"/>
      <c r="H11" s="141"/>
      <c r="I11" s="141"/>
      <c r="J11" s="141"/>
      <c r="K11" s="141"/>
      <c r="L11" s="229"/>
      <c r="M11" s="123"/>
      <c r="N11" s="123"/>
      <c r="O11" s="123"/>
      <c r="P11" s="123"/>
      <c r="Q11" s="123"/>
      <c r="R11" s="123"/>
      <c r="S11" s="123"/>
    </row>
    <row r="12" spans="1:19">
      <c r="A12" s="142"/>
      <c r="B12" s="142"/>
      <c r="C12" s="141">
        <v>8</v>
      </c>
      <c r="D12" s="229" t="s">
        <v>301</v>
      </c>
      <c r="E12" s="143">
        <v>2014</v>
      </c>
      <c r="F12" s="141">
        <v>8</v>
      </c>
      <c r="G12" s="144">
        <v>0</v>
      </c>
      <c r="H12" s="141" t="s">
        <v>51</v>
      </c>
      <c r="I12" s="141">
        <v>5</v>
      </c>
      <c r="J12" s="143">
        <f t="shared" ref="J12:J17" si="0">E12+I12</f>
        <v>2019</v>
      </c>
      <c r="K12" s="223">
        <f t="shared" ref="K12:K17" si="1">+J12+(F12/12)</f>
        <v>2019.6666666666667</v>
      </c>
      <c r="L12" s="170">
        <v>6270</v>
      </c>
      <c r="M12" s="136">
        <f t="shared" ref="M12:M19" si="2">L12-L12*G12</f>
        <v>6270</v>
      </c>
      <c r="N12" s="136">
        <f t="shared" ref="N12:N19" si="3">M12/I12/12</f>
        <v>104.5</v>
      </c>
      <c r="O12" s="136">
        <f t="shared" ref="O12:O19" si="4">N12*12</f>
        <v>1254</v>
      </c>
      <c r="P12" s="329">
        <f>+IF(K12&lt;=$N$6,0,O12)</f>
        <v>0</v>
      </c>
      <c r="Q12" s="329">
        <f t="shared" ref="Q12:Q19" si="5">+IF($K12&lt;=$N$7,$L12,IF(($E12+($F12/12))&gt;=$N$7,0,((($M12-((($K12-$N$7)*12)*$N12))))))</f>
        <v>6270</v>
      </c>
      <c r="R12" s="136">
        <f>+IF(K12&lt;=$N$6,M12,IF(P12=0,Q12,Q12+P12))</f>
        <v>6270</v>
      </c>
      <c r="S12" s="136">
        <f t="shared" ref="S12:S19" si="6">+L12-R12</f>
        <v>0</v>
      </c>
    </row>
    <row r="13" spans="1:19">
      <c r="A13" s="142">
        <v>130854</v>
      </c>
      <c r="B13" s="142"/>
      <c r="C13" s="141">
        <v>1</v>
      </c>
      <c r="D13" s="256" t="s">
        <v>332</v>
      </c>
      <c r="E13" s="143">
        <v>2005</v>
      </c>
      <c r="F13" s="141">
        <v>3</v>
      </c>
      <c r="G13" s="144">
        <v>0</v>
      </c>
      <c r="H13" s="141" t="s">
        <v>51</v>
      </c>
      <c r="I13" s="141">
        <v>5</v>
      </c>
      <c r="J13" s="143">
        <f t="shared" si="0"/>
        <v>2010</v>
      </c>
      <c r="K13" s="223">
        <f t="shared" si="1"/>
        <v>2010.25</v>
      </c>
      <c r="L13" s="170">
        <v>9807.39</v>
      </c>
      <c r="M13" s="136">
        <f t="shared" si="2"/>
        <v>9807.39</v>
      </c>
      <c r="N13" s="136">
        <f t="shared" si="3"/>
        <v>163.45649999999998</v>
      </c>
      <c r="O13" s="136">
        <f t="shared" si="4"/>
        <v>1961.4779999999996</v>
      </c>
      <c r="P13" s="329">
        <f t="shared" ref="P13:P19" si="7">+IF(K13&lt;=$N$6,0,O13)</f>
        <v>0</v>
      </c>
      <c r="Q13" s="329">
        <f t="shared" si="5"/>
        <v>9807.39</v>
      </c>
      <c r="R13" s="136">
        <f t="shared" ref="R13:R19" si="8">+IF(K13&lt;=$N$6,M13,IF(P13=0,Q13,Q13+P13))</f>
        <v>9807.39</v>
      </c>
      <c r="S13" s="136">
        <f t="shared" si="6"/>
        <v>0</v>
      </c>
    </row>
    <row r="14" spans="1:19">
      <c r="A14" s="142">
        <v>174644</v>
      </c>
      <c r="B14" s="142"/>
      <c r="C14" s="141">
        <v>102</v>
      </c>
      <c r="D14" s="256" t="s">
        <v>365</v>
      </c>
      <c r="E14" s="143">
        <v>2011</v>
      </c>
      <c r="F14" s="141">
        <v>12</v>
      </c>
      <c r="G14" s="144">
        <v>0</v>
      </c>
      <c r="H14" s="141" t="s">
        <v>51</v>
      </c>
      <c r="I14" s="141">
        <v>3</v>
      </c>
      <c r="J14" s="143">
        <f t="shared" si="0"/>
        <v>2014</v>
      </c>
      <c r="K14" s="223">
        <f t="shared" si="1"/>
        <v>2015</v>
      </c>
      <c r="L14" s="170">
        <v>27526</v>
      </c>
      <c r="M14" s="136">
        <f t="shared" si="2"/>
        <v>27526</v>
      </c>
      <c r="N14" s="136">
        <f t="shared" si="3"/>
        <v>764.6111111111112</v>
      </c>
      <c r="O14" s="136">
        <f t="shared" si="4"/>
        <v>9175.3333333333339</v>
      </c>
      <c r="P14" s="329">
        <f t="shared" si="7"/>
        <v>0</v>
      </c>
      <c r="Q14" s="329">
        <f t="shared" si="5"/>
        <v>27526</v>
      </c>
      <c r="R14" s="136">
        <f t="shared" si="8"/>
        <v>27526</v>
      </c>
      <c r="S14" s="136">
        <f t="shared" si="6"/>
        <v>0</v>
      </c>
    </row>
    <row r="15" spans="1:19">
      <c r="A15" s="142">
        <v>227697</v>
      </c>
      <c r="B15" s="142"/>
      <c r="C15" s="141">
        <v>12</v>
      </c>
      <c r="D15" s="256" t="s">
        <v>499</v>
      </c>
      <c r="E15" s="143">
        <v>2011</v>
      </c>
      <c r="F15" s="141">
        <v>12</v>
      </c>
      <c r="G15" s="144">
        <v>0</v>
      </c>
      <c r="H15" s="141" t="s">
        <v>51</v>
      </c>
      <c r="I15" s="141">
        <v>3</v>
      </c>
      <c r="J15" s="143">
        <f t="shared" si="0"/>
        <v>2014</v>
      </c>
      <c r="K15" s="223">
        <f t="shared" si="1"/>
        <v>2015</v>
      </c>
      <c r="L15" s="170">
        <v>19878.099999999999</v>
      </c>
      <c r="M15" s="136">
        <f t="shared" si="2"/>
        <v>19878.099999999999</v>
      </c>
      <c r="N15" s="136">
        <f t="shared" si="3"/>
        <v>552.16944444444437</v>
      </c>
      <c r="O15" s="136">
        <f t="shared" si="4"/>
        <v>6626.0333333333328</v>
      </c>
      <c r="P15" s="329">
        <f t="shared" si="7"/>
        <v>0</v>
      </c>
      <c r="Q15" s="329">
        <f t="shared" si="5"/>
        <v>19878.099999999999</v>
      </c>
      <c r="R15" s="136">
        <f t="shared" si="8"/>
        <v>19878.099999999999</v>
      </c>
      <c r="S15" s="136">
        <f t="shared" si="6"/>
        <v>0</v>
      </c>
    </row>
    <row r="16" spans="1:19">
      <c r="A16" s="142">
        <v>235326</v>
      </c>
      <c r="B16" s="142"/>
      <c r="C16" s="141" t="s">
        <v>550</v>
      </c>
      <c r="D16" s="256" t="s">
        <v>552</v>
      </c>
      <c r="E16" s="143">
        <v>2020</v>
      </c>
      <c r="F16" s="141">
        <v>7</v>
      </c>
      <c r="G16" s="144">
        <v>0</v>
      </c>
      <c r="H16" s="141" t="s">
        <v>51</v>
      </c>
      <c r="I16" s="141">
        <v>5</v>
      </c>
      <c r="J16" s="143">
        <f t="shared" si="0"/>
        <v>2025</v>
      </c>
      <c r="K16" s="223">
        <f t="shared" si="1"/>
        <v>2025.5833333333333</v>
      </c>
      <c r="L16" s="170">
        <v>24681.4</v>
      </c>
      <c r="M16" s="136">
        <f t="shared" si="2"/>
        <v>24681.4</v>
      </c>
      <c r="N16" s="136">
        <f t="shared" si="3"/>
        <v>411.35666666666674</v>
      </c>
      <c r="O16" s="136">
        <f t="shared" si="4"/>
        <v>4936.2800000000007</v>
      </c>
      <c r="P16" s="329">
        <f t="shared" si="7"/>
        <v>4936.2800000000007</v>
      </c>
      <c r="Q16" s="329">
        <f>+IF($K16&lt;=$N$7,$L16,IF(($E16+($F16/12))&gt;=$N$7,0,((($M16-((($K16-$N$7)*12)*$N16))))))</f>
        <v>10283.916666667414</v>
      </c>
      <c r="R16" s="136">
        <f t="shared" si="8"/>
        <v>15220.196666667414</v>
      </c>
      <c r="S16" s="136">
        <f t="shared" si="6"/>
        <v>9461.2033333325871</v>
      </c>
    </row>
    <row r="17" spans="1:19">
      <c r="A17" s="142">
        <v>235327</v>
      </c>
      <c r="B17" s="142"/>
      <c r="C17" s="141" t="s">
        <v>551</v>
      </c>
      <c r="D17" s="256" t="s">
        <v>552</v>
      </c>
      <c r="E17" s="143">
        <v>2020</v>
      </c>
      <c r="F17" s="141">
        <v>7</v>
      </c>
      <c r="G17" s="144">
        <v>0</v>
      </c>
      <c r="H17" s="141" t="s">
        <v>51</v>
      </c>
      <c r="I17" s="141">
        <v>5</v>
      </c>
      <c r="J17" s="143">
        <f t="shared" si="0"/>
        <v>2025</v>
      </c>
      <c r="K17" s="223">
        <f t="shared" si="1"/>
        <v>2025.5833333333333</v>
      </c>
      <c r="L17" s="170">
        <v>24681.4</v>
      </c>
      <c r="M17" s="136">
        <f t="shared" si="2"/>
        <v>24681.4</v>
      </c>
      <c r="N17" s="136">
        <f t="shared" si="3"/>
        <v>411.35666666666674</v>
      </c>
      <c r="O17" s="136">
        <f t="shared" si="4"/>
        <v>4936.2800000000007</v>
      </c>
      <c r="P17" s="329">
        <f t="shared" si="7"/>
        <v>4936.2800000000007</v>
      </c>
      <c r="Q17" s="329">
        <f t="shared" si="5"/>
        <v>10283.916666667414</v>
      </c>
      <c r="R17" s="136">
        <f t="shared" si="8"/>
        <v>15220.196666667414</v>
      </c>
      <c r="S17" s="136">
        <f t="shared" si="6"/>
        <v>9461.2033333325871</v>
      </c>
    </row>
    <row r="18" spans="1:19">
      <c r="A18" s="283">
        <v>239568</v>
      </c>
      <c r="B18" s="283"/>
      <c r="C18" s="141">
        <v>48</v>
      </c>
      <c r="D18" s="198" t="s">
        <v>553</v>
      </c>
      <c r="E18" s="143">
        <v>2020</v>
      </c>
      <c r="F18" s="143">
        <v>9</v>
      </c>
      <c r="G18" s="144">
        <v>0</v>
      </c>
      <c r="H18" s="141" t="s">
        <v>51</v>
      </c>
      <c r="I18" s="141">
        <v>5</v>
      </c>
      <c r="J18" s="141">
        <f>E18+I18</f>
        <v>2025</v>
      </c>
      <c r="K18" s="143">
        <f>+J18+(F18/12)</f>
        <v>2025.75</v>
      </c>
      <c r="L18" s="261">
        <v>38576.639999999999</v>
      </c>
      <c r="M18" s="136">
        <f t="shared" si="2"/>
        <v>38576.639999999999</v>
      </c>
      <c r="N18" s="136">
        <f t="shared" si="3"/>
        <v>642.94399999999996</v>
      </c>
      <c r="O18" s="136">
        <f t="shared" si="4"/>
        <v>7715.3279999999995</v>
      </c>
      <c r="P18" s="329">
        <f t="shared" si="7"/>
        <v>7715.3279999999995</v>
      </c>
      <c r="Q18" s="329">
        <f t="shared" si="5"/>
        <v>14787.712000000585</v>
      </c>
      <c r="R18" s="136">
        <f t="shared" si="8"/>
        <v>22503.040000000583</v>
      </c>
      <c r="S18" s="136">
        <f t="shared" si="6"/>
        <v>16073.599999999416</v>
      </c>
    </row>
    <row r="19" spans="1:19">
      <c r="A19" s="283">
        <v>240607</v>
      </c>
      <c r="B19" s="283"/>
      <c r="C19" s="141">
        <v>48</v>
      </c>
      <c r="D19" s="198" t="s">
        <v>554</v>
      </c>
      <c r="E19" s="143">
        <v>2020</v>
      </c>
      <c r="F19" s="143">
        <v>9</v>
      </c>
      <c r="G19" s="144">
        <v>0</v>
      </c>
      <c r="H19" s="141" t="s">
        <v>51</v>
      </c>
      <c r="I19" s="141">
        <v>5</v>
      </c>
      <c r="J19" s="141">
        <f>E19+I19</f>
        <v>2025</v>
      </c>
      <c r="K19" s="143">
        <f>+J19+(F19/12)</f>
        <v>2025.75</v>
      </c>
      <c r="L19" s="261">
        <v>161.66999999999999</v>
      </c>
      <c r="M19" s="136">
        <f t="shared" si="2"/>
        <v>161.66999999999999</v>
      </c>
      <c r="N19" s="136">
        <f t="shared" si="3"/>
        <v>2.6944999999999997</v>
      </c>
      <c r="O19" s="136">
        <f t="shared" si="4"/>
        <v>32.333999999999996</v>
      </c>
      <c r="P19" s="329">
        <f t="shared" si="7"/>
        <v>32.333999999999996</v>
      </c>
      <c r="Q19" s="329">
        <f t="shared" si="5"/>
        <v>61.973500000002446</v>
      </c>
      <c r="R19" s="136">
        <f t="shared" si="8"/>
        <v>94.307500000002449</v>
      </c>
      <c r="S19" s="136">
        <f t="shared" si="6"/>
        <v>67.362499999997539</v>
      </c>
    </row>
    <row r="20" spans="1:19">
      <c r="A20" s="134"/>
      <c r="B20" s="134"/>
      <c r="C20" s="133"/>
      <c r="D20" s="134"/>
      <c r="E20" s="133"/>
      <c r="F20" s="133"/>
      <c r="G20" s="135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</row>
    <row r="21" spans="1:19">
      <c r="A21" s="287"/>
      <c r="B21" s="287"/>
      <c r="C21" s="257"/>
      <c r="D21" s="257" t="s">
        <v>525</v>
      </c>
      <c r="E21" s="257"/>
      <c r="F21" s="257"/>
      <c r="G21" s="257"/>
      <c r="H21" s="257"/>
      <c r="I21" s="257"/>
      <c r="J21" s="257"/>
      <c r="K21" s="257"/>
      <c r="L21" s="257">
        <f t="shared" ref="L21:S21" si="9">SUM(L12:L20)</f>
        <v>151582.6</v>
      </c>
      <c r="M21" s="257">
        <f t="shared" si="9"/>
        <v>151582.6</v>
      </c>
      <c r="N21" s="257">
        <f t="shared" si="9"/>
        <v>3053.088888888889</v>
      </c>
      <c r="O21" s="257">
        <f t="shared" si="9"/>
        <v>36637.066666666666</v>
      </c>
      <c r="P21" s="257">
        <f t="shared" si="9"/>
        <v>17620.221999999998</v>
      </c>
      <c r="Q21" s="257">
        <f t="shared" si="9"/>
        <v>98899.008833335407</v>
      </c>
      <c r="R21" s="257">
        <f t="shared" si="9"/>
        <v>116519.2308333354</v>
      </c>
      <c r="S21" s="257">
        <f t="shared" si="9"/>
        <v>35063.369166664583</v>
      </c>
    </row>
    <row r="22" spans="1:19">
      <c r="A22" s="134"/>
      <c r="B22" s="134"/>
      <c r="C22" s="133"/>
      <c r="D22" s="134"/>
      <c r="E22" s="133"/>
      <c r="F22" s="133"/>
      <c r="G22" s="135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>
      <c r="A23" s="221"/>
      <c r="B23" s="221"/>
      <c r="C23" s="255"/>
      <c r="D23" s="226" t="s">
        <v>80</v>
      </c>
      <c r="E23" s="259"/>
      <c r="F23" s="141"/>
      <c r="G23" s="143"/>
      <c r="H23" s="141"/>
      <c r="I23" s="141"/>
      <c r="J23" s="141"/>
      <c r="K23" s="141"/>
      <c r="L23" s="229"/>
      <c r="M23" s="123"/>
      <c r="N23" s="123"/>
      <c r="O23" s="123"/>
      <c r="P23" s="123"/>
      <c r="Q23" s="123"/>
      <c r="R23" s="123"/>
      <c r="S23" s="123"/>
    </row>
    <row r="24" spans="1:19">
      <c r="A24" s="221"/>
      <c r="B24" s="221"/>
      <c r="C24" s="255"/>
      <c r="D24" s="130" t="s">
        <v>225</v>
      </c>
      <c r="E24" s="259">
        <v>2009</v>
      </c>
      <c r="F24" s="259">
        <v>1</v>
      </c>
      <c r="G24" s="260">
        <v>0</v>
      </c>
      <c r="H24" s="141" t="s">
        <v>51</v>
      </c>
      <c r="I24" s="259">
        <v>7</v>
      </c>
      <c r="J24" s="141">
        <f t="shared" ref="J24:J35" si="10">E24+I24</f>
        <v>2016</v>
      </c>
      <c r="K24" s="143">
        <f t="shared" ref="K24:K35" si="11">+J24+(F24/12)</f>
        <v>2016.0833333333333</v>
      </c>
      <c r="L24" s="261">
        <v>11780.91</v>
      </c>
      <c r="M24" s="136">
        <f t="shared" ref="M24:M35" si="12">L24-L24*G24</f>
        <v>11780.91</v>
      </c>
      <c r="N24" s="136">
        <f t="shared" ref="N24:N33" si="13">M24/I24/12</f>
        <v>140.24892857142856</v>
      </c>
      <c r="O24" s="136">
        <f t="shared" ref="O24:O33" si="14">N24*12</f>
        <v>1682.9871428571428</v>
      </c>
      <c r="P24" s="329">
        <f t="shared" ref="P24:P46" si="15">+IF(K24&lt;=$N$6,0,O24)</f>
        <v>0</v>
      </c>
      <c r="Q24" s="329">
        <f t="shared" ref="Q24:Q46" si="16">+IF($K24&lt;=$N$7,$L24,IF(($E24+($F24/12))&gt;=$N$7,0,((($M24-((($K24-$N$7)*12)*$N24))))))</f>
        <v>11780.91</v>
      </c>
      <c r="R24" s="136">
        <f t="shared" ref="R24:R46" si="17">+IF(K24&lt;=$N$6,M24,IF(P24=0,Q24,Q24+P24))</f>
        <v>11780.91</v>
      </c>
      <c r="S24" s="136">
        <f t="shared" ref="S24:S46" si="18">+L24-R24</f>
        <v>0</v>
      </c>
    </row>
    <row r="25" spans="1:19">
      <c r="A25" s="142">
        <v>87711</v>
      </c>
      <c r="B25" s="142"/>
      <c r="C25" s="141">
        <v>737</v>
      </c>
      <c r="D25" s="130" t="s">
        <v>280</v>
      </c>
      <c r="E25" s="259">
        <v>2011</v>
      </c>
      <c r="F25" s="259">
        <v>11</v>
      </c>
      <c r="G25" s="260">
        <v>0</v>
      </c>
      <c r="H25" s="141" t="s">
        <v>51</v>
      </c>
      <c r="I25" s="259">
        <v>7</v>
      </c>
      <c r="J25" s="141">
        <f t="shared" si="10"/>
        <v>2018</v>
      </c>
      <c r="K25" s="143">
        <f t="shared" si="11"/>
        <v>2018.9166666666667</v>
      </c>
      <c r="L25" s="261">
        <v>37526.769999999997</v>
      </c>
      <c r="M25" s="136">
        <f t="shared" si="12"/>
        <v>37526.769999999997</v>
      </c>
      <c r="N25" s="136">
        <f t="shared" si="13"/>
        <v>446.7472619047619</v>
      </c>
      <c r="O25" s="136">
        <f t="shared" si="14"/>
        <v>5360.9671428571428</v>
      </c>
      <c r="P25" s="329">
        <f t="shared" si="15"/>
        <v>0</v>
      </c>
      <c r="Q25" s="329">
        <f t="shared" si="16"/>
        <v>37526.769999999997</v>
      </c>
      <c r="R25" s="136">
        <f t="shared" si="17"/>
        <v>37526.769999999997</v>
      </c>
      <c r="S25" s="136">
        <f t="shared" si="18"/>
        <v>0</v>
      </c>
    </row>
    <row r="26" spans="1:19">
      <c r="A26" s="221"/>
      <c r="B26" s="221"/>
      <c r="C26" s="255"/>
      <c r="D26" s="130" t="s">
        <v>244</v>
      </c>
      <c r="E26" s="259">
        <v>2011</v>
      </c>
      <c r="F26" s="259">
        <v>12</v>
      </c>
      <c r="G26" s="260">
        <v>0</v>
      </c>
      <c r="H26" s="141" t="s">
        <v>51</v>
      </c>
      <c r="I26" s="259">
        <v>7</v>
      </c>
      <c r="J26" s="141">
        <f t="shared" si="10"/>
        <v>2018</v>
      </c>
      <c r="K26" s="143">
        <f t="shared" si="11"/>
        <v>2019</v>
      </c>
      <c r="L26" s="261">
        <v>10539.68</v>
      </c>
      <c r="M26" s="136">
        <f t="shared" si="12"/>
        <v>10539.68</v>
      </c>
      <c r="N26" s="136">
        <f t="shared" si="13"/>
        <v>125.47238095238096</v>
      </c>
      <c r="O26" s="136">
        <f t="shared" si="14"/>
        <v>1505.6685714285716</v>
      </c>
      <c r="P26" s="329">
        <f t="shared" si="15"/>
        <v>0</v>
      </c>
      <c r="Q26" s="329">
        <f t="shared" si="16"/>
        <v>10539.68</v>
      </c>
      <c r="R26" s="136">
        <f t="shared" si="17"/>
        <v>10539.68</v>
      </c>
      <c r="S26" s="136">
        <f t="shared" si="18"/>
        <v>0</v>
      </c>
    </row>
    <row r="27" spans="1:19">
      <c r="A27" s="221"/>
      <c r="B27" s="221"/>
      <c r="C27" s="255"/>
      <c r="D27" s="130" t="s">
        <v>245</v>
      </c>
      <c r="E27" s="259">
        <v>2011</v>
      </c>
      <c r="F27" s="259">
        <v>12</v>
      </c>
      <c r="G27" s="260">
        <v>0</v>
      </c>
      <c r="H27" s="141" t="s">
        <v>51</v>
      </c>
      <c r="I27" s="259">
        <v>7</v>
      </c>
      <c r="J27" s="141">
        <f t="shared" si="10"/>
        <v>2018</v>
      </c>
      <c r="K27" s="143">
        <f t="shared" si="11"/>
        <v>2019</v>
      </c>
      <c r="L27" s="261">
        <v>6023.6</v>
      </c>
      <c r="M27" s="136">
        <f t="shared" si="12"/>
        <v>6023.6</v>
      </c>
      <c r="N27" s="136">
        <f t="shared" si="13"/>
        <v>71.709523809523816</v>
      </c>
      <c r="O27" s="136">
        <f t="shared" si="14"/>
        <v>860.51428571428573</v>
      </c>
      <c r="P27" s="329">
        <f t="shared" si="15"/>
        <v>0</v>
      </c>
      <c r="Q27" s="329">
        <f t="shared" si="16"/>
        <v>6023.6</v>
      </c>
      <c r="R27" s="136">
        <f t="shared" si="17"/>
        <v>6023.6</v>
      </c>
      <c r="S27" s="136">
        <f t="shared" si="18"/>
        <v>0</v>
      </c>
    </row>
    <row r="28" spans="1:19">
      <c r="A28" s="221"/>
      <c r="B28" s="221"/>
      <c r="C28" s="255"/>
      <c r="D28" s="130" t="s">
        <v>253</v>
      </c>
      <c r="E28" s="259">
        <v>2012</v>
      </c>
      <c r="F28" s="259">
        <v>4</v>
      </c>
      <c r="G28" s="260">
        <v>0</v>
      </c>
      <c r="H28" s="141" t="s">
        <v>51</v>
      </c>
      <c r="I28" s="259">
        <v>7</v>
      </c>
      <c r="J28" s="141">
        <f t="shared" si="10"/>
        <v>2019</v>
      </c>
      <c r="K28" s="143">
        <f t="shared" si="11"/>
        <v>2019.3333333333333</v>
      </c>
      <c r="L28" s="261">
        <v>466.06</v>
      </c>
      <c r="M28" s="136">
        <f t="shared" si="12"/>
        <v>466.06</v>
      </c>
      <c r="N28" s="136">
        <f t="shared" si="13"/>
        <v>5.5483333333333329</v>
      </c>
      <c r="O28" s="136">
        <f t="shared" si="14"/>
        <v>66.58</v>
      </c>
      <c r="P28" s="329">
        <f t="shared" si="15"/>
        <v>0</v>
      </c>
      <c r="Q28" s="329">
        <f t="shared" si="16"/>
        <v>466.06</v>
      </c>
      <c r="R28" s="136">
        <f t="shared" si="17"/>
        <v>466.06</v>
      </c>
      <c r="S28" s="136">
        <f t="shared" si="18"/>
        <v>0</v>
      </c>
    </row>
    <row r="29" spans="1:19">
      <c r="A29" s="142" t="s">
        <v>272</v>
      </c>
      <c r="B29" s="142"/>
      <c r="C29" s="255"/>
      <c r="D29" s="130" t="s">
        <v>260</v>
      </c>
      <c r="E29" s="259">
        <v>2013</v>
      </c>
      <c r="F29" s="259">
        <v>5</v>
      </c>
      <c r="G29" s="260">
        <v>0</v>
      </c>
      <c r="H29" s="141" t="s">
        <v>51</v>
      </c>
      <c r="I29" s="259">
        <v>7</v>
      </c>
      <c r="J29" s="141">
        <f t="shared" si="10"/>
        <v>2020</v>
      </c>
      <c r="K29" s="143">
        <f t="shared" si="11"/>
        <v>2020.4166666666667</v>
      </c>
      <c r="L29" s="261">
        <f>23494.65</f>
        <v>23494.65</v>
      </c>
      <c r="M29" s="136">
        <f t="shared" si="12"/>
        <v>23494.65</v>
      </c>
      <c r="N29" s="136">
        <f t="shared" si="13"/>
        <v>279.6982142857143</v>
      </c>
      <c r="O29" s="136">
        <f t="shared" si="14"/>
        <v>3356.3785714285714</v>
      </c>
      <c r="P29" s="329">
        <f t="shared" si="15"/>
        <v>0</v>
      </c>
      <c r="Q29" s="329">
        <f t="shared" si="16"/>
        <v>23494.65</v>
      </c>
      <c r="R29" s="136">
        <f t="shared" si="17"/>
        <v>23494.65</v>
      </c>
      <c r="S29" s="136">
        <f t="shared" si="18"/>
        <v>0</v>
      </c>
    </row>
    <row r="30" spans="1:19">
      <c r="A30" s="142">
        <v>128860</v>
      </c>
      <c r="B30" s="142"/>
      <c r="C30" s="255"/>
      <c r="D30" s="130" t="s">
        <v>321</v>
      </c>
      <c r="E30" s="259">
        <v>2015</v>
      </c>
      <c r="F30" s="259">
        <v>11</v>
      </c>
      <c r="G30" s="260">
        <v>0</v>
      </c>
      <c r="H30" s="141" t="s">
        <v>51</v>
      </c>
      <c r="I30" s="259">
        <v>5</v>
      </c>
      <c r="J30" s="141">
        <f t="shared" si="10"/>
        <v>2020</v>
      </c>
      <c r="K30" s="143">
        <f t="shared" si="11"/>
        <v>2020.9166666666667</v>
      </c>
      <c r="L30" s="261">
        <v>6914.84</v>
      </c>
      <c r="M30" s="136">
        <f t="shared" si="12"/>
        <v>6914.84</v>
      </c>
      <c r="N30" s="136">
        <f t="shared" si="13"/>
        <v>115.24733333333334</v>
      </c>
      <c r="O30" s="136">
        <f t="shared" si="14"/>
        <v>1382.9680000000001</v>
      </c>
      <c r="P30" s="329">
        <f t="shared" si="15"/>
        <v>0</v>
      </c>
      <c r="Q30" s="329">
        <f t="shared" si="16"/>
        <v>6914.84</v>
      </c>
      <c r="R30" s="136">
        <f t="shared" si="17"/>
        <v>6914.84</v>
      </c>
      <c r="S30" s="136">
        <f t="shared" si="18"/>
        <v>0</v>
      </c>
    </row>
    <row r="31" spans="1:19">
      <c r="A31" s="142">
        <v>171683</v>
      </c>
      <c r="B31" s="142"/>
      <c r="C31" s="255"/>
      <c r="D31" s="130" t="s">
        <v>343</v>
      </c>
      <c r="E31" s="259">
        <v>2016</v>
      </c>
      <c r="F31" s="259">
        <v>12</v>
      </c>
      <c r="G31" s="260">
        <v>0</v>
      </c>
      <c r="H31" s="141" t="s">
        <v>51</v>
      </c>
      <c r="I31" s="259">
        <v>5</v>
      </c>
      <c r="J31" s="141">
        <f t="shared" si="10"/>
        <v>2021</v>
      </c>
      <c r="K31" s="143">
        <f t="shared" si="11"/>
        <v>2022</v>
      </c>
      <c r="L31" s="261">
        <v>4742.5</v>
      </c>
      <c r="M31" s="136">
        <f t="shared" si="12"/>
        <v>4742.5</v>
      </c>
      <c r="N31" s="136">
        <f t="shared" si="13"/>
        <v>79.041666666666671</v>
      </c>
      <c r="O31" s="136">
        <f t="shared" si="14"/>
        <v>948.5</v>
      </c>
      <c r="P31" s="329">
        <f t="shared" si="15"/>
        <v>0</v>
      </c>
      <c r="Q31" s="329">
        <f t="shared" si="16"/>
        <v>4742.5</v>
      </c>
      <c r="R31" s="136">
        <f t="shared" si="17"/>
        <v>4742.5</v>
      </c>
      <c r="S31" s="136">
        <f t="shared" si="18"/>
        <v>0</v>
      </c>
    </row>
    <row r="32" spans="1:19">
      <c r="A32" s="142">
        <v>186110</v>
      </c>
      <c r="B32" s="142"/>
      <c r="C32" s="255"/>
      <c r="D32" s="130" t="s">
        <v>390</v>
      </c>
      <c r="E32" s="259">
        <v>2017</v>
      </c>
      <c r="F32" s="259">
        <v>9</v>
      </c>
      <c r="G32" s="260">
        <v>0</v>
      </c>
      <c r="H32" s="141" t="s">
        <v>51</v>
      </c>
      <c r="I32" s="259">
        <v>5</v>
      </c>
      <c r="J32" s="141">
        <f t="shared" si="10"/>
        <v>2022</v>
      </c>
      <c r="K32" s="143">
        <f t="shared" si="11"/>
        <v>2022.75</v>
      </c>
      <c r="L32" s="261">
        <v>9103.43</v>
      </c>
      <c r="M32" s="136">
        <f t="shared" si="12"/>
        <v>9103.43</v>
      </c>
      <c r="N32" s="136">
        <f t="shared" si="13"/>
        <v>151.72383333333335</v>
      </c>
      <c r="O32" s="136">
        <f t="shared" si="14"/>
        <v>1820.6860000000001</v>
      </c>
      <c r="P32" s="490">
        <f t="shared" si="15"/>
        <v>0</v>
      </c>
      <c r="Q32" s="490">
        <f t="shared" si="16"/>
        <v>8951.7061666668051</v>
      </c>
      <c r="R32" s="136">
        <f t="shared" si="17"/>
        <v>9103.43</v>
      </c>
      <c r="S32" s="136">
        <f t="shared" si="18"/>
        <v>0</v>
      </c>
    </row>
    <row r="33" spans="1:19">
      <c r="A33" s="142" t="s">
        <v>394</v>
      </c>
      <c r="B33" s="142"/>
      <c r="C33" s="255"/>
      <c r="D33" s="130" t="s">
        <v>391</v>
      </c>
      <c r="E33" s="259">
        <v>2017</v>
      </c>
      <c r="F33" s="259">
        <v>9</v>
      </c>
      <c r="G33" s="260">
        <v>0</v>
      </c>
      <c r="H33" s="141" t="s">
        <v>51</v>
      </c>
      <c r="I33" s="259">
        <v>3</v>
      </c>
      <c r="J33" s="141">
        <f t="shared" si="10"/>
        <v>2020</v>
      </c>
      <c r="K33" s="143">
        <f t="shared" si="11"/>
        <v>2020.75</v>
      </c>
      <c r="L33" s="261">
        <f>1011.73+196.51</f>
        <v>1208.24</v>
      </c>
      <c r="M33" s="136">
        <f t="shared" si="12"/>
        <v>1208.24</v>
      </c>
      <c r="N33" s="136">
        <f t="shared" si="13"/>
        <v>33.562222222222225</v>
      </c>
      <c r="O33" s="136">
        <f t="shared" si="14"/>
        <v>402.74666666666667</v>
      </c>
      <c r="P33" s="329">
        <f t="shared" si="15"/>
        <v>0</v>
      </c>
      <c r="Q33" s="329">
        <f t="shared" si="16"/>
        <v>1208.24</v>
      </c>
      <c r="R33" s="136">
        <f t="shared" si="17"/>
        <v>1208.24</v>
      </c>
      <c r="S33" s="136">
        <f t="shared" si="18"/>
        <v>0</v>
      </c>
    </row>
    <row r="34" spans="1:19">
      <c r="A34" s="288">
        <v>194634</v>
      </c>
      <c r="B34" s="288"/>
      <c r="C34" s="255"/>
      <c r="D34" s="280" t="s">
        <v>422</v>
      </c>
      <c r="E34" s="259">
        <v>2018</v>
      </c>
      <c r="F34" s="259">
        <v>1</v>
      </c>
      <c r="G34" s="260">
        <v>0</v>
      </c>
      <c r="H34" s="141" t="s">
        <v>51</v>
      </c>
      <c r="I34" s="259">
        <v>3</v>
      </c>
      <c r="J34" s="141">
        <f t="shared" si="10"/>
        <v>2021</v>
      </c>
      <c r="K34" s="143">
        <f t="shared" si="11"/>
        <v>2021.0833333333333</v>
      </c>
      <c r="L34" s="261">
        <v>98486.82</v>
      </c>
      <c r="M34" s="136">
        <f t="shared" si="12"/>
        <v>98486.82</v>
      </c>
      <c r="N34" s="136">
        <f t="shared" ref="N34:N46" si="19">M34/I34/12</f>
        <v>2735.7450000000003</v>
      </c>
      <c r="O34" s="136">
        <f t="shared" ref="O34:O46" si="20">N34*12</f>
        <v>32828.94</v>
      </c>
      <c r="P34" s="329">
        <f t="shared" si="15"/>
        <v>0</v>
      </c>
      <c r="Q34" s="329">
        <f t="shared" si="16"/>
        <v>98486.82</v>
      </c>
      <c r="R34" s="136">
        <f t="shared" si="17"/>
        <v>98486.82</v>
      </c>
      <c r="S34" s="136">
        <f t="shared" si="18"/>
        <v>0</v>
      </c>
    </row>
    <row r="35" spans="1:19">
      <c r="A35" s="288">
        <v>194952</v>
      </c>
      <c r="B35" s="288"/>
      <c r="C35" s="255"/>
      <c r="D35" s="280" t="s">
        <v>423</v>
      </c>
      <c r="E35" s="259">
        <v>2018</v>
      </c>
      <c r="F35" s="259">
        <v>1</v>
      </c>
      <c r="G35" s="260">
        <v>0</v>
      </c>
      <c r="H35" s="141" t="s">
        <v>51</v>
      </c>
      <c r="I35" s="259">
        <v>2.09</v>
      </c>
      <c r="J35" s="141">
        <f t="shared" si="10"/>
        <v>2020.09</v>
      </c>
      <c r="K35" s="143">
        <f t="shared" si="11"/>
        <v>2020.1733333333332</v>
      </c>
      <c r="L35" s="261">
        <v>5129.8</v>
      </c>
      <c r="M35" s="136">
        <f t="shared" si="12"/>
        <v>5129.8</v>
      </c>
      <c r="N35" s="136">
        <f t="shared" si="19"/>
        <v>204.53748006379587</v>
      </c>
      <c r="O35" s="136">
        <f t="shared" si="20"/>
        <v>2454.4497607655503</v>
      </c>
      <c r="P35" s="329">
        <f t="shared" si="15"/>
        <v>0</v>
      </c>
      <c r="Q35" s="329">
        <f t="shared" si="16"/>
        <v>5129.8</v>
      </c>
      <c r="R35" s="136">
        <f t="shared" si="17"/>
        <v>5129.8</v>
      </c>
      <c r="S35" s="136">
        <f t="shared" si="18"/>
        <v>0</v>
      </c>
    </row>
    <row r="36" spans="1:19">
      <c r="A36" s="283">
        <v>197793</v>
      </c>
      <c r="B36" s="283"/>
      <c r="C36" s="141">
        <v>738</v>
      </c>
      <c r="D36" s="198" t="s">
        <v>415</v>
      </c>
      <c r="E36" s="143">
        <v>2018</v>
      </c>
      <c r="F36" s="143">
        <v>6</v>
      </c>
      <c r="G36" s="144">
        <v>0</v>
      </c>
      <c r="H36" s="141" t="s">
        <v>51</v>
      </c>
      <c r="I36" s="141">
        <v>10</v>
      </c>
      <c r="J36" s="141">
        <f t="shared" ref="J36:J46" si="21">E36+I36</f>
        <v>2028</v>
      </c>
      <c r="K36" s="145">
        <f t="shared" ref="K36:K46" si="22">+J36+(F36/12)</f>
        <v>2028.5</v>
      </c>
      <c r="L36" s="261">
        <f>48480.12</f>
        <v>48480.12</v>
      </c>
      <c r="M36" s="136">
        <f t="shared" ref="M36:M46" si="23">L36-L36*G36</f>
        <v>48480.12</v>
      </c>
      <c r="N36" s="136">
        <f t="shared" si="19"/>
        <v>404.00100000000003</v>
      </c>
      <c r="O36" s="136">
        <f t="shared" si="20"/>
        <v>4848.0120000000006</v>
      </c>
      <c r="P36" s="329">
        <f t="shared" si="15"/>
        <v>4848.0120000000006</v>
      </c>
      <c r="Q36" s="329">
        <f t="shared" si="16"/>
        <v>20200.050000000367</v>
      </c>
      <c r="R36" s="136">
        <f t="shared" si="17"/>
        <v>25048.062000000369</v>
      </c>
      <c r="S36" s="136">
        <f t="shared" si="18"/>
        <v>23432.057999999633</v>
      </c>
    </row>
    <row r="37" spans="1:19">
      <c r="A37" s="283" t="s">
        <v>439</v>
      </c>
      <c r="B37" s="283"/>
      <c r="D37" s="198" t="s">
        <v>438</v>
      </c>
      <c r="E37" s="143">
        <v>2018</v>
      </c>
      <c r="F37" s="143">
        <v>6</v>
      </c>
      <c r="G37" s="144">
        <v>0</v>
      </c>
      <c r="H37" s="141" t="s">
        <v>51</v>
      </c>
      <c r="I37" s="141">
        <v>10</v>
      </c>
      <c r="J37" s="141">
        <f t="shared" si="21"/>
        <v>2028</v>
      </c>
      <c r="K37" s="143">
        <f t="shared" si="22"/>
        <v>2028.5</v>
      </c>
      <c r="L37" s="261">
        <v>2806.82</v>
      </c>
      <c r="M37" s="136">
        <f t="shared" si="23"/>
        <v>2806.82</v>
      </c>
      <c r="N37" s="136">
        <f t="shared" si="19"/>
        <v>23.390166666666669</v>
      </c>
      <c r="O37" s="136">
        <f t="shared" si="20"/>
        <v>280.68200000000002</v>
      </c>
      <c r="P37" s="329">
        <f t="shared" si="15"/>
        <v>280.68200000000002</v>
      </c>
      <c r="Q37" s="329">
        <f t="shared" si="16"/>
        <v>1169.5083333333546</v>
      </c>
      <c r="R37" s="136">
        <f t="shared" si="17"/>
        <v>1450.1903333333546</v>
      </c>
      <c r="S37" s="136">
        <f t="shared" si="18"/>
        <v>1356.6296666666456</v>
      </c>
    </row>
    <row r="38" spans="1:19">
      <c r="A38" s="283" t="s">
        <v>442</v>
      </c>
      <c r="B38" s="283"/>
      <c r="D38" s="198" t="s">
        <v>440</v>
      </c>
      <c r="E38" s="143">
        <v>2018</v>
      </c>
      <c r="F38" s="143">
        <v>6</v>
      </c>
      <c r="G38" s="144">
        <v>0</v>
      </c>
      <c r="H38" s="141" t="s">
        <v>51</v>
      </c>
      <c r="I38" s="141">
        <v>3</v>
      </c>
      <c r="J38" s="141">
        <f t="shared" si="21"/>
        <v>2021</v>
      </c>
      <c r="K38" s="143">
        <f t="shared" si="22"/>
        <v>2021.5</v>
      </c>
      <c r="L38" s="261">
        <f>557.66+2398.5</f>
        <v>2956.16</v>
      </c>
      <c r="M38" s="136">
        <f t="shared" si="23"/>
        <v>2956.16</v>
      </c>
      <c r="N38" s="136">
        <f t="shared" si="19"/>
        <v>82.115555555555559</v>
      </c>
      <c r="O38" s="136">
        <f t="shared" si="20"/>
        <v>985.38666666666677</v>
      </c>
      <c r="P38" s="329">
        <f t="shared" si="15"/>
        <v>0</v>
      </c>
      <c r="Q38" s="329">
        <f t="shared" si="16"/>
        <v>2956.16</v>
      </c>
      <c r="R38" s="136">
        <f t="shared" si="17"/>
        <v>2956.16</v>
      </c>
      <c r="S38" s="136">
        <f t="shared" si="18"/>
        <v>0</v>
      </c>
    </row>
    <row r="39" spans="1:19">
      <c r="A39" s="283">
        <v>203584</v>
      </c>
      <c r="B39" s="283"/>
      <c r="D39" s="198" t="s">
        <v>441</v>
      </c>
      <c r="E39" s="143">
        <v>2018</v>
      </c>
      <c r="F39" s="143">
        <v>8</v>
      </c>
      <c r="G39" s="144">
        <v>0</v>
      </c>
      <c r="H39" s="141" t="s">
        <v>51</v>
      </c>
      <c r="I39" s="141">
        <v>4</v>
      </c>
      <c r="J39" s="141">
        <f t="shared" si="21"/>
        <v>2022</v>
      </c>
      <c r="K39" s="143">
        <f t="shared" si="22"/>
        <v>2022.6666666666667</v>
      </c>
      <c r="L39" s="261">
        <v>31165.759999999998</v>
      </c>
      <c r="M39" s="136">
        <f t="shared" si="23"/>
        <v>31165.759999999998</v>
      </c>
      <c r="N39" s="136">
        <f t="shared" si="19"/>
        <v>649.28666666666663</v>
      </c>
      <c r="O39" s="136">
        <f t="shared" si="20"/>
        <v>7791.44</v>
      </c>
      <c r="P39" s="490">
        <f t="shared" si="15"/>
        <v>0</v>
      </c>
      <c r="Q39" s="490">
        <f t="shared" si="16"/>
        <v>31165.759999999998</v>
      </c>
      <c r="R39" s="136">
        <f t="shared" si="17"/>
        <v>31165.759999999998</v>
      </c>
      <c r="S39" s="136">
        <f t="shared" si="18"/>
        <v>0</v>
      </c>
    </row>
    <row r="40" spans="1:19">
      <c r="A40" s="283">
        <v>206228</v>
      </c>
      <c r="B40" s="283"/>
      <c r="D40" s="198" t="s">
        <v>449</v>
      </c>
      <c r="E40" s="143">
        <v>2018</v>
      </c>
      <c r="F40" s="143">
        <v>11</v>
      </c>
      <c r="G40" s="144">
        <v>0</v>
      </c>
      <c r="H40" s="141" t="s">
        <v>51</v>
      </c>
      <c r="I40" s="141">
        <v>5</v>
      </c>
      <c r="J40" s="141">
        <f t="shared" si="21"/>
        <v>2023</v>
      </c>
      <c r="K40" s="143">
        <f t="shared" si="22"/>
        <v>2023.9166666666667</v>
      </c>
      <c r="L40" s="261">
        <v>4068.75</v>
      </c>
      <c r="M40" s="136">
        <f t="shared" si="23"/>
        <v>4068.75</v>
      </c>
      <c r="N40" s="136">
        <f t="shared" si="19"/>
        <v>67.8125</v>
      </c>
      <c r="O40" s="136">
        <f t="shared" si="20"/>
        <v>813.75</v>
      </c>
      <c r="P40" s="329">
        <f t="shared" si="15"/>
        <v>813.75</v>
      </c>
      <c r="Q40" s="329">
        <f t="shared" si="16"/>
        <v>3051.5625</v>
      </c>
      <c r="R40" s="136">
        <f t="shared" si="17"/>
        <v>3865.3125</v>
      </c>
      <c r="S40" s="136">
        <f t="shared" si="18"/>
        <v>203.4375</v>
      </c>
    </row>
    <row r="41" spans="1:19">
      <c r="A41" s="283">
        <v>209508</v>
      </c>
      <c r="B41" s="283"/>
      <c r="D41" s="198" t="s">
        <v>478</v>
      </c>
      <c r="E41" s="143">
        <v>2019</v>
      </c>
      <c r="F41" s="143">
        <v>1</v>
      </c>
      <c r="G41" s="144">
        <v>0</v>
      </c>
      <c r="H41" s="141" t="s">
        <v>51</v>
      </c>
      <c r="I41" s="141">
        <v>5</v>
      </c>
      <c r="J41" s="141">
        <f t="shared" si="21"/>
        <v>2024</v>
      </c>
      <c r="K41" s="143">
        <f t="shared" si="22"/>
        <v>2024.0833333333333</v>
      </c>
      <c r="L41" s="261">
        <v>10778.78</v>
      </c>
      <c r="M41" s="136">
        <f t="shared" si="23"/>
        <v>10778.78</v>
      </c>
      <c r="N41" s="136">
        <f t="shared" si="19"/>
        <v>179.64633333333336</v>
      </c>
      <c r="O41" s="136">
        <f t="shared" si="20"/>
        <v>2155.7560000000003</v>
      </c>
      <c r="P41" s="329">
        <f t="shared" si="15"/>
        <v>2155.7560000000003</v>
      </c>
      <c r="Q41" s="329">
        <f t="shared" si="16"/>
        <v>7724.7923333336603</v>
      </c>
      <c r="R41" s="136">
        <f t="shared" si="17"/>
        <v>9880.5483333336597</v>
      </c>
      <c r="S41" s="136">
        <f t="shared" si="18"/>
        <v>898.23166666634097</v>
      </c>
    </row>
    <row r="42" spans="1:19">
      <c r="A42" s="283">
        <v>209507</v>
      </c>
      <c r="B42" s="283"/>
      <c r="D42" s="198" t="s">
        <v>479</v>
      </c>
      <c r="E42" s="143">
        <v>2019</v>
      </c>
      <c r="F42" s="143">
        <v>1</v>
      </c>
      <c r="G42" s="144">
        <v>0</v>
      </c>
      <c r="H42" s="141" t="s">
        <v>51</v>
      </c>
      <c r="I42" s="141">
        <v>5</v>
      </c>
      <c r="J42" s="141">
        <f t="shared" si="21"/>
        <v>2024</v>
      </c>
      <c r="K42" s="143">
        <f t="shared" si="22"/>
        <v>2024.0833333333333</v>
      </c>
      <c r="L42" s="261">
        <v>16244.62</v>
      </c>
      <c r="M42" s="136">
        <f t="shared" si="23"/>
        <v>16244.62</v>
      </c>
      <c r="N42" s="136">
        <f t="shared" si="19"/>
        <v>270.74366666666668</v>
      </c>
      <c r="O42" s="136">
        <f t="shared" si="20"/>
        <v>3248.924</v>
      </c>
      <c r="P42" s="329">
        <f t="shared" si="15"/>
        <v>3248.924</v>
      </c>
      <c r="Q42" s="329">
        <f t="shared" si="16"/>
        <v>11641.977666667161</v>
      </c>
      <c r="R42" s="136">
        <f t="shared" si="17"/>
        <v>14890.90166666716</v>
      </c>
      <c r="S42" s="136">
        <f t="shared" si="18"/>
        <v>1353.7183333328412</v>
      </c>
    </row>
    <row r="43" spans="1:19">
      <c r="A43" s="283">
        <v>218617</v>
      </c>
      <c r="B43" s="283"/>
      <c r="D43" s="198" t="s">
        <v>481</v>
      </c>
      <c r="E43" s="143">
        <v>2019</v>
      </c>
      <c r="F43" s="143">
        <v>8</v>
      </c>
      <c r="G43" s="144">
        <v>0</v>
      </c>
      <c r="H43" s="141" t="s">
        <v>51</v>
      </c>
      <c r="I43" s="141">
        <v>3</v>
      </c>
      <c r="J43" s="141">
        <f t="shared" si="21"/>
        <v>2022</v>
      </c>
      <c r="K43" s="143">
        <f t="shared" si="22"/>
        <v>2022.6666666666667</v>
      </c>
      <c r="L43" s="261">
        <v>23188.7</v>
      </c>
      <c r="M43" s="136">
        <f t="shared" si="23"/>
        <v>23188.7</v>
      </c>
      <c r="N43" s="136">
        <f t="shared" si="19"/>
        <v>644.13055555555559</v>
      </c>
      <c r="O43" s="136">
        <f t="shared" si="20"/>
        <v>7729.5666666666675</v>
      </c>
      <c r="P43" s="490">
        <f t="shared" si="15"/>
        <v>0</v>
      </c>
      <c r="Q43" s="490">
        <f t="shared" si="16"/>
        <v>23188.7</v>
      </c>
      <c r="R43" s="136">
        <f t="shared" si="17"/>
        <v>23188.7</v>
      </c>
      <c r="S43" s="136">
        <f t="shared" si="18"/>
        <v>0</v>
      </c>
    </row>
    <row r="44" spans="1:19">
      <c r="A44" s="283" t="s">
        <v>489</v>
      </c>
      <c r="B44" s="283"/>
      <c r="D44" s="198" t="s">
        <v>482</v>
      </c>
      <c r="E44" s="143">
        <v>2019</v>
      </c>
      <c r="F44" s="143">
        <v>8</v>
      </c>
      <c r="G44" s="144">
        <v>0</v>
      </c>
      <c r="H44" s="141" t="s">
        <v>51</v>
      </c>
      <c r="I44" s="141">
        <v>10</v>
      </c>
      <c r="J44" s="141">
        <f t="shared" si="21"/>
        <v>2029</v>
      </c>
      <c r="K44" s="143">
        <f t="shared" si="22"/>
        <v>2029.6666666666667</v>
      </c>
      <c r="L44" s="261">
        <f>1971280.37+820.81+3102.1-2588.4-1626.33</f>
        <v>1970988.5500000003</v>
      </c>
      <c r="M44" s="136">
        <f t="shared" si="23"/>
        <v>1970988.5500000003</v>
      </c>
      <c r="N44" s="136">
        <f t="shared" si="19"/>
        <v>16424.904583333337</v>
      </c>
      <c r="O44" s="136">
        <f t="shared" si="20"/>
        <v>197098.85500000004</v>
      </c>
      <c r="P44" s="329">
        <f t="shared" si="15"/>
        <v>197098.85500000004</v>
      </c>
      <c r="Q44" s="329">
        <f t="shared" si="16"/>
        <v>591296.56499999994</v>
      </c>
      <c r="R44" s="136">
        <f t="shared" si="17"/>
        <v>788395.41999999993</v>
      </c>
      <c r="S44" s="136">
        <f t="shared" si="18"/>
        <v>1182593.1300000004</v>
      </c>
    </row>
    <row r="45" spans="1:19">
      <c r="A45" s="283">
        <v>218614</v>
      </c>
      <c r="B45" s="283"/>
      <c r="D45" s="198" t="s">
        <v>483</v>
      </c>
      <c r="E45" s="143">
        <v>2019</v>
      </c>
      <c r="F45" s="143">
        <v>8</v>
      </c>
      <c r="G45" s="144">
        <v>0</v>
      </c>
      <c r="H45" s="141" t="s">
        <v>51</v>
      </c>
      <c r="I45" s="141">
        <v>10</v>
      </c>
      <c r="J45" s="141">
        <f t="shared" si="21"/>
        <v>2029</v>
      </c>
      <c r="K45" s="143">
        <f t="shared" si="22"/>
        <v>2029.6666666666667</v>
      </c>
      <c r="L45" s="261">
        <v>456068.78</v>
      </c>
      <c r="M45" s="136">
        <f t="shared" si="23"/>
        <v>456068.78</v>
      </c>
      <c r="N45" s="136">
        <f t="shared" si="19"/>
        <v>3800.573166666667</v>
      </c>
      <c r="O45" s="136">
        <f t="shared" si="20"/>
        <v>45606.878000000004</v>
      </c>
      <c r="P45" s="329">
        <f t="shared" si="15"/>
        <v>45606.878000000004</v>
      </c>
      <c r="Q45" s="329">
        <f t="shared" si="16"/>
        <v>136820.63400000002</v>
      </c>
      <c r="R45" s="136">
        <f t="shared" si="17"/>
        <v>182427.51200000002</v>
      </c>
      <c r="S45" s="136">
        <f t="shared" si="18"/>
        <v>273641.26800000004</v>
      </c>
    </row>
    <row r="46" spans="1:19">
      <c r="A46" s="283" t="s">
        <v>500</v>
      </c>
      <c r="B46" s="283"/>
      <c r="D46" s="198" t="s">
        <v>501</v>
      </c>
      <c r="E46" s="143">
        <v>2020</v>
      </c>
      <c r="F46" s="143">
        <v>4</v>
      </c>
      <c r="G46" s="144">
        <v>0</v>
      </c>
      <c r="H46" s="141" t="s">
        <v>51</v>
      </c>
      <c r="I46" s="141">
        <v>5</v>
      </c>
      <c r="J46" s="141">
        <f t="shared" si="21"/>
        <v>2025</v>
      </c>
      <c r="K46" s="143">
        <f t="shared" si="22"/>
        <v>2025.3333333333333</v>
      </c>
      <c r="L46" s="261">
        <v>60000</v>
      </c>
      <c r="M46" s="136">
        <f t="shared" si="23"/>
        <v>60000</v>
      </c>
      <c r="N46" s="136">
        <f t="shared" si="19"/>
        <v>1000</v>
      </c>
      <c r="O46" s="136">
        <f t="shared" si="20"/>
        <v>12000</v>
      </c>
      <c r="P46" s="329">
        <f t="shared" si="15"/>
        <v>12000</v>
      </c>
      <c r="Q46" s="329">
        <f t="shared" si="16"/>
        <v>28000.000000001819</v>
      </c>
      <c r="R46" s="136">
        <f t="shared" si="17"/>
        <v>40000.000000001819</v>
      </c>
      <c r="S46" s="136">
        <f t="shared" si="18"/>
        <v>19999.999999998181</v>
      </c>
    </row>
    <row r="47" spans="1:19">
      <c r="A47" s="221"/>
      <c r="B47" s="221"/>
      <c r="C47" s="255"/>
      <c r="E47" s="259"/>
      <c r="F47" s="259"/>
      <c r="G47" s="143"/>
      <c r="H47" s="141"/>
      <c r="I47" s="259"/>
      <c r="J47" s="141"/>
      <c r="K47" s="141"/>
      <c r="L47" s="261"/>
      <c r="M47" s="123"/>
      <c r="N47" s="123"/>
      <c r="O47" s="123"/>
      <c r="P47" s="123"/>
      <c r="Q47" s="123"/>
      <c r="R47" s="123"/>
      <c r="S47" s="123"/>
    </row>
    <row r="48" spans="1:19">
      <c r="A48" s="287"/>
      <c r="B48" s="287"/>
      <c r="C48" s="257"/>
      <c r="D48" s="257" t="s">
        <v>526</v>
      </c>
      <c r="E48" s="257"/>
      <c r="F48" s="257"/>
      <c r="G48" s="257"/>
      <c r="H48" s="257"/>
      <c r="I48" s="257"/>
      <c r="J48" s="257"/>
      <c r="K48" s="257"/>
      <c r="L48" s="257">
        <f t="shared" ref="L48:S48" si="24">SUM(L24:L47)</f>
        <v>2842164.3400000008</v>
      </c>
      <c r="M48" s="257">
        <f t="shared" si="24"/>
        <v>2842164.3400000008</v>
      </c>
      <c r="N48" s="257">
        <f t="shared" si="24"/>
        <v>27935.886372920941</v>
      </c>
      <c r="O48" s="257">
        <f t="shared" si="24"/>
        <v>335230.63647505135</v>
      </c>
      <c r="P48" s="257">
        <f t="shared" si="24"/>
        <v>266052.85700000008</v>
      </c>
      <c r="Q48" s="257">
        <f t="shared" si="24"/>
        <v>1072481.2860000031</v>
      </c>
      <c r="R48" s="257">
        <f t="shared" si="24"/>
        <v>1338685.8668333364</v>
      </c>
      <c r="S48" s="257">
        <f t="shared" si="24"/>
        <v>1503478.4731666641</v>
      </c>
    </row>
    <row r="49" spans="1:19">
      <c r="A49" s="528"/>
      <c r="B49" s="528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</row>
    <row r="50" spans="1:19">
      <c r="A50" s="289"/>
      <c r="B50" s="289"/>
      <c r="C50" s="272"/>
      <c r="D50" s="226" t="s">
        <v>1094</v>
      </c>
      <c r="E50" s="259"/>
      <c r="F50" s="259"/>
      <c r="G50" s="278"/>
      <c r="H50" s="274"/>
      <c r="I50" s="275"/>
      <c r="J50" s="274"/>
      <c r="K50" s="274"/>
      <c r="L50" s="273"/>
      <c r="M50" s="276"/>
      <c r="N50" s="276"/>
      <c r="O50" s="276"/>
      <c r="P50" s="276"/>
      <c r="Q50" s="276"/>
      <c r="R50" s="276"/>
      <c r="S50" s="276"/>
    </row>
    <row r="51" spans="1:19">
      <c r="A51" s="142">
        <v>171642</v>
      </c>
      <c r="B51" s="142"/>
      <c r="C51" s="255"/>
      <c r="D51" s="130" t="s">
        <v>344</v>
      </c>
      <c r="E51" s="259">
        <v>2016</v>
      </c>
      <c r="F51" s="259">
        <v>12</v>
      </c>
      <c r="G51" s="260">
        <v>0</v>
      </c>
      <c r="H51" s="141" t="s">
        <v>51</v>
      </c>
      <c r="I51" s="259">
        <v>10</v>
      </c>
      <c r="J51" s="141">
        <f t="shared" ref="J51:J52" si="25">E51+I51</f>
        <v>2026</v>
      </c>
      <c r="K51" s="143">
        <f t="shared" ref="K51:K52" si="26">+J51+(F51/12)</f>
        <v>2027</v>
      </c>
      <c r="L51" s="261">
        <v>13518.4</v>
      </c>
      <c r="M51" s="136">
        <f t="shared" ref="M51:M52" si="27">L51-L51*G51</f>
        <v>13518.4</v>
      </c>
      <c r="N51" s="136">
        <f t="shared" ref="N51:N52" si="28">M51/I51/12</f>
        <v>112.65333333333332</v>
      </c>
      <c r="O51" s="136">
        <f t="shared" ref="O51:O52" si="29">N51*12</f>
        <v>1351.84</v>
      </c>
      <c r="P51" s="490">
        <f t="shared" ref="P51:P52" si="30">+IF(K51&lt;=$N$6,0,O51)</f>
        <v>1351.84</v>
      </c>
      <c r="Q51" s="490">
        <f t="shared" ref="Q51:Q52" si="31">+IF($K51&lt;=$N$7,$L51,IF(($E51+($F51/12))&gt;=$N$7,0,((($M51-((($K51-$N$7)*12)*$N51))))))</f>
        <v>7660.4266666667691</v>
      </c>
      <c r="R51" s="136">
        <f t="shared" ref="R51:R52" si="32">+IF(K51&lt;=$N$6,M51,IF(P51=0,Q51,Q51+P51))</f>
        <v>9012.2666666667683</v>
      </c>
      <c r="S51" s="136">
        <f t="shared" ref="S51:S52" si="33">+L51-R51</f>
        <v>4506.1333333332313</v>
      </c>
    </row>
    <row r="52" spans="1:19">
      <c r="A52" s="142">
        <v>185161</v>
      </c>
      <c r="B52" s="142"/>
      <c r="C52" s="255"/>
      <c r="D52" s="130" t="s">
        <v>378</v>
      </c>
      <c r="E52" s="259">
        <v>2017</v>
      </c>
      <c r="F52" s="259">
        <v>7</v>
      </c>
      <c r="G52" s="260">
        <v>0</v>
      </c>
      <c r="H52" s="141" t="s">
        <v>51</v>
      </c>
      <c r="I52" s="259">
        <v>7</v>
      </c>
      <c r="J52" s="141">
        <f t="shared" si="25"/>
        <v>2024</v>
      </c>
      <c r="K52" s="143">
        <f t="shared" si="26"/>
        <v>2024.5833333333333</v>
      </c>
      <c r="L52" s="261">
        <v>25365.599999999999</v>
      </c>
      <c r="M52" s="136">
        <f t="shared" si="27"/>
        <v>25365.599999999999</v>
      </c>
      <c r="N52" s="136">
        <f t="shared" si="28"/>
        <v>301.97142857142859</v>
      </c>
      <c r="O52" s="136">
        <f t="shared" si="29"/>
        <v>3623.6571428571433</v>
      </c>
      <c r="P52" s="490">
        <f t="shared" si="30"/>
        <v>3623.6571428571433</v>
      </c>
      <c r="Q52" s="490">
        <f t="shared" si="31"/>
        <v>18420.257142857692</v>
      </c>
      <c r="R52" s="136">
        <f t="shared" si="32"/>
        <v>22043.914285714836</v>
      </c>
      <c r="S52" s="136">
        <f t="shared" si="33"/>
        <v>3321.6857142851622</v>
      </c>
    </row>
    <row r="53" spans="1:19">
      <c r="A53" s="221"/>
      <c r="B53" s="221"/>
      <c r="C53" s="255"/>
      <c r="D53" s="256"/>
      <c r="E53" s="259"/>
      <c r="F53" s="259"/>
      <c r="G53" s="260"/>
      <c r="H53" s="141"/>
      <c r="I53" s="271"/>
      <c r="J53" s="141"/>
      <c r="K53" s="141"/>
      <c r="L53" s="229"/>
      <c r="M53" s="123"/>
      <c r="N53" s="123"/>
      <c r="O53" s="123"/>
      <c r="P53" s="123"/>
      <c r="Q53" s="123"/>
      <c r="R53" s="123"/>
      <c r="S53" s="123"/>
    </row>
    <row r="54" spans="1:19">
      <c r="A54" s="287"/>
      <c r="B54" s="287"/>
      <c r="C54" s="257"/>
      <c r="D54" s="257" t="s">
        <v>2274</v>
      </c>
      <c r="E54" s="257"/>
      <c r="F54" s="257"/>
      <c r="G54" s="257"/>
      <c r="H54" s="257"/>
      <c r="I54" s="257"/>
      <c r="J54" s="257"/>
      <c r="K54" s="257"/>
      <c r="L54" s="257">
        <f t="shared" ref="L54:S54" si="34">SUM(L51:L53)</f>
        <v>38884</v>
      </c>
      <c r="M54" s="257">
        <f t="shared" si="34"/>
        <v>38884</v>
      </c>
      <c r="N54" s="257">
        <f t="shared" si="34"/>
        <v>414.6247619047619</v>
      </c>
      <c r="O54" s="257">
        <f t="shared" si="34"/>
        <v>4975.4971428571434</v>
      </c>
      <c r="P54" s="257">
        <f t="shared" si="34"/>
        <v>4975.4971428571434</v>
      </c>
      <c r="Q54" s="257">
        <f t="shared" si="34"/>
        <v>26080.68380952446</v>
      </c>
      <c r="R54" s="257">
        <f t="shared" si="34"/>
        <v>31056.180952381605</v>
      </c>
      <c r="S54" s="257">
        <f t="shared" si="34"/>
        <v>7827.8190476183936</v>
      </c>
    </row>
    <row r="55" spans="1:19">
      <c r="A55" s="221"/>
      <c r="B55" s="221"/>
      <c r="C55" s="255"/>
      <c r="D55" s="258"/>
      <c r="E55" s="263"/>
      <c r="F55" s="263"/>
      <c r="G55" s="143"/>
      <c r="H55" s="141"/>
      <c r="I55" s="271"/>
      <c r="J55" s="141"/>
      <c r="K55" s="141"/>
      <c r="L55" s="229"/>
      <c r="M55" s="123"/>
      <c r="N55" s="123"/>
      <c r="O55" s="123"/>
      <c r="P55" s="123"/>
      <c r="Q55" s="123"/>
      <c r="R55" s="123"/>
      <c r="S55" s="123"/>
    </row>
    <row r="56" spans="1:19" s="277" customFormat="1">
      <c r="A56" s="289"/>
      <c r="B56" s="289"/>
      <c r="C56" s="272"/>
      <c r="D56" s="226" t="s">
        <v>180</v>
      </c>
      <c r="E56" s="259"/>
      <c r="F56" s="259"/>
      <c r="G56" s="278"/>
      <c r="H56" s="274"/>
      <c r="I56" s="275"/>
      <c r="J56" s="274"/>
      <c r="K56" s="274"/>
      <c r="L56" s="273"/>
      <c r="M56" s="276"/>
      <c r="N56" s="276"/>
      <c r="O56" s="276"/>
      <c r="P56" s="276"/>
      <c r="Q56" s="276"/>
      <c r="R56" s="276"/>
      <c r="S56" s="276"/>
    </row>
    <row r="57" spans="1:19">
      <c r="A57" s="142">
        <v>122560</v>
      </c>
      <c r="B57" s="142"/>
      <c r="C57" s="255"/>
      <c r="D57" s="256" t="s">
        <v>192</v>
      </c>
      <c r="E57" s="259">
        <v>2015</v>
      </c>
      <c r="F57" s="259">
        <v>4</v>
      </c>
      <c r="G57" s="260">
        <v>0</v>
      </c>
      <c r="H57" s="141" t="s">
        <v>51</v>
      </c>
      <c r="I57" s="259">
        <v>5</v>
      </c>
      <c r="J57" s="141">
        <f>E57+I57</f>
        <v>2020</v>
      </c>
      <c r="K57" s="143">
        <f>+J57+(F57/12)</f>
        <v>2020.3333333333333</v>
      </c>
      <c r="L57" s="261">
        <v>13450.42</v>
      </c>
      <c r="M57" s="136">
        <f>L57-L57*G57</f>
        <v>13450.42</v>
      </c>
      <c r="N57" s="136">
        <f>M57/I57/12</f>
        <v>224.17366666666666</v>
      </c>
      <c r="O57" s="136">
        <f>N57*12</f>
        <v>2690.0839999999998</v>
      </c>
      <c r="P57" s="329">
        <f>+IF(K57&lt;=$N$6,0,O57)</f>
        <v>0</v>
      </c>
      <c r="Q57" s="329">
        <f>+IF($K57&lt;=$N$7,$L57,IF(($E57+($F57/12))&gt;=$N$7,0,((($M57-((($K57-$N$7)*12)*$N57))))))</f>
        <v>13450.42</v>
      </c>
      <c r="R57" s="136">
        <f>+IF(K57&lt;=$N$6,M57,IF(P57=0,Q57,Q57+P57))</f>
        <v>13450.42</v>
      </c>
      <c r="S57" s="136">
        <f>+L57-R57</f>
        <v>0</v>
      </c>
    </row>
    <row r="58" spans="1:19">
      <c r="A58" s="142">
        <v>186692</v>
      </c>
      <c r="B58" s="142"/>
      <c r="C58" s="255"/>
      <c r="D58" s="256" t="s">
        <v>393</v>
      </c>
      <c r="E58" s="259">
        <v>2017</v>
      </c>
      <c r="F58" s="259">
        <v>9</v>
      </c>
      <c r="G58" s="260">
        <v>0</v>
      </c>
      <c r="H58" s="141" t="s">
        <v>51</v>
      </c>
      <c r="I58" s="259">
        <v>10</v>
      </c>
      <c r="J58" s="141">
        <f>E58+I58</f>
        <v>2027</v>
      </c>
      <c r="K58" s="143">
        <f>+J58+(F58/12)</f>
        <v>2027.75</v>
      </c>
      <c r="L58" s="261">
        <v>10189.6</v>
      </c>
      <c r="M58" s="136">
        <f>L58-L58*G58</f>
        <v>10189.6</v>
      </c>
      <c r="N58" s="136">
        <f>M58/I58/12</f>
        <v>84.913333333333341</v>
      </c>
      <c r="O58" s="136">
        <f>N58*12</f>
        <v>1018.96</v>
      </c>
      <c r="P58" s="329">
        <f>+IF(K58&lt;=$N$6,0,O58)</f>
        <v>1018.96</v>
      </c>
      <c r="Q58" s="329">
        <f>+IF($K58&lt;=$N$7,$L58,IF(($E58+($F58/12))&gt;=$N$7,0,((($M58-((($K58-$N$7)*12)*$N58))))))</f>
        <v>5009.8866666667436</v>
      </c>
      <c r="R58" s="136">
        <f>+IF(K58&lt;=$N$6,M58,IF(P58=0,Q58,Q58+P58))</f>
        <v>6028.8466666667437</v>
      </c>
      <c r="S58" s="136">
        <f>+L58-R58</f>
        <v>4160.7533333332567</v>
      </c>
    </row>
    <row r="59" spans="1:19">
      <c r="A59" s="142">
        <v>212890</v>
      </c>
      <c r="B59" s="142"/>
      <c r="C59" s="255"/>
      <c r="D59" s="256" t="s">
        <v>485</v>
      </c>
      <c r="E59" s="259">
        <v>2019</v>
      </c>
      <c r="F59" s="259">
        <v>4</v>
      </c>
      <c r="G59" s="260">
        <v>0</v>
      </c>
      <c r="H59" s="141" t="s">
        <v>51</v>
      </c>
      <c r="I59" s="259">
        <v>3</v>
      </c>
      <c r="J59" s="141">
        <f>E59+I59</f>
        <v>2022</v>
      </c>
      <c r="K59" s="143">
        <f>+J59+(F59/12)</f>
        <v>2022.3333333333333</v>
      </c>
      <c r="L59" s="261">
        <v>1728.93</v>
      </c>
      <c r="M59" s="136">
        <f>L59-L59*G59</f>
        <v>1728.93</v>
      </c>
      <c r="N59" s="136">
        <f>M59/I59/12</f>
        <v>48.025833333333338</v>
      </c>
      <c r="O59" s="136">
        <f>N59*12</f>
        <v>576.31000000000006</v>
      </c>
      <c r="P59" s="329">
        <f>+IF(K59&lt;=$N$6,0,O59)</f>
        <v>0</v>
      </c>
      <c r="Q59" s="329">
        <f>+IF($K59&lt;=$N$7,$L59,IF(($E59+($F59/12))&gt;=$N$7,0,((($M59-((($K59-$N$7)*12)*$N59))))))</f>
        <v>1728.93</v>
      </c>
      <c r="R59" s="136">
        <f>+IF(K59&lt;=$N$6,M59,IF(P59=0,Q59,Q59+P59))</f>
        <v>1728.93</v>
      </c>
      <c r="S59" s="136">
        <f>+L59-R59</f>
        <v>0</v>
      </c>
    </row>
    <row r="60" spans="1:19">
      <c r="A60" s="221"/>
      <c r="B60" s="221"/>
      <c r="C60" s="255"/>
      <c r="D60" s="256"/>
      <c r="E60" s="259"/>
      <c r="F60" s="259"/>
      <c r="G60" s="260"/>
      <c r="H60" s="141"/>
      <c r="I60" s="271"/>
      <c r="J60" s="141"/>
      <c r="K60" s="141"/>
      <c r="L60" s="229"/>
      <c r="M60" s="123"/>
      <c r="N60" s="123"/>
      <c r="O60" s="123"/>
      <c r="P60" s="123"/>
      <c r="Q60" s="123"/>
      <c r="R60" s="123"/>
      <c r="S60" s="123"/>
    </row>
    <row r="61" spans="1:19">
      <c r="A61" s="287"/>
      <c r="B61" s="287"/>
      <c r="C61" s="257"/>
      <c r="D61" s="257" t="s">
        <v>193</v>
      </c>
      <c r="E61" s="257"/>
      <c r="F61" s="257"/>
      <c r="G61" s="257"/>
      <c r="H61" s="257"/>
      <c r="I61" s="257"/>
      <c r="J61" s="257"/>
      <c r="K61" s="257"/>
      <c r="L61" s="257">
        <f t="shared" ref="L61:S61" si="35">SUM(L57:L60)</f>
        <v>25368.95</v>
      </c>
      <c r="M61" s="257">
        <f t="shared" si="35"/>
        <v>25368.95</v>
      </c>
      <c r="N61" s="257">
        <f t="shared" si="35"/>
        <v>357.11283333333336</v>
      </c>
      <c r="O61" s="257">
        <f t="shared" si="35"/>
        <v>4285.3540000000003</v>
      </c>
      <c r="P61" s="257">
        <f t="shared" si="35"/>
        <v>1018.96</v>
      </c>
      <c r="Q61" s="257">
        <f t="shared" si="35"/>
        <v>20189.236666666744</v>
      </c>
      <c r="R61" s="257">
        <f t="shared" si="35"/>
        <v>21208.196666666743</v>
      </c>
      <c r="S61" s="257">
        <f t="shared" si="35"/>
        <v>4160.7533333332567</v>
      </c>
    </row>
    <row r="62" spans="1:19">
      <c r="A62" s="221"/>
      <c r="B62" s="221"/>
      <c r="C62" s="255"/>
      <c r="D62" s="256"/>
      <c r="E62" s="259"/>
      <c r="F62" s="259"/>
      <c r="G62" s="260"/>
      <c r="H62" s="141"/>
      <c r="I62" s="271"/>
      <c r="J62" s="141"/>
      <c r="K62" s="141"/>
      <c r="L62" s="229"/>
      <c r="M62" s="123"/>
      <c r="N62" s="123"/>
      <c r="O62" s="123"/>
      <c r="P62" s="123"/>
      <c r="Q62" s="123"/>
      <c r="R62" s="123"/>
      <c r="S62" s="123"/>
    </row>
    <row r="63" spans="1:19">
      <c r="A63" s="221"/>
      <c r="B63" s="221"/>
      <c r="C63" s="255"/>
      <c r="D63" s="226" t="s">
        <v>194</v>
      </c>
      <c r="E63" s="259"/>
      <c r="F63" s="259"/>
      <c r="G63" s="260"/>
      <c r="H63" s="141"/>
      <c r="I63" s="271"/>
      <c r="J63" s="141"/>
      <c r="K63" s="141"/>
      <c r="L63" s="229"/>
      <c r="M63" s="123"/>
      <c r="N63" s="123"/>
      <c r="O63" s="123"/>
      <c r="P63" s="123"/>
      <c r="Q63" s="123"/>
      <c r="R63" s="123"/>
      <c r="S63" s="123"/>
    </row>
    <row r="64" spans="1:19">
      <c r="A64" s="131"/>
      <c r="B64" s="131"/>
      <c r="C64" s="127"/>
      <c r="D64" s="256" t="s">
        <v>242</v>
      </c>
      <c r="E64" s="259">
        <v>2011</v>
      </c>
      <c r="F64" s="259">
        <v>12</v>
      </c>
      <c r="G64" s="260">
        <v>0</v>
      </c>
      <c r="H64" s="141" t="s">
        <v>51</v>
      </c>
      <c r="I64" s="259">
        <v>5</v>
      </c>
      <c r="J64" s="141">
        <f t="shared" ref="J64:J77" si="36">E64+I64</f>
        <v>2016</v>
      </c>
      <c r="K64" s="143">
        <f t="shared" ref="K64:K77" si="37">+J64+(F64/12)</f>
        <v>2017</v>
      </c>
      <c r="L64" s="261">
        <v>850.89</v>
      </c>
      <c r="M64" s="136">
        <f t="shared" ref="M64:M73" si="38">L64-L64*G64</f>
        <v>850.89</v>
      </c>
      <c r="N64" s="136">
        <f t="shared" ref="N64:N73" si="39">M64/I64/12</f>
        <v>14.1815</v>
      </c>
      <c r="O64" s="136">
        <f t="shared" ref="O64:O73" si="40">N64*12</f>
        <v>170.178</v>
      </c>
      <c r="P64" s="329">
        <f t="shared" ref="P64:P77" si="41">+IF(K64&lt;=$N$6,0,O64)</f>
        <v>0</v>
      </c>
      <c r="Q64" s="329">
        <f t="shared" ref="Q64:Q77" si="42">+IF($K64&lt;=$N$7,$L64,IF(($E64+($F64/12))&gt;=$N$7,0,((($M64-((($K64-$N$7)*12)*$N64))))))</f>
        <v>850.89</v>
      </c>
      <c r="R64" s="136">
        <f t="shared" ref="R64:R77" si="43">+IF(K64&lt;=$N$6,M64,IF(P64=0,Q64,Q64+P64))</f>
        <v>850.89</v>
      </c>
      <c r="S64" s="136">
        <f t="shared" ref="S64:S77" si="44">+L64-R64</f>
        <v>0</v>
      </c>
    </row>
    <row r="65" spans="1:19">
      <c r="A65" s="131"/>
      <c r="B65" s="131"/>
      <c r="C65" s="127"/>
      <c r="D65" s="256" t="s">
        <v>281</v>
      </c>
      <c r="E65" s="259">
        <v>2014</v>
      </c>
      <c r="F65" s="259">
        <v>4</v>
      </c>
      <c r="G65" s="260">
        <v>0</v>
      </c>
      <c r="H65" s="141" t="s">
        <v>51</v>
      </c>
      <c r="I65" s="259">
        <v>5</v>
      </c>
      <c r="J65" s="141">
        <f t="shared" si="36"/>
        <v>2019</v>
      </c>
      <c r="K65" s="143">
        <f t="shared" si="37"/>
        <v>2019.3333333333333</v>
      </c>
      <c r="L65" s="261">
        <v>332.17</v>
      </c>
      <c r="M65" s="136">
        <f t="shared" si="38"/>
        <v>332.17</v>
      </c>
      <c r="N65" s="136">
        <f t="shared" si="39"/>
        <v>5.5361666666666665</v>
      </c>
      <c r="O65" s="136">
        <f t="shared" si="40"/>
        <v>66.433999999999997</v>
      </c>
      <c r="P65" s="329">
        <f t="shared" si="41"/>
        <v>0</v>
      </c>
      <c r="Q65" s="329">
        <f t="shared" si="42"/>
        <v>332.17</v>
      </c>
      <c r="R65" s="136">
        <f t="shared" si="43"/>
        <v>332.17</v>
      </c>
      <c r="S65" s="136">
        <f t="shared" si="44"/>
        <v>0</v>
      </c>
    </row>
    <row r="66" spans="1:19">
      <c r="A66" s="142" t="s">
        <v>299</v>
      </c>
      <c r="B66" s="142"/>
      <c r="C66" s="127"/>
      <c r="D66" s="256" t="s">
        <v>300</v>
      </c>
      <c r="E66" s="259">
        <v>2014</v>
      </c>
      <c r="F66" s="259">
        <v>8</v>
      </c>
      <c r="G66" s="260">
        <v>0</v>
      </c>
      <c r="H66" s="141" t="s">
        <v>51</v>
      </c>
      <c r="I66" s="259">
        <v>5</v>
      </c>
      <c r="J66" s="141">
        <f t="shared" si="36"/>
        <v>2019</v>
      </c>
      <c r="K66" s="143">
        <f t="shared" si="37"/>
        <v>2019.6666666666667</v>
      </c>
      <c r="L66" s="261">
        <f>750.03+103.54</f>
        <v>853.56999999999994</v>
      </c>
      <c r="M66" s="136">
        <f t="shared" si="38"/>
        <v>853.56999999999994</v>
      </c>
      <c r="N66" s="136">
        <f t="shared" si="39"/>
        <v>14.226166666666666</v>
      </c>
      <c r="O66" s="136">
        <f t="shared" si="40"/>
        <v>170.714</v>
      </c>
      <c r="P66" s="329">
        <f t="shared" si="41"/>
        <v>0</v>
      </c>
      <c r="Q66" s="329">
        <f t="shared" si="42"/>
        <v>853.56999999999994</v>
      </c>
      <c r="R66" s="136">
        <f t="shared" si="43"/>
        <v>853.56999999999994</v>
      </c>
      <c r="S66" s="136">
        <f t="shared" si="44"/>
        <v>0</v>
      </c>
    </row>
    <row r="67" spans="1:19">
      <c r="A67" s="142">
        <v>122103</v>
      </c>
      <c r="B67" s="142"/>
      <c r="C67" s="141">
        <v>7</v>
      </c>
      <c r="D67" s="256" t="s">
        <v>308</v>
      </c>
      <c r="E67" s="259">
        <v>2015</v>
      </c>
      <c r="F67" s="259">
        <v>4</v>
      </c>
      <c r="G67" s="260">
        <v>0</v>
      </c>
      <c r="H67" s="141" t="s">
        <v>51</v>
      </c>
      <c r="I67" s="259">
        <v>5</v>
      </c>
      <c r="J67" s="141">
        <f t="shared" si="36"/>
        <v>2020</v>
      </c>
      <c r="K67" s="143">
        <f t="shared" si="37"/>
        <v>2020.3333333333333</v>
      </c>
      <c r="L67" s="261">
        <v>2289.54</v>
      </c>
      <c r="M67" s="136">
        <f t="shared" si="38"/>
        <v>2289.54</v>
      </c>
      <c r="N67" s="136">
        <f t="shared" si="39"/>
        <v>38.158999999999999</v>
      </c>
      <c r="O67" s="136">
        <f t="shared" si="40"/>
        <v>457.90800000000002</v>
      </c>
      <c r="P67" s="329">
        <f t="shared" si="41"/>
        <v>0</v>
      </c>
      <c r="Q67" s="329">
        <f t="shared" si="42"/>
        <v>2289.54</v>
      </c>
      <c r="R67" s="136">
        <f t="shared" si="43"/>
        <v>2289.54</v>
      </c>
      <c r="S67" s="136">
        <f t="shared" si="44"/>
        <v>0</v>
      </c>
    </row>
    <row r="68" spans="1:19">
      <c r="A68" s="142">
        <v>123532</v>
      </c>
      <c r="B68" s="142"/>
      <c r="D68" s="256" t="s">
        <v>310</v>
      </c>
      <c r="E68" s="259">
        <v>2015</v>
      </c>
      <c r="F68" s="259">
        <v>6</v>
      </c>
      <c r="G68" s="260">
        <v>0</v>
      </c>
      <c r="H68" s="141" t="s">
        <v>51</v>
      </c>
      <c r="I68" s="259">
        <v>5</v>
      </c>
      <c r="J68" s="141">
        <f t="shared" si="36"/>
        <v>2020</v>
      </c>
      <c r="K68" s="143">
        <f t="shared" si="37"/>
        <v>2020.5</v>
      </c>
      <c r="L68" s="261">
        <v>1032.77</v>
      </c>
      <c r="M68" s="136">
        <f t="shared" si="38"/>
        <v>1032.77</v>
      </c>
      <c r="N68" s="136">
        <f t="shared" si="39"/>
        <v>17.212833333333332</v>
      </c>
      <c r="O68" s="136">
        <f t="shared" si="40"/>
        <v>206.55399999999997</v>
      </c>
      <c r="P68" s="329">
        <f t="shared" si="41"/>
        <v>0</v>
      </c>
      <c r="Q68" s="329">
        <f t="shared" si="42"/>
        <v>1032.77</v>
      </c>
      <c r="R68" s="136">
        <f t="shared" si="43"/>
        <v>1032.77</v>
      </c>
      <c r="S68" s="136">
        <f t="shared" si="44"/>
        <v>0</v>
      </c>
    </row>
    <row r="69" spans="1:19">
      <c r="A69" s="142" t="s">
        <v>327</v>
      </c>
      <c r="B69" s="142"/>
      <c r="C69" s="141">
        <v>34</v>
      </c>
      <c r="D69" s="256" t="s">
        <v>328</v>
      </c>
      <c r="E69" s="259">
        <v>2016</v>
      </c>
      <c r="F69" s="259">
        <v>3</v>
      </c>
      <c r="G69" s="260">
        <v>0</v>
      </c>
      <c r="H69" s="141" t="s">
        <v>51</v>
      </c>
      <c r="I69" s="259">
        <v>5</v>
      </c>
      <c r="J69" s="141">
        <f t="shared" si="36"/>
        <v>2021</v>
      </c>
      <c r="K69" s="143">
        <f t="shared" si="37"/>
        <v>2021.25</v>
      </c>
      <c r="L69" s="261">
        <f>8464.64+7326.53</f>
        <v>15791.169999999998</v>
      </c>
      <c r="M69" s="136">
        <f t="shared" si="38"/>
        <v>15791.169999999998</v>
      </c>
      <c r="N69" s="136">
        <f t="shared" si="39"/>
        <v>263.18616666666662</v>
      </c>
      <c r="O69" s="136">
        <f t="shared" si="40"/>
        <v>3158.2339999999995</v>
      </c>
      <c r="P69" s="329">
        <f t="shared" si="41"/>
        <v>0</v>
      </c>
      <c r="Q69" s="329">
        <f t="shared" si="42"/>
        <v>15791.169999999998</v>
      </c>
      <c r="R69" s="136">
        <f t="shared" si="43"/>
        <v>15791.169999999998</v>
      </c>
      <c r="S69" s="136">
        <f t="shared" si="44"/>
        <v>0</v>
      </c>
    </row>
    <row r="70" spans="1:19">
      <c r="A70" s="142">
        <v>139784</v>
      </c>
      <c r="B70" s="142"/>
      <c r="C70" s="141">
        <v>1</v>
      </c>
      <c r="D70" s="256" t="s">
        <v>329</v>
      </c>
      <c r="E70" s="259">
        <v>2016</v>
      </c>
      <c r="F70" s="259">
        <v>6</v>
      </c>
      <c r="G70" s="260">
        <v>0</v>
      </c>
      <c r="H70" s="141" t="s">
        <v>51</v>
      </c>
      <c r="I70" s="259">
        <v>5</v>
      </c>
      <c r="J70" s="141">
        <f t="shared" si="36"/>
        <v>2021</v>
      </c>
      <c r="K70" s="143">
        <f t="shared" si="37"/>
        <v>2021.5</v>
      </c>
      <c r="L70" s="261">
        <v>8319.6200000000008</v>
      </c>
      <c r="M70" s="136">
        <f t="shared" si="38"/>
        <v>8319.6200000000008</v>
      </c>
      <c r="N70" s="136">
        <f t="shared" si="39"/>
        <v>138.66033333333334</v>
      </c>
      <c r="O70" s="136">
        <f t="shared" si="40"/>
        <v>1663.924</v>
      </c>
      <c r="P70" s="329">
        <f t="shared" si="41"/>
        <v>0</v>
      </c>
      <c r="Q70" s="329">
        <f t="shared" si="42"/>
        <v>8319.6200000000008</v>
      </c>
      <c r="R70" s="136">
        <f t="shared" si="43"/>
        <v>8319.6200000000008</v>
      </c>
      <c r="S70" s="136">
        <f t="shared" si="44"/>
        <v>0</v>
      </c>
    </row>
    <row r="71" spans="1:19">
      <c r="A71" s="142">
        <v>179236</v>
      </c>
      <c r="B71" s="142"/>
      <c r="C71" s="141">
        <v>1</v>
      </c>
      <c r="D71" s="256" t="s">
        <v>361</v>
      </c>
      <c r="E71" s="259">
        <v>2017</v>
      </c>
      <c r="F71" s="259">
        <v>3</v>
      </c>
      <c r="G71" s="260">
        <v>0</v>
      </c>
      <c r="H71" s="141" t="s">
        <v>51</v>
      </c>
      <c r="I71" s="259">
        <v>3</v>
      </c>
      <c r="J71" s="141">
        <f t="shared" si="36"/>
        <v>2020</v>
      </c>
      <c r="K71" s="143">
        <f t="shared" si="37"/>
        <v>2020.25</v>
      </c>
      <c r="L71" s="261">
        <v>1195.8499999999999</v>
      </c>
      <c r="M71" s="136">
        <f t="shared" si="38"/>
        <v>1195.8499999999999</v>
      </c>
      <c r="N71" s="136">
        <f t="shared" si="39"/>
        <v>33.218055555555551</v>
      </c>
      <c r="O71" s="136">
        <f t="shared" si="40"/>
        <v>398.61666666666662</v>
      </c>
      <c r="P71" s="329">
        <f t="shared" si="41"/>
        <v>0</v>
      </c>
      <c r="Q71" s="329">
        <f t="shared" si="42"/>
        <v>1195.8499999999999</v>
      </c>
      <c r="R71" s="136">
        <f t="shared" si="43"/>
        <v>1195.8499999999999</v>
      </c>
      <c r="S71" s="136">
        <f t="shared" si="44"/>
        <v>0</v>
      </c>
    </row>
    <row r="72" spans="1:19">
      <c r="A72" s="142">
        <v>180542</v>
      </c>
      <c r="B72" s="142"/>
      <c r="C72" s="141">
        <v>1</v>
      </c>
      <c r="D72" s="130" t="s">
        <v>360</v>
      </c>
      <c r="E72" s="259">
        <v>2017</v>
      </c>
      <c r="F72" s="259">
        <v>5</v>
      </c>
      <c r="G72" s="260">
        <v>0</v>
      </c>
      <c r="H72" s="141" t="s">
        <v>51</v>
      </c>
      <c r="I72" s="259">
        <v>3</v>
      </c>
      <c r="J72" s="141">
        <f t="shared" si="36"/>
        <v>2020</v>
      </c>
      <c r="K72" s="143">
        <f t="shared" si="37"/>
        <v>2020.4166666666667</v>
      </c>
      <c r="L72" s="261">
        <v>1342.11</v>
      </c>
      <c r="M72" s="136">
        <f t="shared" si="38"/>
        <v>1342.11</v>
      </c>
      <c r="N72" s="136">
        <f t="shared" si="39"/>
        <v>37.280833333333327</v>
      </c>
      <c r="O72" s="136">
        <f t="shared" si="40"/>
        <v>447.36999999999989</v>
      </c>
      <c r="P72" s="329">
        <f t="shared" si="41"/>
        <v>0</v>
      </c>
      <c r="Q72" s="329">
        <f t="shared" si="42"/>
        <v>1342.11</v>
      </c>
      <c r="R72" s="136">
        <f t="shared" si="43"/>
        <v>1342.11</v>
      </c>
      <c r="S72" s="136">
        <f t="shared" si="44"/>
        <v>0</v>
      </c>
    </row>
    <row r="73" spans="1:19">
      <c r="A73" s="142">
        <v>183543</v>
      </c>
      <c r="B73" s="142"/>
      <c r="C73" s="141">
        <v>1</v>
      </c>
      <c r="D73" s="256" t="s">
        <v>362</v>
      </c>
      <c r="E73" s="259">
        <v>2017</v>
      </c>
      <c r="F73" s="259">
        <v>5</v>
      </c>
      <c r="G73" s="260">
        <v>0</v>
      </c>
      <c r="H73" s="141" t="s">
        <v>51</v>
      </c>
      <c r="I73" s="259">
        <v>3</v>
      </c>
      <c r="J73" s="141">
        <f t="shared" si="36"/>
        <v>2020</v>
      </c>
      <c r="K73" s="143">
        <f t="shared" si="37"/>
        <v>2020.4166666666667</v>
      </c>
      <c r="L73" s="261">
        <v>6347</v>
      </c>
      <c r="M73" s="136">
        <f t="shared" si="38"/>
        <v>6347</v>
      </c>
      <c r="N73" s="136">
        <f t="shared" si="39"/>
        <v>176.30555555555554</v>
      </c>
      <c r="O73" s="136">
        <f t="shared" si="40"/>
        <v>2115.6666666666665</v>
      </c>
      <c r="P73" s="329">
        <f t="shared" si="41"/>
        <v>0</v>
      </c>
      <c r="Q73" s="329">
        <f t="shared" si="42"/>
        <v>6347</v>
      </c>
      <c r="R73" s="136">
        <f t="shared" si="43"/>
        <v>6347</v>
      </c>
      <c r="S73" s="136">
        <f t="shared" si="44"/>
        <v>0</v>
      </c>
    </row>
    <row r="74" spans="1:19">
      <c r="A74" s="290">
        <v>194814</v>
      </c>
      <c r="B74" s="290"/>
      <c r="D74" s="281" t="s">
        <v>424</v>
      </c>
      <c r="E74" s="259">
        <v>2018</v>
      </c>
      <c r="F74" s="259">
        <v>3</v>
      </c>
      <c r="G74" s="260">
        <v>0</v>
      </c>
      <c r="H74" s="141" t="s">
        <v>51</v>
      </c>
      <c r="I74" s="259">
        <v>3</v>
      </c>
      <c r="J74" s="141">
        <f t="shared" si="36"/>
        <v>2021</v>
      </c>
      <c r="K74" s="143">
        <f t="shared" si="37"/>
        <v>2021.25</v>
      </c>
      <c r="L74" s="282">
        <v>1118.2</v>
      </c>
      <c r="M74" s="136">
        <f>L74-L74*G74</f>
        <v>1118.2</v>
      </c>
      <c r="N74" s="136">
        <f>M74/I74/12</f>
        <v>31.061111111111114</v>
      </c>
      <c r="O74" s="136">
        <f>N74*12</f>
        <v>372.73333333333335</v>
      </c>
      <c r="P74" s="329">
        <f t="shared" si="41"/>
        <v>0</v>
      </c>
      <c r="Q74" s="329">
        <f t="shared" si="42"/>
        <v>1118.2</v>
      </c>
      <c r="R74" s="136">
        <f t="shared" si="43"/>
        <v>1118.2</v>
      </c>
      <c r="S74" s="136">
        <f t="shared" si="44"/>
        <v>0</v>
      </c>
    </row>
    <row r="75" spans="1:19">
      <c r="A75" s="290">
        <v>194954</v>
      </c>
      <c r="B75" s="290"/>
      <c r="D75" s="281" t="s">
        <v>425</v>
      </c>
      <c r="E75" s="259">
        <v>2018</v>
      </c>
      <c r="F75" s="259">
        <v>3</v>
      </c>
      <c r="G75" s="260">
        <v>0</v>
      </c>
      <c r="H75" s="141" t="s">
        <v>51</v>
      </c>
      <c r="I75" s="259">
        <v>5</v>
      </c>
      <c r="J75" s="141">
        <f t="shared" si="36"/>
        <v>2023</v>
      </c>
      <c r="K75" s="143">
        <f t="shared" si="37"/>
        <v>2023.25</v>
      </c>
      <c r="L75" s="282">
        <v>935.1</v>
      </c>
      <c r="M75" s="136">
        <f>L75-L75*G75</f>
        <v>935.1</v>
      </c>
      <c r="N75" s="136">
        <f>M75/I75/12</f>
        <v>15.585000000000001</v>
      </c>
      <c r="O75" s="136">
        <f>N75*12</f>
        <v>187.02</v>
      </c>
      <c r="P75" s="490">
        <f t="shared" si="41"/>
        <v>0</v>
      </c>
      <c r="Q75" s="490">
        <f t="shared" si="42"/>
        <v>826.00500000001421</v>
      </c>
      <c r="R75" s="136">
        <f t="shared" si="43"/>
        <v>935.1</v>
      </c>
      <c r="S75" s="136">
        <f t="shared" si="44"/>
        <v>0</v>
      </c>
    </row>
    <row r="76" spans="1:19">
      <c r="A76" s="290">
        <v>196591</v>
      </c>
      <c r="B76" s="290"/>
      <c r="D76" s="281" t="s">
        <v>426</v>
      </c>
      <c r="E76" s="259">
        <v>2018</v>
      </c>
      <c r="F76" s="259">
        <v>3</v>
      </c>
      <c r="G76" s="260">
        <v>0</v>
      </c>
      <c r="H76" s="141" t="s">
        <v>51</v>
      </c>
      <c r="I76" s="259">
        <v>5</v>
      </c>
      <c r="J76" s="141">
        <f t="shared" si="36"/>
        <v>2023</v>
      </c>
      <c r="K76" s="143">
        <f t="shared" si="37"/>
        <v>2023.25</v>
      </c>
      <c r="L76" s="282">
        <v>76.3</v>
      </c>
      <c r="M76" s="136">
        <f>L76-L76*G76</f>
        <v>76.3</v>
      </c>
      <c r="N76" s="136">
        <f>M76/I76/12</f>
        <v>1.2716666666666667</v>
      </c>
      <c r="O76" s="136">
        <f>N76*12</f>
        <v>15.260000000000002</v>
      </c>
      <c r="P76" s="490">
        <f t="shared" si="41"/>
        <v>0</v>
      </c>
      <c r="Q76" s="490">
        <f t="shared" si="42"/>
        <v>67.398333333334492</v>
      </c>
      <c r="R76" s="136">
        <f t="shared" si="43"/>
        <v>76.3</v>
      </c>
      <c r="S76" s="136">
        <f t="shared" si="44"/>
        <v>0</v>
      </c>
    </row>
    <row r="77" spans="1:19">
      <c r="A77" s="290">
        <v>233213</v>
      </c>
      <c r="B77" s="290"/>
      <c r="D77" s="281" t="s">
        <v>536</v>
      </c>
      <c r="E77" s="259">
        <v>2020</v>
      </c>
      <c r="F77" s="259">
        <v>4</v>
      </c>
      <c r="G77" s="260">
        <v>0</v>
      </c>
      <c r="H77" s="141" t="s">
        <v>51</v>
      </c>
      <c r="I77" s="259">
        <v>3</v>
      </c>
      <c r="J77" s="141">
        <f t="shared" si="36"/>
        <v>2023</v>
      </c>
      <c r="K77" s="143">
        <f t="shared" si="37"/>
        <v>2023.3333333333333</v>
      </c>
      <c r="L77" s="282">
        <v>1129.75</v>
      </c>
      <c r="M77" s="136">
        <f>L77-L77*G77</f>
        <v>1129.75</v>
      </c>
      <c r="N77" s="136">
        <f>M77/I77/12</f>
        <v>31.381944444444443</v>
      </c>
      <c r="O77" s="136">
        <f>N77*12</f>
        <v>376.58333333333331</v>
      </c>
      <c r="P77" s="490">
        <f t="shared" si="41"/>
        <v>0</v>
      </c>
      <c r="Q77" s="490">
        <f t="shared" si="42"/>
        <v>878.69444444450153</v>
      </c>
      <c r="R77" s="136">
        <f t="shared" si="43"/>
        <v>1129.75</v>
      </c>
      <c r="S77" s="136">
        <f t="shared" si="44"/>
        <v>0</v>
      </c>
    </row>
    <row r="78" spans="1:19">
      <c r="A78" s="131"/>
      <c r="B78" s="131"/>
      <c r="C78" s="127"/>
      <c r="D78" s="256"/>
      <c r="E78" s="259"/>
      <c r="F78" s="259"/>
      <c r="G78" s="279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</row>
    <row r="79" spans="1:19">
      <c r="A79" s="287"/>
      <c r="B79" s="287"/>
      <c r="C79" s="257"/>
      <c r="D79" s="257" t="s">
        <v>527</v>
      </c>
      <c r="E79" s="257"/>
      <c r="F79" s="257"/>
      <c r="G79" s="257"/>
      <c r="H79" s="257"/>
      <c r="I79" s="257"/>
      <c r="J79" s="257"/>
      <c r="K79" s="257"/>
      <c r="L79" s="257">
        <f t="shared" ref="L79:S79" si="45">SUM(L64:L78)</f>
        <v>41614.04</v>
      </c>
      <c r="M79" s="257">
        <f t="shared" si="45"/>
        <v>41614.04</v>
      </c>
      <c r="N79" s="257">
        <f t="shared" si="45"/>
        <v>817.26633333333336</v>
      </c>
      <c r="O79" s="257">
        <f t="shared" si="45"/>
        <v>9807.1959999999999</v>
      </c>
      <c r="P79" s="257">
        <f t="shared" si="45"/>
        <v>0</v>
      </c>
      <c r="Q79" s="257">
        <f t="shared" si="45"/>
        <v>41244.987777777853</v>
      </c>
      <c r="R79" s="257">
        <f t="shared" si="45"/>
        <v>41614.04</v>
      </c>
      <c r="S79" s="257">
        <f t="shared" si="45"/>
        <v>0</v>
      </c>
    </row>
    <row r="80" spans="1:19">
      <c r="A80" s="221"/>
      <c r="B80" s="221"/>
      <c r="C80" s="255"/>
      <c r="D80" s="229"/>
      <c r="E80" s="141"/>
      <c r="F80" s="259"/>
      <c r="G80" s="144"/>
      <c r="H80" s="141"/>
      <c r="I80" s="141"/>
      <c r="J80" s="141"/>
      <c r="K80" s="141"/>
      <c r="L80" s="229"/>
      <c r="M80" s="123"/>
      <c r="N80" s="123"/>
      <c r="O80" s="123"/>
      <c r="P80" s="123"/>
      <c r="Q80" s="123"/>
      <c r="R80" s="123"/>
      <c r="S80" s="123"/>
    </row>
    <row r="81" spans="1:19">
      <c r="A81" s="221"/>
      <c r="B81" s="221"/>
      <c r="C81" s="255"/>
      <c r="D81" s="226" t="s">
        <v>205</v>
      </c>
      <c r="E81" s="141"/>
      <c r="F81" s="141"/>
      <c r="G81" s="144"/>
      <c r="H81" s="141"/>
      <c r="I81" s="141"/>
      <c r="J81" s="141"/>
      <c r="K81" s="141"/>
      <c r="L81" s="229"/>
      <c r="M81" s="123"/>
      <c r="N81" s="123"/>
      <c r="O81" s="123"/>
      <c r="P81" s="123"/>
      <c r="Q81" s="123"/>
      <c r="R81" s="123"/>
      <c r="S81" s="123"/>
    </row>
    <row r="82" spans="1:19">
      <c r="A82" s="291" t="s">
        <v>398</v>
      </c>
      <c r="B82" s="291"/>
      <c r="C82" s="255"/>
      <c r="D82" s="130" t="s">
        <v>401</v>
      </c>
      <c r="E82" s="259">
        <v>2017</v>
      </c>
      <c r="F82" s="259">
        <v>12</v>
      </c>
      <c r="G82" s="260">
        <v>0</v>
      </c>
      <c r="H82" s="141" t="s">
        <v>51</v>
      </c>
      <c r="I82" s="259">
        <v>10</v>
      </c>
      <c r="J82" s="141">
        <f t="shared" ref="J82:J87" si="46">E82+I82</f>
        <v>2027</v>
      </c>
      <c r="K82" s="143">
        <f t="shared" ref="K82:K87" si="47">+J82+(F82/12)</f>
        <v>2028</v>
      </c>
      <c r="L82" s="158">
        <v>107611.16</v>
      </c>
      <c r="M82" s="136">
        <f t="shared" ref="M82:M87" si="48">L82-L82*G82</f>
        <v>107611.16</v>
      </c>
      <c r="N82" s="136">
        <f t="shared" ref="N82:N87" si="49">M82/I82/12</f>
        <v>896.7596666666667</v>
      </c>
      <c r="O82" s="136">
        <f t="shared" ref="O82:O87" si="50">N82*12</f>
        <v>10761.116</v>
      </c>
      <c r="P82" s="329">
        <f t="shared" ref="P82:P87" si="51">+IF(K82&lt;=$N$6,0,O82)</f>
        <v>10761.116</v>
      </c>
      <c r="Q82" s="329">
        <f t="shared" ref="Q82:Q87" si="52">+IF($K82&lt;=$N$7,$L82,IF(($E82+($F82/12))&gt;=$N$7,0,((($M82-((($K82-$N$7)*12)*$N82))))))</f>
        <v>50218.541333334149</v>
      </c>
      <c r="R82" s="136">
        <f t="shared" ref="R82:R87" si="53">+IF(K82&lt;=$N$6,M82,IF(P82=0,Q82,Q82+P82))</f>
        <v>60979.657333334151</v>
      </c>
      <c r="S82" s="136">
        <f t="shared" ref="S82:S87" si="54">+L82-R82</f>
        <v>46631.502666665852</v>
      </c>
    </row>
    <row r="83" spans="1:19">
      <c r="A83" s="291" t="s">
        <v>399</v>
      </c>
      <c r="B83" s="291"/>
      <c r="C83" s="255"/>
      <c r="D83" s="130" t="s">
        <v>402</v>
      </c>
      <c r="E83" s="259">
        <v>2017</v>
      </c>
      <c r="F83" s="259">
        <v>12</v>
      </c>
      <c r="G83" s="260">
        <v>0</v>
      </c>
      <c r="H83" s="141" t="s">
        <v>51</v>
      </c>
      <c r="I83" s="259">
        <v>10</v>
      </c>
      <c r="J83" s="141">
        <f t="shared" si="46"/>
        <v>2027</v>
      </c>
      <c r="K83" s="143">
        <f t="shared" si="47"/>
        <v>2028</v>
      </c>
      <c r="L83" s="158">
        <v>49999.44</v>
      </c>
      <c r="M83" s="136">
        <f t="shared" si="48"/>
        <v>49999.44</v>
      </c>
      <c r="N83" s="136">
        <f t="shared" si="49"/>
        <v>416.66200000000003</v>
      </c>
      <c r="O83" s="136">
        <f t="shared" si="50"/>
        <v>4999.9440000000004</v>
      </c>
      <c r="P83" s="329">
        <f t="shared" si="51"/>
        <v>4999.9440000000004</v>
      </c>
      <c r="Q83" s="329">
        <f t="shared" si="52"/>
        <v>23333.072000000378</v>
      </c>
      <c r="R83" s="136">
        <f t="shared" si="53"/>
        <v>28333.016000000378</v>
      </c>
      <c r="S83" s="136">
        <f t="shared" si="54"/>
        <v>21666.423999999624</v>
      </c>
    </row>
    <row r="84" spans="1:19">
      <c r="A84" s="291" t="s">
        <v>400</v>
      </c>
      <c r="B84" s="291"/>
      <c r="C84" s="255"/>
      <c r="D84" s="130" t="s">
        <v>403</v>
      </c>
      <c r="E84" s="259">
        <v>2017</v>
      </c>
      <c r="F84" s="259">
        <v>12</v>
      </c>
      <c r="G84" s="260">
        <v>0</v>
      </c>
      <c r="H84" s="141" t="s">
        <v>51</v>
      </c>
      <c r="I84" s="259">
        <v>10</v>
      </c>
      <c r="J84" s="141">
        <f t="shared" si="46"/>
        <v>2027</v>
      </c>
      <c r="K84" s="143">
        <f t="shared" si="47"/>
        <v>2028</v>
      </c>
      <c r="L84" s="158">
        <v>16010.54</v>
      </c>
      <c r="M84" s="136">
        <f t="shared" si="48"/>
        <v>16010.54</v>
      </c>
      <c r="N84" s="136">
        <f t="shared" si="49"/>
        <v>133.42116666666666</v>
      </c>
      <c r="O84" s="136">
        <f t="shared" si="50"/>
        <v>1601.0540000000001</v>
      </c>
      <c r="P84" s="329">
        <f t="shared" si="51"/>
        <v>1601.0540000000001</v>
      </c>
      <c r="Q84" s="329">
        <f t="shared" si="52"/>
        <v>7471.5853333334562</v>
      </c>
      <c r="R84" s="136">
        <f t="shared" si="53"/>
        <v>9072.6393333334563</v>
      </c>
      <c r="S84" s="136">
        <f t="shared" si="54"/>
        <v>6937.9006666665446</v>
      </c>
    </row>
    <row r="85" spans="1:19">
      <c r="A85" s="291" t="s">
        <v>443</v>
      </c>
      <c r="B85" s="291"/>
      <c r="C85" s="255"/>
      <c r="D85" s="130" t="s">
        <v>444</v>
      </c>
      <c r="E85" s="259">
        <v>2018</v>
      </c>
      <c r="F85" s="259">
        <v>6</v>
      </c>
      <c r="G85" s="260">
        <v>0</v>
      </c>
      <c r="H85" s="141" t="s">
        <v>51</v>
      </c>
      <c r="I85" s="259">
        <v>3</v>
      </c>
      <c r="J85" s="141">
        <f t="shared" si="46"/>
        <v>2021</v>
      </c>
      <c r="K85" s="143">
        <f t="shared" si="47"/>
        <v>2021.5</v>
      </c>
      <c r="L85" s="158">
        <v>27671.439999999999</v>
      </c>
      <c r="M85" s="136">
        <f t="shared" si="48"/>
        <v>27671.439999999999</v>
      </c>
      <c r="N85" s="136">
        <f t="shared" si="49"/>
        <v>768.65111111111116</v>
      </c>
      <c r="O85" s="136">
        <f t="shared" si="50"/>
        <v>9223.8133333333335</v>
      </c>
      <c r="P85" s="329">
        <f t="shared" si="51"/>
        <v>0</v>
      </c>
      <c r="Q85" s="329">
        <f t="shared" si="52"/>
        <v>27671.439999999999</v>
      </c>
      <c r="R85" s="136">
        <f t="shared" si="53"/>
        <v>27671.439999999999</v>
      </c>
      <c r="S85" s="136">
        <f t="shared" si="54"/>
        <v>0</v>
      </c>
    </row>
    <row r="86" spans="1:19">
      <c r="A86" s="291" t="s">
        <v>445</v>
      </c>
      <c r="B86" s="291"/>
      <c r="C86" s="255"/>
      <c r="D86" s="130" t="s">
        <v>446</v>
      </c>
      <c r="E86" s="259">
        <v>2018</v>
      </c>
      <c r="F86" s="259">
        <v>7</v>
      </c>
      <c r="G86" s="260">
        <v>0</v>
      </c>
      <c r="H86" s="141" t="s">
        <v>51</v>
      </c>
      <c r="I86" s="259">
        <v>10</v>
      </c>
      <c r="J86" s="141">
        <f t="shared" si="46"/>
        <v>2028</v>
      </c>
      <c r="K86" s="143">
        <f t="shared" si="47"/>
        <v>2028.5833333333333</v>
      </c>
      <c r="L86" s="158">
        <v>172177.85</v>
      </c>
      <c r="M86" s="136">
        <f t="shared" si="48"/>
        <v>172177.85</v>
      </c>
      <c r="N86" s="136">
        <f t="shared" si="49"/>
        <v>1434.8154166666666</v>
      </c>
      <c r="O86" s="136">
        <f t="shared" si="50"/>
        <v>17217.785</v>
      </c>
      <c r="P86" s="329">
        <f t="shared" si="51"/>
        <v>17217.785</v>
      </c>
      <c r="Q86" s="329">
        <f t="shared" si="52"/>
        <v>70305.955416669283</v>
      </c>
      <c r="R86" s="136">
        <f t="shared" si="53"/>
        <v>87523.740416669287</v>
      </c>
      <c r="S86" s="136">
        <f t="shared" si="54"/>
        <v>84654.109583330719</v>
      </c>
    </row>
    <row r="87" spans="1:19">
      <c r="A87" s="291" t="s">
        <v>480</v>
      </c>
      <c r="B87" s="291"/>
      <c r="C87" s="255"/>
      <c r="D87" s="130" t="s">
        <v>484</v>
      </c>
      <c r="E87" s="259">
        <v>2019</v>
      </c>
      <c r="F87" s="259">
        <v>8</v>
      </c>
      <c r="G87" s="260">
        <v>0</v>
      </c>
      <c r="H87" s="141" t="s">
        <v>51</v>
      </c>
      <c r="I87" s="259">
        <v>10</v>
      </c>
      <c r="J87" s="141">
        <f t="shared" si="46"/>
        <v>2029</v>
      </c>
      <c r="K87" s="143">
        <f t="shared" si="47"/>
        <v>2029.6666666666667</v>
      </c>
      <c r="L87" s="158">
        <v>19784.97</v>
      </c>
      <c r="M87" s="136">
        <f t="shared" si="48"/>
        <v>19784.97</v>
      </c>
      <c r="N87" s="136">
        <f t="shared" si="49"/>
        <v>164.87475000000001</v>
      </c>
      <c r="O87" s="136">
        <f t="shared" si="50"/>
        <v>1978.4970000000001</v>
      </c>
      <c r="P87" s="329">
        <f t="shared" si="51"/>
        <v>1978.4970000000001</v>
      </c>
      <c r="Q87" s="329">
        <f t="shared" si="52"/>
        <v>5935.491</v>
      </c>
      <c r="R87" s="136">
        <f t="shared" si="53"/>
        <v>7913.9880000000003</v>
      </c>
      <c r="S87" s="136">
        <f t="shared" si="54"/>
        <v>11870.982</v>
      </c>
    </row>
    <row r="88" spans="1:19">
      <c r="A88" s="291"/>
      <c r="B88" s="291"/>
      <c r="C88" s="255"/>
      <c r="E88" s="259"/>
      <c r="F88" s="259"/>
      <c r="G88" s="260"/>
      <c r="H88" s="141"/>
      <c r="I88" s="259"/>
      <c r="J88" s="141"/>
      <c r="K88" s="143"/>
      <c r="L88" s="158"/>
      <c r="M88" s="136"/>
      <c r="N88" s="136"/>
      <c r="O88" s="136"/>
      <c r="P88" s="136"/>
      <c r="Q88" s="136"/>
      <c r="R88" s="136"/>
      <c r="S88" s="136"/>
    </row>
    <row r="89" spans="1:19">
      <c r="A89" s="287"/>
      <c r="B89" s="287"/>
      <c r="C89" s="257"/>
      <c r="D89" s="257" t="s">
        <v>528</v>
      </c>
      <c r="E89" s="257"/>
      <c r="F89" s="257"/>
      <c r="G89" s="257"/>
      <c r="H89" s="257"/>
      <c r="I89" s="257"/>
      <c r="J89" s="257"/>
      <c r="K89" s="257"/>
      <c r="L89" s="257">
        <f t="shared" ref="L89:S89" si="55">SUM(L82:L88)</f>
        <v>393255.4</v>
      </c>
      <c r="M89" s="257">
        <f t="shared" si="55"/>
        <v>393255.4</v>
      </c>
      <c r="N89" s="257">
        <f t="shared" si="55"/>
        <v>3815.1841111111107</v>
      </c>
      <c r="O89" s="257">
        <f t="shared" si="55"/>
        <v>45782.209333333332</v>
      </c>
      <c r="P89" s="257">
        <f t="shared" si="55"/>
        <v>36558.396000000008</v>
      </c>
      <c r="Q89" s="257">
        <f t="shared" si="55"/>
        <v>184936.0850833373</v>
      </c>
      <c r="R89" s="257">
        <f t="shared" si="55"/>
        <v>221494.48108333728</v>
      </c>
      <c r="S89" s="257">
        <f t="shared" si="55"/>
        <v>171760.91891666272</v>
      </c>
    </row>
    <row r="90" spans="1:19">
      <c r="A90" s="221"/>
      <c r="B90" s="221"/>
      <c r="C90" s="143"/>
      <c r="D90" s="229"/>
      <c r="E90" s="141"/>
      <c r="F90" s="141"/>
      <c r="G90" s="264"/>
      <c r="H90" s="141"/>
      <c r="I90" s="141"/>
      <c r="J90" s="141"/>
      <c r="K90" s="141"/>
      <c r="L90" s="229"/>
      <c r="M90" s="123"/>
      <c r="N90" s="123"/>
      <c r="O90" s="123"/>
      <c r="P90" s="123"/>
      <c r="Q90" s="123"/>
      <c r="R90" s="123"/>
      <c r="S90" s="123"/>
    </row>
    <row r="91" spans="1:19">
      <c r="A91" s="142"/>
      <c r="B91" s="142"/>
      <c r="D91" s="229"/>
      <c r="E91" s="141"/>
      <c r="F91" s="141"/>
      <c r="G91" s="264"/>
      <c r="H91" s="141"/>
      <c r="I91" s="141"/>
      <c r="J91" s="141"/>
      <c r="K91" s="141"/>
      <c r="L91" s="229"/>
      <c r="M91" s="123"/>
      <c r="N91" s="123"/>
      <c r="O91" s="123"/>
      <c r="P91" s="123"/>
      <c r="Q91" s="123"/>
      <c r="R91" s="123"/>
      <c r="S91" s="123"/>
    </row>
    <row r="92" spans="1:19" s="165" customFormat="1" ht="12.75" thickBot="1">
      <c r="A92" s="286"/>
      <c r="B92" s="286"/>
      <c r="C92" s="237"/>
      <c r="D92" s="237" t="s">
        <v>529</v>
      </c>
      <c r="E92" s="238"/>
      <c r="F92" s="238"/>
      <c r="G92" s="239"/>
      <c r="H92" s="238"/>
      <c r="I92" s="238"/>
      <c r="J92" s="238"/>
      <c r="K92" s="238"/>
      <c r="L92" s="240">
        <f>L21+L48+L54+L61+L79+L89</f>
        <v>3492869.330000001</v>
      </c>
      <c r="M92" s="240">
        <f>M21+M48+M54+M61+M79+M89</f>
        <v>3492869.330000001</v>
      </c>
      <c r="N92" s="240">
        <f t="shared" ref="N92:R92" si="56">N21+N48+N54+N61+N79+N89</f>
        <v>36393.163301492365</v>
      </c>
      <c r="O92" s="240">
        <f t="shared" si="56"/>
        <v>436717.95961790846</v>
      </c>
      <c r="P92" s="240">
        <f t="shared" si="56"/>
        <v>326225.93214285723</v>
      </c>
      <c r="Q92" s="240">
        <f t="shared" si="56"/>
        <v>1443831.288170645</v>
      </c>
      <c r="R92" s="240">
        <f t="shared" si="56"/>
        <v>1770577.9963690573</v>
      </c>
      <c r="S92" s="240">
        <f>S21+S48+S54+S61+S79+S89</f>
        <v>1722291.333630943</v>
      </c>
    </row>
    <row r="93" spans="1:19">
      <c r="A93" s="142"/>
      <c r="B93" s="142"/>
      <c r="L93" s="168"/>
      <c r="M93" s="168"/>
      <c r="N93" s="168"/>
      <c r="O93" s="168"/>
      <c r="P93" s="168"/>
      <c r="Q93" s="168"/>
      <c r="R93" s="168"/>
      <c r="S93" s="168"/>
    </row>
    <row r="94" spans="1:19">
      <c r="A94" s="142"/>
      <c r="B94" s="142"/>
    </row>
    <row r="95" spans="1:19">
      <c r="A95" s="142"/>
      <c r="B95" s="142"/>
      <c r="D95" s="220" t="s">
        <v>239</v>
      </c>
      <c r="F95" s="141"/>
      <c r="G95" s="266"/>
    </row>
    <row r="96" spans="1:19">
      <c r="A96" s="142"/>
      <c r="B96" s="142"/>
      <c r="C96" s="255"/>
      <c r="D96" s="130" t="s">
        <v>240</v>
      </c>
      <c r="F96" s="141"/>
      <c r="G96" s="266"/>
      <c r="K96" s="141"/>
    </row>
    <row r="97" spans="1:19">
      <c r="A97" s="142"/>
      <c r="B97" s="142"/>
      <c r="C97" s="127"/>
      <c r="D97" s="131"/>
      <c r="E97" s="127"/>
      <c r="F97" s="141"/>
      <c r="G97" s="265"/>
      <c r="H97" s="127"/>
      <c r="I97" s="127"/>
      <c r="J97" s="127"/>
      <c r="K97" s="127"/>
      <c r="L97" s="127"/>
      <c r="M97" s="131"/>
      <c r="N97" s="131"/>
      <c r="O97" s="131"/>
      <c r="P97" s="131"/>
      <c r="Q97" s="131"/>
      <c r="R97" s="131"/>
      <c r="S97" s="131"/>
    </row>
    <row r="98" spans="1:19">
      <c r="A98" s="142"/>
      <c r="B98" s="142"/>
      <c r="C98" s="127"/>
      <c r="D98" s="131"/>
      <c r="E98" s="127"/>
      <c r="F98" s="141"/>
      <c r="G98" s="265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</row>
    <row r="99" spans="1:19">
      <c r="A99" s="142"/>
      <c r="B99" s="142"/>
      <c r="C99" s="133"/>
      <c r="D99" s="134"/>
      <c r="E99" s="133"/>
      <c r="F99" s="141"/>
      <c r="G99" s="267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</row>
    <row r="100" spans="1:19">
      <c r="A100" s="142"/>
      <c r="B100" s="142"/>
      <c r="C100" s="255"/>
      <c r="D100" s="229"/>
      <c r="E100" s="141"/>
      <c r="F100" s="141"/>
      <c r="G100" s="264"/>
      <c r="H100" s="141"/>
      <c r="I100" s="141"/>
      <c r="J100" s="141"/>
      <c r="K100" s="141"/>
      <c r="L100" s="229"/>
      <c r="M100" s="123"/>
      <c r="N100" s="123"/>
      <c r="O100" s="123"/>
      <c r="P100" s="123"/>
      <c r="Q100" s="123"/>
      <c r="R100" s="123"/>
      <c r="S100" s="123"/>
    </row>
    <row r="101" spans="1:19">
      <c r="A101" s="142"/>
      <c r="B101" s="142"/>
      <c r="C101" s="255"/>
      <c r="D101" s="268" t="s">
        <v>293</v>
      </c>
      <c r="E101" s="141"/>
      <c r="F101" s="141"/>
      <c r="G101" s="264"/>
      <c r="H101" s="141"/>
      <c r="I101" s="141"/>
      <c r="J101" s="141"/>
      <c r="K101" s="141"/>
      <c r="L101" s="229"/>
      <c r="M101" s="123"/>
      <c r="N101" s="123"/>
      <c r="O101" s="123"/>
      <c r="P101" s="123"/>
      <c r="Q101" s="123"/>
      <c r="R101" s="123"/>
      <c r="S101" s="123"/>
    </row>
    <row r="102" spans="1:19">
      <c r="A102" s="230"/>
      <c r="B102" s="230"/>
      <c r="C102" s="255"/>
      <c r="D102" s="130" t="s">
        <v>182</v>
      </c>
      <c r="E102" s="259">
        <v>1997</v>
      </c>
      <c r="F102" s="259">
        <v>3</v>
      </c>
      <c r="G102" s="260">
        <v>0</v>
      </c>
      <c r="H102" s="141" t="s">
        <v>51</v>
      </c>
      <c r="I102" s="259">
        <v>5</v>
      </c>
      <c r="J102" s="141">
        <f>E102+I102</f>
        <v>2002</v>
      </c>
      <c r="K102" s="141"/>
      <c r="L102" s="261">
        <v>1000</v>
      </c>
      <c r="M102" s="123">
        <f>L102-L102*G102</f>
        <v>1000</v>
      </c>
      <c r="N102" s="123">
        <f>M102/I102/12</f>
        <v>16.666666666666668</v>
      </c>
      <c r="O102" s="123"/>
      <c r="P102" s="123">
        <f>+IF(K102&lt;=$N$6,0,O102)</f>
        <v>0</v>
      </c>
      <c r="Q102" s="123">
        <f>+IF($K102&lt;=$N$7,$L102,IF(($E102+($F102/12))&gt;=$N$7,0,((($M102-((($K102-$N$7)*12)*$N102))))))</f>
        <v>1000</v>
      </c>
      <c r="R102" s="123">
        <f>+IF(K102&lt;=$N$6,M102,IF(P102=0,Q102,Q102+P102))</f>
        <v>1000</v>
      </c>
      <c r="S102" s="123">
        <f>+IF(P102=0,0,((L102-Q102)+(L102-R102))/2)</f>
        <v>0</v>
      </c>
    </row>
    <row r="103" spans="1:19">
      <c r="A103" s="230"/>
      <c r="B103" s="230"/>
      <c r="C103" s="255"/>
      <c r="D103" s="142" t="s">
        <v>183</v>
      </c>
      <c r="E103" s="259">
        <v>1997</v>
      </c>
      <c r="F103" s="259">
        <v>2</v>
      </c>
      <c r="G103" s="260">
        <v>0</v>
      </c>
      <c r="H103" s="141" t="s">
        <v>51</v>
      </c>
      <c r="I103" s="259">
        <v>5</v>
      </c>
      <c r="J103" s="141">
        <f>E103+I103</f>
        <v>2002</v>
      </c>
      <c r="K103" s="141"/>
      <c r="L103" s="261">
        <v>3640.67</v>
      </c>
      <c r="M103" s="123">
        <f>L103-L103*G103</f>
        <v>3640.67</v>
      </c>
      <c r="N103" s="123">
        <f>M103/I103/12</f>
        <v>60.677833333333332</v>
      </c>
      <c r="O103" s="123"/>
      <c r="P103" s="123">
        <f>+IF(K103&lt;=$N$6,0,O103)</f>
        <v>0</v>
      </c>
      <c r="Q103" s="123">
        <f>+IF($K103&lt;=$N$7,$L103,IF(($E103+($F103/12))&gt;=$N$7,0,((($M103-((($K103-$N$7)*12)*$N103))))))</f>
        <v>3640.67</v>
      </c>
      <c r="R103" s="123">
        <f>+IF(K103&lt;=$N$6,M103,IF(P103=0,Q103,Q103+P103))</f>
        <v>3640.67</v>
      </c>
      <c r="S103" s="123">
        <f>+IF(P103=0,0,((L103-Q103)+(L103-R103))/2)</f>
        <v>0</v>
      </c>
    </row>
    <row r="104" spans="1:19">
      <c r="A104" s="230"/>
      <c r="B104" s="230"/>
      <c r="C104" s="255"/>
      <c r="D104" s="130" t="s">
        <v>185</v>
      </c>
      <c r="E104" s="259">
        <v>1997</v>
      </c>
      <c r="F104" s="259">
        <v>7</v>
      </c>
      <c r="G104" s="260">
        <v>0</v>
      </c>
      <c r="H104" s="141" t="s">
        <v>51</v>
      </c>
      <c r="I104" s="259">
        <v>5</v>
      </c>
      <c r="J104" s="141">
        <f>E104+I104</f>
        <v>2002</v>
      </c>
      <c r="K104" s="141"/>
      <c r="L104" s="261">
        <v>3640.67</v>
      </c>
      <c r="M104" s="123">
        <f>L104-L104*G104</f>
        <v>3640.67</v>
      </c>
      <c r="N104" s="123">
        <f>M104/I104/12</f>
        <v>60.677833333333332</v>
      </c>
      <c r="O104" s="123"/>
      <c r="P104" s="123">
        <f>+IF(K104&lt;=$N$6,0,O104)</f>
        <v>0</v>
      </c>
      <c r="Q104" s="123">
        <f>+IF($K104&lt;=$N$7,$L104,IF(($E104+($F104/12))&gt;=$N$7,0,((($M104-((($K104-$N$7)*12)*$N104))))))</f>
        <v>3640.67</v>
      </c>
      <c r="R104" s="123">
        <f>+IF(K104&lt;=$N$6,M104,IF(P104=0,Q104,Q104+P104))</f>
        <v>3640.67</v>
      </c>
      <c r="S104" s="123">
        <f>+IF(P104=0,0,((L104-Q104)+(L104-R104))/2)</f>
        <v>0</v>
      </c>
    </row>
    <row r="105" spans="1:19">
      <c r="A105" s="230"/>
      <c r="B105" s="230"/>
      <c r="C105" s="255"/>
      <c r="D105" s="130" t="s">
        <v>186</v>
      </c>
      <c r="E105" s="259">
        <v>1997</v>
      </c>
      <c r="F105" s="259">
        <v>7</v>
      </c>
      <c r="G105" s="260">
        <v>0</v>
      </c>
      <c r="H105" s="141" t="s">
        <v>51</v>
      </c>
      <c r="I105" s="259">
        <v>5</v>
      </c>
      <c r="J105" s="141">
        <f>E105+I105</f>
        <v>2002</v>
      </c>
      <c r="K105" s="141"/>
      <c r="L105" s="261">
        <v>8321.5400000000009</v>
      </c>
      <c r="M105" s="123">
        <f>L105-L105*G105</f>
        <v>8321.5400000000009</v>
      </c>
      <c r="N105" s="123">
        <f>M105/I105/12</f>
        <v>138.69233333333335</v>
      </c>
      <c r="O105" s="123"/>
      <c r="P105" s="123">
        <f>+IF(K105&lt;=$N$6,0,O105)</f>
        <v>0</v>
      </c>
      <c r="Q105" s="123">
        <f>+IF($K105&lt;=$N$7,$L105,IF(($E105+($F105/12))&gt;=$N$7,0,((($M105-((($K105-$N$7)*12)*$N105))))))</f>
        <v>8321.5400000000009</v>
      </c>
      <c r="R105" s="123">
        <f>+IF(K105&lt;=$N$6,M105,IF(P105=0,Q105,Q105+P105))</f>
        <v>8321.5400000000009</v>
      </c>
      <c r="S105" s="123">
        <f>+IF(P105=0,0,((L105-Q105)+(L105-R105))/2)</f>
        <v>0</v>
      </c>
    </row>
    <row r="106" spans="1:19">
      <c r="A106" s="142"/>
      <c r="B106" s="142"/>
      <c r="C106" s="143"/>
      <c r="D106" s="229"/>
      <c r="E106" s="141"/>
      <c r="F106" s="141"/>
      <c r="G106" s="144"/>
      <c r="H106" s="141"/>
      <c r="I106" s="141"/>
      <c r="J106" s="141"/>
      <c r="K106" s="141"/>
      <c r="L106" s="229"/>
      <c r="M106" s="123"/>
      <c r="N106" s="123"/>
      <c r="O106" s="123"/>
      <c r="P106" s="123"/>
      <c r="Q106" s="123"/>
      <c r="R106" s="123"/>
      <c r="S106" s="123"/>
    </row>
    <row r="107" spans="1:19">
      <c r="A107" s="142"/>
      <c r="B107" s="142"/>
      <c r="C107" s="255"/>
      <c r="D107" s="229"/>
      <c r="E107" s="141"/>
      <c r="F107" s="141"/>
      <c r="G107" s="144"/>
      <c r="H107" s="141"/>
      <c r="I107" s="141"/>
      <c r="J107" s="141"/>
      <c r="K107" s="141"/>
      <c r="L107" s="229"/>
      <c r="M107" s="123"/>
      <c r="N107" s="123"/>
      <c r="O107" s="123"/>
      <c r="P107" s="123"/>
      <c r="Q107" s="123"/>
      <c r="R107" s="123"/>
      <c r="S107" s="123"/>
    </row>
    <row r="108" spans="1:19">
      <c r="A108" s="142"/>
      <c r="B108" s="142"/>
      <c r="C108" s="255"/>
      <c r="D108" s="268" t="s">
        <v>451</v>
      </c>
      <c r="E108" s="141"/>
      <c r="F108" s="141"/>
      <c r="G108" s="144"/>
      <c r="H108" s="141"/>
      <c r="I108" s="141"/>
      <c r="J108" s="141"/>
      <c r="K108" s="141"/>
      <c r="L108" s="229"/>
      <c r="M108" s="123"/>
      <c r="N108" s="123"/>
      <c r="O108" s="123"/>
      <c r="P108" s="123"/>
      <c r="Q108" s="123"/>
      <c r="R108" s="123"/>
      <c r="S108" s="123"/>
    </row>
    <row r="109" spans="1:19">
      <c r="A109" s="221"/>
      <c r="B109" s="221"/>
      <c r="C109" s="255"/>
      <c r="D109" s="130" t="s">
        <v>184</v>
      </c>
      <c r="E109" s="259">
        <v>1997</v>
      </c>
      <c r="F109" s="259">
        <v>7</v>
      </c>
      <c r="G109" s="264">
        <v>0</v>
      </c>
      <c r="H109" s="141" t="s">
        <v>51</v>
      </c>
      <c r="I109" s="259">
        <v>5</v>
      </c>
      <c r="J109" s="141">
        <f>E109+I109</f>
        <v>2002</v>
      </c>
      <c r="K109" s="143">
        <f>+J109+(F109/12)</f>
        <v>2002.5833333333333</v>
      </c>
      <c r="L109" s="261">
        <v>1500</v>
      </c>
      <c r="M109" s="136">
        <f>L109-L109*G109</f>
        <v>1500</v>
      </c>
      <c r="N109" s="136">
        <f>M109/I109/12</f>
        <v>25</v>
      </c>
      <c r="O109" s="136">
        <f>N109*12</f>
        <v>300</v>
      </c>
      <c r="P109" s="136">
        <f>+IF(K109&lt;=$N$6,0,O109)</f>
        <v>0</v>
      </c>
      <c r="Q109" s="136">
        <f>+IF($K109&lt;=$N$7,$L109,IF(($E109+($F109/12))&gt;=$N$7,0,((($M109-((($K109-$N$7)*12)*$N109))))))</f>
        <v>1500</v>
      </c>
      <c r="R109" s="136">
        <f>+IF(K109&lt;=$N$6,M109,IF(P109=0,Q109,Q109+P109))</f>
        <v>1500</v>
      </c>
      <c r="S109" s="136">
        <f>+IF(P109=0,0,((L109-Q109)+(L109-R109))/2)</f>
        <v>0</v>
      </c>
    </row>
    <row r="110" spans="1:19">
      <c r="A110" s="221"/>
      <c r="B110" s="221"/>
      <c r="C110" s="255"/>
      <c r="E110" s="259"/>
      <c r="F110" s="259"/>
      <c r="G110" s="264"/>
      <c r="H110" s="141"/>
      <c r="I110" s="259"/>
      <c r="J110" s="141"/>
      <c r="K110" s="143"/>
      <c r="L110" s="261"/>
      <c r="M110" s="136"/>
      <c r="N110" s="136"/>
      <c r="O110" s="136"/>
      <c r="P110" s="136"/>
      <c r="Q110" s="136"/>
      <c r="R110" s="136"/>
      <c r="S110" s="136"/>
    </row>
    <row r="111" spans="1:19">
      <c r="A111" s="142"/>
      <c r="B111" s="142"/>
      <c r="C111" s="255"/>
      <c r="D111" s="268" t="s">
        <v>486</v>
      </c>
      <c r="E111" s="141"/>
      <c r="F111" s="141"/>
      <c r="G111" s="144"/>
      <c r="H111" s="141"/>
      <c r="I111" s="141"/>
      <c r="J111" s="141"/>
      <c r="K111" s="141"/>
      <c r="L111" s="229"/>
      <c r="M111" s="123"/>
      <c r="N111" s="123"/>
      <c r="O111" s="123"/>
      <c r="P111" s="123"/>
      <c r="Q111" s="123"/>
      <c r="R111" s="123"/>
      <c r="S111" s="123"/>
    </row>
    <row r="112" spans="1:19">
      <c r="A112" s="142">
        <v>166686</v>
      </c>
      <c r="B112" s="142"/>
      <c r="C112" s="141">
        <v>101</v>
      </c>
      <c r="D112" s="256" t="s">
        <v>342</v>
      </c>
      <c r="E112" s="143">
        <v>2016</v>
      </c>
      <c r="F112" s="141">
        <v>8</v>
      </c>
      <c r="G112" s="144">
        <v>0</v>
      </c>
      <c r="H112" s="141" t="s">
        <v>51</v>
      </c>
      <c r="I112" s="141">
        <v>3</v>
      </c>
      <c r="J112" s="143">
        <f>E112+I112</f>
        <v>2019</v>
      </c>
      <c r="K112" s="223">
        <f>+J112+(F112/12)</f>
        <v>2019.6666666666667</v>
      </c>
      <c r="L112" s="170">
        <v>28923.599999999999</v>
      </c>
      <c r="M112" s="136">
        <f>L112-L112*G112</f>
        <v>28923.599999999999</v>
      </c>
      <c r="N112" s="136">
        <f>M112/I112/12</f>
        <v>803.43333333333328</v>
      </c>
      <c r="O112" s="136">
        <f>N112*12</f>
        <v>9641.1999999999989</v>
      </c>
      <c r="P112" s="136">
        <f>+IF(K112&lt;=$N$6,0,O112)</f>
        <v>0</v>
      </c>
      <c r="Q112" s="136">
        <f>+IF($K112&lt;=$N$7,$L112,IF(($E112+($F112/12))&gt;=$N$7,0,((($M112-((($K112-$N$7)*12)*$N112))))))</f>
        <v>28923.599999999999</v>
      </c>
      <c r="R112" s="136">
        <f>+IF(K112&lt;=$N$6,M112,IF(P112=0,Q112,Q112+P112))</f>
        <v>28923.599999999999</v>
      </c>
      <c r="S112" s="136">
        <f>+L112-R112</f>
        <v>0</v>
      </c>
    </row>
    <row r="113" spans="1:23">
      <c r="A113" s="142"/>
      <c r="B113" s="142"/>
      <c r="C113" s="255"/>
      <c r="D113" s="229"/>
      <c r="E113" s="141"/>
      <c r="F113" s="141"/>
      <c r="G113" s="144"/>
      <c r="H113" s="141"/>
      <c r="I113" s="141"/>
      <c r="J113" s="141"/>
      <c r="K113" s="141"/>
      <c r="L113" s="229"/>
      <c r="M113" s="123"/>
      <c r="N113" s="123"/>
      <c r="O113" s="123"/>
      <c r="P113" s="123"/>
      <c r="Q113" s="123"/>
      <c r="R113" s="123"/>
      <c r="S113" s="123"/>
    </row>
    <row r="114" spans="1:23">
      <c r="A114" s="221"/>
      <c r="B114" s="221"/>
      <c r="C114" s="255"/>
      <c r="D114" s="130" t="s">
        <v>254</v>
      </c>
      <c r="E114" s="259">
        <v>2012</v>
      </c>
      <c r="F114" s="259">
        <v>10</v>
      </c>
      <c r="G114" s="260">
        <v>0</v>
      </c>
      <c r="H114" s="141" t="s">
        <v>51</v>
      </c>
      <c r="I114" s="259">
        <v>15</v>
      </c>
      <c r="J114" s="141">
        <f>E114+I114</f>
        <v>2027</v>
      </c>
      <c r="K114" s="143">
        <f>+J114+(F114/12)</f>
        <v>2027.8333333333333</v>
      </c>
      <c r="L114" s="158">
        <v>40799.589999999997</v>
      </c>
      <c r="M114" s="136">
        <f>L114-L114*G114</f>
        <v>40799.589999999997</v>
      </c>
      <c r="N114" s="136">
        <f>M114/I114/12</f>
        <v>226.66438888888888</v>
      </c>
      <c r="O114" s="136">
        <f>N114*12</f>
        <v>2719.9726666666666</v>
      </c>
      <c r="P114" s="136">
        <f>+IF(K114&lt;=$N$6,0,O114)</f>
        <v>2719.9726666666666</v>
      </c>
      <c r="Q114" s="136">
        <f>+IF($K114&lt;=$N$7,$L114,IF(($E114+($F114/12))&gt;=$N$7,0,((($M114-((($K114-$N$7)*12)*$N114))))))</f>
        <v>26746.397888889296</v>
      </c>
      <c r="R114" s="136">
        <f>+IF(K114&lt;=$N$6,M114,IF(P114=0,Q114,Q114+P114))</f>
        <v>29466.370555555965</v>
      </c>
      <c r="S114" s="136">
        <f>+L114-R114</f>
        <v>11333.219444444032</v>
      </c>
      <c r="T114" s="269" t="s">
        <v>506</v>
      </c>
    </row>
    <row r="115" spans="1:23">
      <c r="A115" s="291">
        <v>102299</v>
      </c>
      <c r="B115" s="291"/>
      <c r="C115" s="255"/>
      <c r="D115" s="130" t="s">
        <v>254</v>
      </c>
      <c r="E115" s="259">
        <v>2013</v>
      </c>
      <c r="F115" s="259">
        <v>1</v>
      </c>
      <c r="G115" s="260">
        <v>0</v>
      </c>
      <c r="H115" s="141" t="s">
        <v>51</v>
      </c>
      <c r="I115" s="259">
        <v>15</v>
      </c>
      <c r="J115" s="141">
        <f>E115+I115</f>
        <v>2028</v>
      </c>
      <c r="K115" s="143">
        <f>+J115+(F115/12)</f>
        <v>2028.0833333333333</v>
      </c>
      <c r="L115" s="158">
        <v>7461.17</v>
      </c>
      <c r="M115" s="136">
        <f>L115-L115*G115</f>
        <v>7461.17</v>
      </c>
      <c r="N115" s="136">
        <f>M115/I115/12</f>
        <v>41.450944444444445</v>
      </c>
      <c r="O115" s="136">
        <f>N115*12</f>
        <v>497.41133333333335</v>
      </c>
      <c r="P115" s="136">
        <f>+IF(K115&lt;=$N$6,0,O115)</f>
        <v>497.41133333333335</v>
      </c>
      <c r="Q115" s="136">
        <f>+IF($K115&lt;=$N$7,$L115,IF(($E115+($F115/12))&gt;=$N$7,0,((($M115-((($K115-$N$7)*12)*$N115))))))</f>
        <v>4766.8586111111863</v>
      </c>
      <c r="R115" s="136">
        <f>+IF(K115&lt;=$N$6,M115,IF(P115=0,Q115,Q115+P115))</f>
        <v>5264.2699444445198</v>
      </c>
      <c r="S115" s="136">
        <f>+L115-R115</f>
        <v>2196.9000555554803</v>
      </c>
      <c r="T115" s="269" t="s">
        <v>506</v>
      </c>
    </row>
    <row r="116" spans="1:23">
      <c r="A116" s="291" t="s">
        <v>333</v>
      </c>
      <c r="B116" s="291"/>
      <c r="C116" s="255"/>
      <c r="D116" s="130" t="s">
        <v>324</v>
      </c>
      <c r="E116" s="259">
        <v>2016</v>
      </c>
      <c r="F116" s="259">
        <v>6</v>
      </c>
      <c r="G116" s="260">
        <v>0</v>
      </c>
      <c r="H116" s="141" t="s">
        <v>51</v>
      </c>
      <c r="I116" s="259">
        <v>15</v>
      </c>
      <c r="J116" s="141">
        <f>E116+I116</f>
        <v>2031</v>
      </c>
      <c r="K116" s="143">
        <f>+J116+(F116/12)</f>
        <v>2031.5</v>
      </c>
      <c r="L116" s="158">
        <v>63313.38</v>
      </c>
      <c r="M116" s="136">
        <f>L116-L116*G116</f>
        <v>63313.38</v>
      </c>
      <c r="N116" s="136">
        <f>M116/I116/12</f>
        <v>351.74099999999999</v>
      </c>
      <c r="O116" s="136">
        <f>N116*12</f>
        <v>4220.8919999999998</v>
      </c>
      <c r="P116" s="136">
        <f>+IF(K116&lt;=$N$6,0,O116)</f>
        <v>4220.8919999999998</v>
      </c>
      <c r="Q116" s="136">
        <f>+IF($K116&lt;=$N$7,$L116,IF(($E116+($F116/12))&gt;=$N$7,0,((($M116-((($K116-$N$7)*12)*$N116))))))</f>
        <v>26028.834000000315</v>
      </c>
      <c r="R116" s="136">
        <f>+IF(K116&lt;=$N$6,M116,IF(P116=0,Q116,Q116+P116))</f>
        <v>30249.726000000315</v>
      </c>
      <c r="S116" s="136">
        <f>+L116-R116</f>
        <v>33063.653999999682</v>
      </c>
      <c r="T116" s="269" t="s">
        <v>506</v>
      </c>
    </row>
    <row r="117" spans="1:23">
      <c r="A117" s="142"/>
      <c r="B117" s="142"/>
      <c r="C117" s="255"/>
      <c r="D117" s="229"/>
      <c r="E117" s="141"/>
      <c r="F117" s="141"/>
      <c r="G117" s="144"/>
      <c r="I117" s="141"/>
      <c r="J117" s="141"/>
      <c r="K117" s="141"/>
      <c r="L117" s="141"/>
      <c r="O117" s="229"/>
      <c r="P117" s="229"/>
      <c r="Q117" s="229"/>
      <c r="R117" s="229"/>
      <c r="S117" s="229"/>
      <c r="T117" s="123"/>
      <c r="U117" s="123"/>
      <c r="V117" s="123"/>
      <c r="W117" s="123"/>
    </row>
    <row r="118" spans="1:23">
      <c r="A118" s="180"/>
      <c r="B118" s="180"/>
      <c r="C118" s="123"/>
      <c r="D118" s="124"/>
      <c r="E118" s="124"/>
      <c r="F118" s="124"/>
      <c r="G118" s="124"/>
      <c r="H118" s="124"/>
      <c r="I118" s="125"/>
      <c r="J118" s="125"/>
      <c r="K118" s="125"/>
      <c r="L118" s="120"/>
      <c r="M118" s="120"/>
      <c r="N118" s="120"/>
      <c r="O118" s="120"/>
      <c r="P118" s="120"/>
      <c r="Q118" s="120"/>
      <c r="R118" s="120"/>
      <c r="S118" s="120"/>
      <c r="T118" s="123"/>
      <c r="U118" s="123"/>
      <c r="V118" s="123"/>
      <c r="W118" s="123"/>
    </row>
    <row r="119" spans="1:23">
      <c r="A119" s="180"/>
      <c r="B119" s="180"/>
      <c r="C119" s="127"/>
      <c r="D119" s="128"/>
      <c r="E119" s="126"/>
      <c r="F119" s="126"/>
      <c r="G119" s="129"/>
      <c r="H119" s="126"/>
      <c r="I119" s="126"/>
      <c r="J119" s="126"/>
      <c r="K119" s="126"/>
      <c r="L119" s="126"/>
      <c r="M119" s="128"/>
      <c r="N119" s="128"/>
      <c r="O119" s="128"/>
      <c r="P119" s="128"/>
      <c r="Q119" s="128"/>
      <c r="R119" s="128"/>
      <c r="S119" s="128"/>
      <c r="U119" s="123"/>
      <c r="V119" s="123"/>
      <c r="W119" s="123"/>
    </row>
    <row r="120" spans="1:23">
      <c r="A120" s="142"/>
      <c r="B120" s="142"/>
      <c r="C120" s="127"/>
      <c r="D120" s="292" t="s">
        <v>555</v>
      </c>
      <c r="E120" s="127"/>
      <c r="F120" s="127"/>
      <c r="G120" s="132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U120" s="123"/>
      <c r="V120" s="123"/>
      <c r="W120" s="123"/>
    </row>
    <row r="121" spans="1:23">
      <c r="A121" s="142">
        <v>28502</v>
      </c>
      <c r="B121" s="142"/>
      <c r="C121" s="141">
        <v>1</v>
      </c>
      <c r="D121" s="256" t="s">
        <v>331</v>
      </c>
      <c r="E121" s="143">
        <v>2004</v>
      </c>
      <c r="F121" s="141">
        <v>1</v>
      </c>
      <c r="G121" s="144">
        <v>0</v>
      </c>
      <c r="H121" s="141" t="s">
        <v>51</v>
      </c>
      <c r="I121" s="141">
        <v>5</v>
      </c>
      <c r="J121" s="143">
        <f>E121+I121</f>
        <v>2009</v>
      </c>
      <c r="K121" s="223">
        <f>+J121+(F121/12)</f>
        <v>2009.0833333333333</v>
      </c>
      <c r="L121" s="170">
        <v>0</v>
      </c>
      <c r="M121" s="136">
        <f>L121-L121*G121</f>
        <v>0</v>
      </c>
      <c r="N121" s="136">
        <f>M121/I121/12</f>
        <v>0</v>
      </c>
      <c r="O121" s="136">
        <f>N121*12</f>
        <v>0</v>
      </c>
      <c r="P121" s="136">
        <f>+IF(K121&lt;=$M$5,0,IF(J121&gt;$M$4,O121,(N121*F121)))</f>
        <v>0</v>
      </c>
      <c r="Q121" s="136">
        <f>+IF(P121=0,L121,IF($M$3-E121&lt;1,0,(($M$3-E121)*O121)))</f>
        <v>0</v>
      </c>
      <c r="R121" s="136">
        <f>+IF(P121=0,Q121,Q121+P121)</f>
        <v>0</v>
      </c>
      <c r="S121" s="136">
        <f>+L121-R121</f>
        <v>0</v>
      </c>
    </row>
    <row r="122" spans="1:23">
      <c r="A122" s="142"/>
      <c r="B122" s="142"/>
      <c r="C122" s="255"/>
      <c r="D122" s="229"/>
      <c r="E122" s="141"/>
      <c r="F122" s="141"/>
      <c r="G122" s="144"/>
      <c r="I122" s="141"/>
      <c r="J122" s="141"/>
      <c r="K122" s="141"/>
      <c r="N122" s="229"/>
      <c r="O122" s="229"/>
      <c r="P122" s="229"/>
      <c r="Q122" s="229"/>
      <c r="R122" s="229"/>
      <c r="S122" s="229"/>
      <c r="T122" s="123"/>
      <c r="U122" s="123"/>
      <c r="V122" s="123"/>
      <c r="W122" s="123"/>
    </row>
    <row r="123" spans="1:23">
      <c r="A123" s="142"/>
      <c r="B123" s="142"/>
      <c r="D123" s="229"/>
      <c r="E123" s="141"/>
      <c r="F123" s="141"/>
      <c r="G123" s="144"/>
      <c r="I123" s="141"/>
      <c r="J123" s="141"/>
      <c r="K123" s="141"/>
      <c r="M123" s="229"/>
      <c r="T123" s="123"/>
      <c r="U123" s="123"/>
    </row>
    <row r="124" spans="1:23">
      <c r="A124" s="142"/>
      <c r="B124" s="142"/>
      <c r="C124" s="255"/>
      <c r="D124" s="229"/>
      <c r="E124" s="141"/>
      <c r="F124" s="141"/>
      <c r="G124" s="144"/>
      <c r="H124" s="141"/>
      <c r="I124" s="141"/>
      <c r="J124" s="141"/>
      <c r="K124" s="141"/>
      <c r="L124" s="229"/>
      <c r="M124" s="123"/>
      <c r="N124" s="123"/>
      <c r="O124" s="123"/>
      <c r="P124" s="123"/>
      <c r="Q124" s="123"/>
      <c r="R124" s="123"/>
      <c r="S124" s="123"/>
    </row>
    <row r="125" spans="1:23">
      <c r="A125" s="142"/>
      <c r="B125" s="142"/>
      <c r="C125" s="255"/>
      <c r="D125" s="229"/>
      <c r="E125" s="141"/>
      <c r="F125" s="141"/>
      <c r="G125" s="144"/>
      <c r="H125" s="141"/>
      <c r="I125" s="141"/>
      <c r="J125" s="141"/>
      <c r="K125" s="141"/>
      <c r="L125" s="229"/>
      <c r="M125" s="123"/>
      <c r="N125" s="123"/>
      <c r="O125" s="123"/>
      <c r="P125" s="123"/>
      <c r="Q125" s="123"/>
      <c r="R125" s="123"/>
      <c r="S125" s="123"/>
    </row>
    <row r="126" spans="1:23">
      <c r="A126" s="142"/>
      <c r="B126" s="142"/>
      <c r="D126" s="142"/>
      <c r="E126" s="143"/>
      <c r="F126" s="143"/>
      <c r="G126" s="144"/>
      <c r="H126" s="141"/>
      <c r="I126" s="141"/>
      <c r="J126" s="141"/>
      <c r="K126" s="141"/>
      <c r="L126" s="123"/>
      <c r="M126" s="123"/>
      <c r="N126" s="123"/>
      <c r="O126" s="123"/>
      <c r="P126" s="123"/>
      <c r="Q126" s="123"/>
      <c r="R126" s="123"/>
      <c r="S126" s="123"/>
    </row>
    <row r="127" spans="1:23">
      <c r="A127" s="142"/>
      <c r="B127" s="142"/>
      <c r="D127" s="142"/>
      <c r="E127" s="143"/>
      <c r="F127" s="143"/>
      <c r="G127" s="144"/>
      <c r="H127" s="141"/>
      <c r="I127" s="141"/>
      <c r="J127" s="141"/>
      <c r="K127" s="141"/>
      <c r="L127" s="123"/>
      <c r="M127" s="123"/>
      <c r="N127" s="123"/>
      <c r="O127" s="123"/>
      <c r="P127" s="123"/>
      <c r="Q127" s="123"/>
      <c r="R127" s="123"/>
      <c r="S127" s="123"/>
    </row>
    <row r="128" spans="1:23">
      <c r="A128" s="142"/>
      <c r="B128" s="142"/>
      <c r="D128" s="142"/>
      <c r="E128" s="143"/>
      <c r="F128" s="143"/>
      <c r="G128" s="144"/>
      <c r="H128" s="141"/>
      <c r="I128" s="141"/>
      <c r="J128" s="141"/>
      <c r="K128" s="141"/>
      <c r="L128" s="123"/>
      <c r="M128" s="123"/>
      <c r="N128" s="123"/>
      <c r="O128" s="123"/>
      <c r="P128" s="123"/>
      <c r="Q128" s="123"/>
      <c r="R128" s="123"/>
      <c r="S128" s="123"/>
    </row>
    <row r="129" spans="1:19">
      <c r="A129" s="142"/>
      <c r="B129" s="142"/>
      <c r="D129" s="142"/>
      <c r="L129" s="123"/>
    </row>
    <row r="130" spans="1:19">
      <c r="A130" s="142"/>
      <c r="B130" s="142"/>
      <c r="C130" s="255"/>
      <c r="D130" s="220"/>
      <c r="L130" s="168"/>
      <c r="M130" s="168"/>
      <c r="N130" s="168"/>
      <c r="O130" s="168"/>
      <c r="P130" s="168"/>
      <c r="Q130" s="168"/>
      <c r="R130" s="168"/>
      <c r="S130" s="168"/>
    </row>
    <row r="131" spans="1:19">
      <c r="A131" s="142"/>
      <c r="B131" s="142"/>
    </row>
    <row r="132" spans="1:19">
      <c r="A132" s="142"/>
      <c r="B132" s="142"/>
      <c r="C132" s="255"/>
      <c r="D132" s="123"/>
      <c r="E132" s="123"/>
      <c r="F132" s="123"/>
      <c r="G132" s="123"/>
      <c r="H132" s="123"/>
      <c r="I132" s="123"/>
      <c r="J132" s="141"/>
      <c r="K132" s="141"/>
    </row>
    <row r="133" spans="1:19">
      <c r="A133" s="142"/>
      <c r="B133" s="142"/>
      <c r="C133" s="127"/>
      <c r="D133" s="131"/>
      <c r="E133" s="127"/>
      <c r="F133" s="127"/>
      <c r="G133" s="132"/>
      <c r="H133" s="127"/>
      <c r="I133" s="127"/>
      <c r="J133" s="127"/>
      <c r="K133" s="127"/>
      <c r="L133" s="127"/>
      <c r="M133" s="131"/>
      <c r="N133" s="131"/>
      <c r="O133" s="131"/>
      <c r="P133" s="131"/>
      <c r="Q133" s="131"/>
      <c r="R133" s="131"/>
      <c r="S133" s="131"/>
    </row>
    <row r="134" spans="1:19">
      <c r="A134" s="142"/>
      <c r="B134" s="142"/>
      <c r="C134" s="127"/>
      <c r="D134" s="131"/>
      <c r="E134" s="127"/>
      <c r="F134" s="127"/>
      <c r="G134" s="132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</row>
    <row r="135" spans="1:19">
      <c r="A135" s="142"/>
      <c r="B135" s="142"/>
      <c r="C135" s="133"/>
      <c r="D135" s="134"/>
      <c r="E135" s="133"/>
      <c r="F135" s="133"/>
      <c r="G135" s="135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</row>
    <row r="136" spans="1:19">
      <c r="A136" s="142"/>
      <c r="B136" s="142"/>
      <c r="C136" s="255"/>
      <c r="D136" s="229"/>
      <c r="E136" s="270"/>
      <c r="F136" s="141"/>
      <c r="G136" s="144"/>
      <c r="H136" s="141"/>
      <c r="I136" s="255"/>
      <c r="J136" s="141"/>
      <c r="K136" s="141"/>
      <c r="L136" s="229"/>
      <c r="M136" s="123"/>
      <c r="N136" s="123"/>
      <c r="O136" s="123"/>
      <c r="P136" s="123"/>
      <c r="Q136" s="123"/>
      <c r="R136" s="123"/>
      <c r="S136" s="123"/>
    </row>
    <row r="137" spans="1:19">
      <c r="A137" s="142"/>
      <c r="B137" s="142"/>
      <c r="C137" s="255"/>
      <c r="D137" s="229"/>
      <c r="E137" s="270"/>
      <c r="F137" s="141"/>
      <c r="G137" s="144"/>
      <c r="H137" s="141"/>
      <c r="I137" s="141"/>
      <c r="J137" s="141"/>
      <c r="K137" s="141"/>
      <c r="L137" s="229"/>
      <c r="M137" s="123"/>
      <c r="N137" s="123"/>
      <c r="O137" s="123"/>
      <c r="P137" s="123"/>
      <c r="Q137" s="123"/>
      <c r="R137" s="123"/>
      <c r="S137" s="123"/>
    </row>
    <row r="138" spans="1:19">
      <c r="A138" s="142"/>
      <c r="B138" s="142"/>
      <c r="C138" s="255"/>
      <c r="D138" s="229"/>
      <c r="E138" s="270"/>
      <c r="F138" s="141"/>
      <c r="G138" s="144"/>
      <c r="H138" s="141"/>
      <c r="I138" s="141"/>
      <c r="J138" s="141"/>
      <c r="K138" s="141"/>
      <c r="L138" s="229"/>
      <c r="M138" s="123"/>
      <c r="N138" s="123"/>
      <c r="O138" s="123"/>
      <c r="P138" s="123"/>
      <c r="Q138" s="123"/>
      <c r="R138" s="123"/>
      <c r="S138" s="123"/>
    </row>
    <row r="139" spans="1:19">
      <c r="A139" s="142"/>
      <c r="B139" s="142"/>
      <c r="C139" s="255"/>
      <c r="D139" s="229"/>
      <c r="E139" s="270"/>
      <c r="F139" s="141"/>
      <c r="G139" s="144"/>
      <c r="H139" s="141"/>
      <c r="I139" s="141"/>
      <c r="J139" s="141"/>
      <c r="K139" s="141"/>
      <c r="L139" s="229"/>
      <c r="M139" s="123"/>
      <c r="N139" s="123"/>
      <c r="O139" s="123"/>
      <c r="P139" s="123"/>
      <c r="Q139" s="123"/>
      <c r="R139" s="123"/>
      <c r="S139" s="123"/>
    </row>
    <row r="140" spans="1:19">
      <c r="A140" s="142"/>
      <c r="B140" s="142"/>
      <c r="C140" s="255"/>
      <c r="D140" s="229"/>
      <c r="E140" s="270"/>
      <c r="F140" s="141"/>
      <c r="G140" s="144"/>
      <c r="H140" s="141"/>
      <c r="I140" s="141"/>
      <c r="J140" s="141"/>
      <c r="K140" s="141"/>
      <c r="L140" s="229"/>
      <c r="M140" s="123"/>
      <c r="N140" s="123"/>
      <c r="O140" s="123"/>
      <c r="P140" s="123"/>
      <c r="Q140" s="123"/>
      <c r="R140" s="123"/>
      <c r="S140" s="123"/>
    </row>
    <row r="141" spans="1:19">
      <c r="A141" s="142"/>
      <c r="B141" s="142"/>
      <c r="C141" s="255"/>
      <c r="D141" s="229"/>
      <c r="E141" s="270"/>
      <c r="F141" s="141"/>
      <c r="G141" s="144"/>
      <c r="H141" s="141"/>
      <c r="I141" s="141"/>
      <c r="J141" s="141"/>
      <c r="K141" s="141"/>
      <c r="L141" s="229"/>
      <c r="M141" s="123"/>
      <c r="N141" s="123"/>
      <c r="O141" s="123"/>
      <c r="P141" s="123"/>
      <c r="Q141" s="123"/>
      <c r="R141" s="123"/>
      <c r="S141" s="123"/>
    </row>
    <row r="142" spans="1:19">
      <c r="A142" s="142"/>
      <c r="B142" s="142"/>
      <c r="C142" s="255"/>
      <c r="D142" s="229"/>
      <c r="E142" s="270"/>
      <c r="F142" s="141"/>
      <c r="G142" s="144"/>
      <c r="H142" s="141"/>
      <c r="I142" s="141"/>
      <c r="J142" s="141"/>
      <c r="K142" s="141"/>
      <c r="L142" s="229"/>
      <c r="M142" s="123"/>
      <c r="N142" s="123"/>
      <c r="O142" s="123"/>
      <c r="P142" s="123"/>
      <c r="Q142" s="123"/>
      <c r="R142" s="123"/>
      <c r="S142" s="123"/>
    </row>
    <row r="143" spans="1:19">
      <c r="A143" s="142"/>
      <c r="B143" s="142"/>
      <c r="C143" s="255"/>
      <c r="D143" s="229"/>
      <c r="E143" s="270"/>
      <c r="F143" s="141"/>
      <c r="G143" s="144"/>
      <c r="H143" s="141"/>
      <c r="I143" s="141"/>
      <c r="J143" s="141"/>
      <c r="K143" s="141"/>
      <c r="L143" s="229"/>
      <c r="M143" s="123"/>
      <c r="N143" s="123"/>
      <c r="O143" s="123"/>
      <c r="P143" s="123"/>
      <c r="Q143" s="123"/>
      <c r="R143" s="123"/>
      <c r="S143" s="123"/>
    </row>
    <row r="144" spans="1:19">
      <c r="A144" s="142"/>
      <c r="B144" s="142"/>
      <c r="C144" s="255"/>
      <c r="D144" s="229"/>
      <c r="E144" s="270"/>
      <c r="F144" s="141"/>
      <c r="G144" s="144"/>
      <c r="H144" s="141"/>
      <c r="I144" s="141"/>
      <c r="J144" s="141"/>
      <c r="K144" s="141"/>
      <c r="L144" s="229"/>
      <c r="M144" s="123"/>
      <c r="N144" s="123"/>
      <c r="O144" s="123"/>
      <c r="P144" s="123"/>
      <c r="Q144" s="123"/>
      <c r="R144" s="123"/>
      <c r="S144" s="123"/>
    </row>
    <row r="145" spans="1:19">
      <c r="A145" s="142"/>
      <c r="B145" s="142"/>
      <c r="C145" s="255"/>
      <c r="D145" s="229"/>
      <c r="E145" s="270"/>
      <c r="F145" s="141"/>
      <c r="G145" s="144"/>
      <c r="H145" s="141"/>
      <c r="I145" s="141"/>
      <c r="J145" s="141"/>
      <c r="K145" s="141"/>
      <c r="L145" s="229"/>
      <c r="M145" s="123"/>
      <c r="N145" s="123"/>
      <c r="O145" s="123"/>
      <c r="P145" s="123"/>
      <c r="Q145" s="123"/>
      <c r="R145" s="123"/>
      <c r="S145" s="123"/>
    </row>
    <row r="146" spans="1:19">
      <c r="A146" s="142"/>
      <c r="B146" s="142"/>
      <c r="C146" s="255"/>
      <c r="D146" s="229"/>
      <c r="E146" s="270"/>
      <c r="F146" s="141"/>
      <c r="G146" s="144"/>
      <c r="H146" s="141"/>
      <c r="I146" s="141"/>
      <c r="J146" s="141"/>
      <c r="K146" s="141"/>
      <c r="L146" s="229"/>
      <c r="M146" s="123"/>
      <c r="N146" s="123"/>
      <c r="O146" s="123"/>
      <c r="P146" s="123"/>
      <c r="Q146" s="123"/>
      <c r="R146" s="123"/>
      <c r="S146" s="123"/>
    </row>
    <row r="147" spans="1:19">
      <c r="A147" s="142"/>
      <c r="B147" s="142"/>
      <c r="C147" s="255"/>
      <c r="D147" s="229"/>
      <c r="E147" s="270"/>
      <c r="F147" s="141"/>
      <c r="G147" s="144"/>
      <c r="H147" s="141"/>
      <c r="I147" s="141"/>
      <c r="J147" s="141"/>
      <c r="K147" s="141"/>
      <c r="L147" s="229"/>
      <c r="M147" s="123"/>
      <c r="N147" s="123"/>
      <c r="O147" s="123"/>
      <c r="P147" s="123"/>
      <c r="Q147" s="123"/>
      <c r="R147" s="123"/>
      <c r="S147" s="123"/>
    </row>
    <row r="148" spans="1:19">
      <c r="A148" s="142"/>
      <c r="B148" s="142"/>
      <c r="C148" s="255"/>
      <c r="D148" s="229"/>
      <c r="E148" s="270"/>
      <c r="F148" s="141"/>
      <c r="G148" s="144"/>
      <c r="H148" s="141"/>
      <c r="I148" s="141"/>
      <c r="J148" s="141"/>
      <c r="K148" s="141"/>
      <c r="L148" s="229"/>
      <c r="M148" s="123"/>
      <c r="N148" s="123"/>
      <c r="O148" s="123"/>
      <c r="P148" s="123"/>
      <c r="Q148" s="123"/>
      <c r="R148" s="123"/>
      <c r="S148" s="123"/>
    </row>
    <row r="149" spans="1:19">
      <c r="A149" s="142"/>
      <c r="B149" s="142"/>
      <c r="C149" s="255"/>
      <c r="D149" s="229"/>
      <c r="E149" s="270"/>
      <c r="F149" s="141"/>
      <c r="G149" s="144"/>
      <c r="H149" s="141"/>
      <c r="I149" s="141"/>
      <c r="J149" s="141"/>
      <c r="K149" s="141"/>
      <c r="L149" s="229"/>
      <c r="M149" s="123"/>
      <c r="N149" s="123"/>
      <c r="O149" s="123"/>
      <c r="P149" s="123"/>
      <c r="Q149" s="123"/>
      <c r="R149" s="123"/>
      <c r="S149" s="123"/>
    </row>
    <row r="150" spans="1:19">
      <c r="A150" s="142"/>
      <c r="B150" s="142"/>
      <c r="C150" s="255"/>
      <c r="D150" s="229"/>
      <c r="E150" s="270"/>
      <c r="F150" s="141"/>
      <c r="G150" s="144"/>
      <c r="H150" s="141"/>
      <c r="I150" s="141"/>
      <c r="J150" s="141"/>
      <c r="K150" s="141"/>
      <c r="L150" s="229"/>
      <c r="M150" s="123"/>
      <c r="N150" s="123"/>
      <c r="O150" s="123"/>
      <c r="P150" s="123"/>
      <c r="Q150" s="123"/>
      <c r="R150" s="123"/>
      <c r="S150" s="123"/>
    </row>
    <row r="151" spans="1:19">
      <c r="A151" s="142"/>
      <c r="B151" s="142"/>
      <c r="C151" s="255"/>
      <c r="D151" s="229"/>
      <c r="E151" s="270"/>
      <c r="F151" s="141"/>
      <c r="G151" s="144"/>
      <c r="H151" s="141"/>
      <c r="I151" s="141"/>
      <c r="J151" s="141"/>
      <c r="K151" s="141"/>
      <c r="L151" s="229"/>
      <c r="M151" s="123"/>
      <c r="N151" s="123"/>
      <c r="O151" s="123"/>
      <c r="P151" s="123"/>
      <c r="Q151" s="123"/>
      <c r="R151" s="123"/>
      <c r="S151" s="123"/>
    </row>
    <row r="152" spans="1:19">
      <c r="A152" s="142"/>
      <c r="B152" s="142"/>
      <c r="C152" s="255"/>
      <c r="D152" s="229"/>
      <c r="E152" s="270"/>
      <c r="F152" s="141"/>
      <c r="G152" s="144"/>
      <c r="H152" s="141"/>
      <c r="I152" s="141"/>
      <c r="J152" s="141"/>
      <c r="K152" s="141"/>
      <c r="L152" s="229"/>
      <c r="M152" s="123"/>
      <c r="N152" s="123"/>
      <c r="O152" s="123"/>
      <c r="P152" s="123"/>
      <c r="Q152" s="123"/>
      <c r="R152" s="123"/>
      <c r="S152" s="123"/>
    </row>
    <row r="153" spans="1:19">
      <c r="A153" s="142"/>
      <c r="B153" s="142"/>
      <c r="C153" s="255"/>
      <c r="D153" s="229"/>
      <c r="E153" s="270"/>
      <c r="F153" s="141"/>
      <c r="G153" s="144"/>
      <c r="H153" s="141"/>
      <c r="I153" s="141"/>
      <c r="J153" s="141"/>
      <c r="K153" s="141"/>
      <c r="L153" s="229"/>
      <c r="M153" s="123"/>
      <c r="N153" s="123"/>
      <c r="O153" s="123"/>
      <c r="P153" s="123"/>
      <c r="Q153" s="123"/>
      <c r="R153" s="123"/>
      <c r="S153" s="123"/>
    </row>
    <row r="154" spans="1:19">
      <c r="A154" s="142"/>
      <c r="B154" s="142"/>
      <c r="C154" s="255"/>
      <c r="D154" s="229"/>
      <c r="E154" s="270"/>
      <c r="F154" s="141"/>
      <c r="G154" s="144"/>
      <c r="H154" s="141"/>
      <c r="I154" s="141"/>
      <c r="J154" s="141"/>
      <c r="K154" s="141"/>
      <c r="L154" s="229"/>
      <c r="M154" s="123"/>
      <c r="N154" s="123"/>
      <c r="O154" s="123"/>
      <c r="P154" s="123"/>
      <c r="Q154" s="123"/>
      <c r="R154" s="123"/>
      <c r="S154" s="123"/>
    </row>
    <row r="155" spans="1:19">
      <c r="A155" s="142"/>
      <c r="B155" s="142"/>
      <c r="C155" s="255"/>
      <c r="D155" s="229"/>
      <c r="E155" s="270"/>
      <c r="F155" s="141"/>
      <c r="G155" s="144"/>
      <c r="H155" s="141"/>
      <c r="I155" s="141"/>
      <c r="J155" s="141"/>
      <c r="K155" s="141"/>
      <c r="L155" s="229"/>
      <c r="M155" s="123"/>
      <c r="N155" s="123"/>
      <c r="O155" s="123"/>
      <c r="P155" s="123"/>
      <c r="Q155" s="123"/>
      <c r="R155" s="123"/>
      <c r="S155" s="123"/>
    </row>
    <row r="156" spans="1:19">
      <c r="A156" s="142"/>
      <c r="B156" s="142"/>
      <c r="C156" s="255"/>
      <c r="D156" s="229"/>
      <c r="E156" s="270"/>
      <c r="F156" s="141"/>
      <c r="G156" s="144"/>
      <c r="H156" s="141"/>
      <c r="I156" s="141"/>
      <c r="J156" s="141"/>
      <c r="K156" s="141"/>
      <c r="L156" s="229"/>
      <c r="M156" s="123"/>
      <c r="N156" s="123"/>
      <c r="O156" s="123"/>
      <c r="P156" s="123"/>
      <c r="Q156" s="123"/>
      <c r="R156" s="123"/>
      <c r="S156" s="123"/>
    </row>
    <row r="157" spans="1:19">
      <c r="A157" s="142"/>
      <c r="B157" s="142"/>
      <c r="C157" s="255"/>
      <c r="D157" s="229"/>
      <c r="E157" s="270"/>
      <c r="F157" s="141"/>
      <c r="G157" s="144"/>
      <c r="H157" s="141"/>
      <c r="I157" s="141"/>
      <c r="J157" s="141"/>
      <c r="K157" s="141"/>
      <c r="L157" s="229"/>
      <c r="M157" s="123"/>
      <c r="N157" s="123"/>
      <c r="O157" s="123"/>
      <c r="P157" s="123"/>
      <c r="Q157" s="123"/>
      <c r="R157" s="123"/>
      <c r="S157" s="123"/>
    </row>
    <row r="158" spans="1:19">
      <c r="A158" s="142"/>
      <c r="B158" s="142"/>
      <c r="C158" s="255"/>
      <c r="D158" s="229"/>
      <c r="E158" s="270"/>
      <c r="F158" s="141"/>
      <c r="G158" s="144"/>
      <c r="H158" s="141"/>
      <c r="I158" s="141"/>
      <c r="J158" s="141"/>
      <c r="K158" s="141"/>
      <c r="L158" s="229"/>
      <c r="M158" s="123"/>
      <c r="N158" s="123"/>
      <c r="O158" s="123"/>
      <c r="P158" s="123"/>
      <c r="Q158" s="123"/>
      <c r="R158" s="123"/>
      <c r="S158" s="123"/>
    </row>
    <row r="159" spans="1:19">
      <c r="A159" s="142"/>
      <c r="B159" s="142"/>
      <c r="C159" s="255"/>
      <c r="D159" s="229"/>
      <c r="E159" s="270"/>
      <c r="F159" s="141"/>
      <c r="G159" s="144"/>
      <c r="H159" s="141"/>
      <c r="I159" s="141"/>
      <c r="J159" s="141"/>
      <c r="K159" s="141"/>
      <c r="L159" s="229"/>
      <c r="M159" s="123"/>
      <c r="N159" s="123"/>
      <c r="O159" s="123"/>
      <c r="P159" s="123"/>
      <c r="Q159" s="123"/>
      <c r="R159" s="123"/>
      <c r="S159" s="123"/>
    </row>
    <row r="160" spans="1:19">
      <c r="A160" s="142"/>
      <c r="B160" s="142"/>
      <c r="C160" s="255"/>
      <c r="D160" s="229"/>
      <c r="E160" s="270"/>
      <c r="F160" s="141"/>
      <c r="G160" s="144"/>
      <c r="H160" s="141"/>
      <c r="I160" s="141"/>
      <c r="J160" s="141"/>
      <c r="K160" s="141"/>
      <c r="L160" s="229"/>
      <c r="M160" s="123"/>
      <c r="N160" s="123"/>
      <c r="O160" s="123"/>
      <c r="P160" s="123"/>
      <c r="Q160" s="123"/>
      <c r="R160" s="123"/>
      <c r="S160" s="123"/>
    </row>
    <row r="161" spans="1:19">
      <c r="A161" s="142"/>
      <c r="B161" s="142"/>
      <c r="C161" s="255"/>
      <c r="D161" s="229"/>
      <c r="E161" s="270"/>
      <c r="F161" s="141"/>
      <c r="G161" s="144"/>
      <c r="H161" s="141"/>
      <c r="I161" s="141"/>
      <c r="J161" s="141"/>
      <c r="K161" s="141"/>
      <c r="L161" s="229"/>
      <c r="M161" s="123"/>
      <c r="N161" s="123"/>
      <c r="O161" s="123"/>
      <c r="P161" s="123"/>
      <c r="Q161" s="123"/>
      <c r="R161" s="123"/>
      <c r="S161" s="123"/>
    </row>
    <row r="162" spans="1:19">
      <c r="A162" s="142"/>
      <c r="B162" s="142"/>
      <c r="C162" s="255"/>
      <c r="D162" s="229"/>
      <c r="E162" s="270"/>
      <c r="F162" s="141"/>
      <c r="G162" s="144"/>
      <c r="H162" s="141"/>
      <c r="I162" s="141"/>
      <c r="J162" s="141"/>
      <c r="K162" s="141"/>
      <c r="L162" s="229"/>
      <c r="M162" s="123"/>
      <c r="N162" s="123"/>
      <c r="O162" s="123"/>
      <c r="P162" s="123"/>
      <c r="Q162" s="123"/>
      <c r="R162" s="123"/>
      <c r="S162" s="123"/>
    </row>
    <row r="163" spans="1:19">
      <c r="A163" s="142"/>
      <c r="B163" s="142"/>
      <c r="C163" s="255"/>
      <c r="D163" s="229"/>
      <c r="E163" s="270"/>
      <c r="F163" s="141"/>
      <c r="G163" s="144"/>
      <c r="H163" s="141"/>
      <c r="I163" s="141"/>
      <c r="J163" s="141"/>
      <c r="K163" s="141"/>
      <c r="L163" s="229"/>
      <c r="M163" s="123"/>
      <c r="N163" s="123"/>
      <c r="O163" s="123"/>
      <c r="P163" s="123"/>
      <c r="Q163" s="123"/>
      <c r="R163" s="123"/>
      <c r="S163" s="123"/>
    </row>
    <row r="164" spans="1:19">
      <c r="A164" s="142"/>
      <c r="B164" s="142"/>
      <c r="C164" s="255"/>
      <c r="D164" s="229"/>
      <c r="E164" s="270"/>
      <c r="F164" s="141"/>
      <c r="G164" s="144"/>
      <c r="H164" s="141"/>
      <c r="I164" s="141"/>
      <c r="J164" s="141"/>
      <c r="K164" s="141"/>
      <c r="L164" s="229"/>
      <c r="M164" s="123"/>
      <c r="N164" s="123"/>
      <c r="O164" s="123"/>
      <c r="P164" s="123"/>
      <c r="Q164" s="123"/>
      <c r="R164" s="123"/>
      <c r="S164" s="123"/>
    </row>
    <row r="165" spans="1:19">
      <c r="A165" s="142"/>
      <c r="B165" s="142"/>
      <c r="C165" s="255"/>
      <c r="D165" s="229"/>
      <c r="E165" s="270"/>
      <c r="F165" s="141"/>
      <c r="G165" s="144"/>
      <c r="H165" s="141"/>
      <c r="I165" s="141"/>
      <c r="J165" s="141"/>
      <c r="K165" s="141"/>
      <c r="L165" s="229"/>
      <c r="M165" s="123"/>
      <c r="N165" s="123"/>
      <c r="O165" s="123"/>
      <c r="P165" s="123"/>
      <c r="Q165" s="123"/>
      <c r="R165" s="123"/>
      <c r="S165" s="123"/>
    </row>
    <row r="166" spans="1:19">
      <c r="A166" s="142"/>
      <c r="B166" s="142"/>
      <c r="C166" s="255"/>
      <c r="D166" s="229"/>
      <c r="E166" s="270"/>
      <c r="F166" s="141"/>
      <c r="G166" s="144"/>
      <c r="H166" s="141"/>
      <c r="I166" s="141"/>
      <c r="J166" s="141"/>
      <c r="K166" s="141"/>
      <c r="L166" s="229"/>
      <c r="M166" s="123"/>
      <c r="N166" s="123"/>
      <c r="O166" s="123"/>
      <c r="P166" s="123"/>
      <c r="Q166" s="123"/>
      <c r="R166" s="123"/>
      <c r="S166" s="123"/>
    </row>
    <row r="167" spans="1:19">
      <c r="A167" s="142"/>
      <c r="B167" s="142"/>
      <c r="C167" s="255"/>
      <c r="D167" s="229"/>
      <c r="E167" s="270"/>
      <c r="F167" s="141"/>
      <c r="G167" s="144"/>
      <c r="H167" s="141"/>
      <c r="I167" s="141"/>
      <c r="J167" s="141"/>
      <c r="K167" s="141"/>
      <c r="L167" s="229"/>
      <c r="M167" s="123"/>
      <c r="N167" s="123"/>
      <c r="O167" s="123"/>
      <c r="P167" s="123"/>
      <c r="Q167" s="123"/>
      <c r="R167" s="123"/>
      <c r="S167" s="123"/>
    </row>
    <row r="168" spans="1:19">
      <c r="A168" s="142"/>
      <c r="B168" s="142"/>
      <c r="C168" s="255"/>
      <c r="D168" s="229"/>
      <c r="E168" s="270"/>
      <c r="F168" s="141"/>
      <c r="G168" s="144"/>
      <c r="H168" s="141"/>
      <c r="I168" s="141"/>
      <c r="J168" s="141"/>
      <c r="K168" s="141"/>
      <c r="L168" s="229"/>
      <c r="M168" s="123"/>
      <c r="N168" s="123"/>
      <c r="O168" s="123"/>
      <c r="P168" s="123"/>
      <c r="Q168" s="123"/>
      <c r="R168" s="123"/>
      <c r="S168" s="123"/>
    </row>
    <row r="169" spans="1:19">
      <c r="A169" s="142"/>
      <c r="B169" s="142"/>
      <c r="C169" s="255"/>
      <c r="D169" s="229"/>
      <c r="E169" s="270"/>
      <c r="F169" s="141"/>
      <c r="G169" s="144"/>
      <c r="H169" s="141"/>
      <c r="I169" s="141"/>
      <c r="J169" s="141"/>
      <c r="K169" s="141"/>
      <c r="L169" s="229"/>
      <c r="M169" s="123"/>
      <c r="N169" s="123"/>
      <c r="O169" s="123"/>
      <c r="P169" s="123"/>
      <c r="Q169" s="123"/>
      <c r="R169" s="123"/>
      <c r="S169" s="123"/>
    </row>
    <row r="170" spans="1:19">
      <c r="A170" s="142"/>
      <c r="B170" s="142"/>
      <c r="C170" s="255"/>
      <c r="D170" s="229"/>
      <c r="E170" s="270"/>
      <c r="F170" s="141"/>
      <c r="G170" s="144"/>
      <c r="H170" s="141"/>
      <c r="I170" s="141"/>
      <c r="J170" s="141"/>
      <c r="K170" s="141"/>
      <c r="L170" s="229"/>
      <c r="M170" s="123"/>
      <c r="N170" s="123"/>
      <c r="O170" s="123"/>
      <c r="P170" s="123"/>
      <c r="Q170" s="123"/>
      <c r="R170" s="123"/>
      <c r="S170" s="123"/>
    </row>
    <row r="171" spans="1:19">
      <c r="A171" s="142"/>
      <c r="B171" s="142"/>
      <c r="C171" s="255"/>
      <c r="D171" s="229"/>
      <c r="E171" s="270"/>
      <c r="F171" s="141"/>
      <c r="G171" s="144"/>
      <c r="H171" s="141"/>
      <c r="I171" s="141"/>
      <c r="J171" s="141"/>
      <c r="K171" s="141"/>
      <c r="L171" s="229"/>
      <c r="M171" s="123"/>
      <c r="N171" s="123"/>
      <c r="O171" s="123"/>
      <c r="P171" s="123"/>
      <c r="Q171" s="123"/>
      <c r="R171" s="123"/>
      <c r="S171" s="123"/>
    </row>
    <row r="172" spans="1:19">
      <c r="A172" s="142"/>
      <c r="B172" s="142"/>
      <c r="C172" s="255"/>
      <c r="D172" s="229"/>
      <c r="E172" s="270"/>
      <c r="F172" s="141"/>
      <c r="G172" s="144"/>
      <c r="H172" s="141"/>
      <c r="I172" s="141"/>
      <c r="J172" s="141"/>
      <c r="K172" s="141"/>
      <c r="L172" s="229"/>
      <c r="M172" s="123"/>
      <c r="N172" s="123"/>
      <c r="O172" s="123"/>
      <c r="P172" s="123"/>
      <c r="Q172" s="123"/>
      <c r="R172" s="123"/>
      <c r="S172" s="123"/>
    </row>
    <row r="173" spans="1:19">
      <c r="A173" s="142"/>
      <c r="B173" s="142"/>
      <c r="C173" s="255"/>
      <c r="D173" s="229"/>
      <c r="E173" s="270"/>
      <c r="F173" s="141"/>
      <c r="G173" s="144"/>
      <c r="H173" s="141"/>
      <c r="I173" s="141"/>
      <c r="J173" s="141"/>
      <c r="K173" s="141"/>
      <c r="L173" s="229"/>
      <c r="M173" s="123"/>
      <c r="N173" s="123"/>
      <c r="O173" s="123"/>
      <c r="P173" s="123"/>
      <c r="Q173" s="123"/>
      <c r="R173" s="123"/>
      <c r="S173" s="123"/>
    </row>
    <row r="174" spans="1:19">
      <c r="A174" s="142"/>
      <c r="B174" s="142"/>
      <c r="C174" s="255"/>
      <c r="D174" s="229"/>
      <c r="E174" s="270"/>
      <c r="F174" s="141"/>
      <c r="G174" s="144"/>
      <c r="H174" s="141"/>
      <c r="I174" s="141"/>
      <c r="J174" s="141"/>
      <c r="K174" s="141"/>
      <c r="L174" s="229"/>
      <c r="M174" s="123"/>
      <c r="N174" s="123"/>
      <c r="O174" s="123"/>
      <c r="P174" s="123"/>
      <c r="Q174" s="123"/>
      <c r="R174" s="123"/>
      <c r="S174" s="123"/>
    </row>
    <row r="175" spans="1:19">
      <c r="A175" s="142"/>
      <c r="B175" s="142"/>
      <c r="C175" s="255"/>
      <c r="D175" s="229"/>
      <c r="E175" s="270"/>
      <c r="F175" s="141"/>
      <c r="G175" s="144"/>
      <c r="H175" s="141"/>
      <c r="I175" s="141"/>
      <c r="J175" s="141"/>
      <c r="K175" s="141"/>
      <c r="L175" s="229"/>
      <c r="M175" s="123"/>
      <c r="N175" s="123"/>
      <c r="O175" s="123"/>
      <c r="P175" s="123"/>
      <c r="Q175" s="123"/>
      <c r="R175" s="123"/>
      <c r="S175" s="123"/>
    </row>
    <row r="176" spans="1:19">
      <c r="A176" s="142"/>
      <c r="B176" s="142"/>
      <c r="C176" s="255"/>
      <c r="D176" s="229"/>
      <c r="E176" s="270"/>
      <c r="F176" s="141"/>
      <c r="G176" s="144"/>
      <c r="H176" s="141"/>
      <c r="I176" s="141"/>
      <c r="J176" s="141"/>
      <c r="K176" s="141"/>
      <c r="L176" s="229"/>
      <c r="M176" s="123"/>
      <c r="N176" s="123"/>
      <c r="O176" s="123"/>
      <c r="P176" s="123"/>
      <c r="Q176" s="123"/>
      <c r="R176" s="123"/>
      <c r="S176" s="123"/>
    </row>
    <row r="177" spans="1:19">
      <c r="A177" s="142"/>
      <c r="B177" s="142"/>
      <c r="C177" s="255"/>
      <c r="D177" s="229"/>
      <c r="E177" s="270"/>
      <c r="F177" s="141"/>
      <c r="G177" s="144"/>
      <c r="H177" s="141"/>
      <c r="I177" s="141"/>
      <c r="J177" s="141"/>
      <c r="K177" s="141"/>
      <c r="L177" s="229"/>
      <c r="M177" s="123"/>
      <c r="N177" s="123"/>
      <c r="O177" s="123"/>
      <c r="P177" s="123"/>
      <c r="Q177" s="123"/>
      <c r="R177" s="123"/>
      <c r="S177" s="123"/>
    </row>
    <row r="178" spans="1:19">
      <c r="A178" s="142"/>
      <c r="B178" s="142"/>
      <c r="C178" s="255"/>
      <c r="D178" s="229"/>
      <c r="E178" s="270"/>
      <c r="F178" s="141"/>
      <c r="G178" s="144"/>
      <c r="H178" s="141"/>
      <c r="I178" s="141"/>
      <c r="J178" s="141"/>
      <c r="K178" s="141"/>
      <c r="L178" s="229"/>
      <c r="M178" s="123"/>
      <c r="N178" s="123"/>
      <c r="O178" s="123"/>
      <c r="P178" s="123"/>
      <c r="Q178" s="123"/>
      <c r="R178" s="123"/>
      <c r="S178" s="123"/>
    </row>
    <row r="179" spans="1:19">
      <c r="A179" s="142"/>
      <c r="B179" s="142"/>
      <c r="C179" s="255"/>
      <c r="D179" s="229"/>
      <c r="E179" s="270"/>
      <c r="F179" s="141"/>
      <c r="G179" s="144"/>
      <c r="H179" s="141"/>
      <c r="I179" s="141"/>
      <c r="J179" s="141"/>
      <c r="K179" s="141"/>
      <c r="L179" s="229"/>
      <c r="M179" s="123"/>
      <c r="N179" s="123"/>
      <c r="O179" s="123"/>
      <c r="P179" s="123"/>
      <c r="Q179" s="123"/>
      <c r="R179" s="123"/>
      <c r="S179" s="123"/>
    </row>
    <row r="180" spans="1:19">
      <c r="A180" s="142"/>
      <c r="B180" s="142"/>
      <c r="C180" s="255"/>
      <c r="D180" s="229"/>
      <c r="E180" s="270"/>
      <c r="F180" s="141"/>
      <c r="G180" s="144"/>
      <c r="H180" s="141"/>
      <c r="I180" s="141"/>
      <c r="J180" s="141"/>
      <c r="K180" s="141"/>
      <c r="L180" s="229"/>
      <c r="M180" s="123"/>
      <c r="N180" s="123"/>
      <c r="O180" s="123"/>
      <c r="P180" s="123"/>
      <c r="Q180" s="123"/>
      <c r="R180" s="123"/>
      <c r="S180" s="123"/>
    </row>
    <row r="181" spans="1:19">
      <c r="A181" s="142"/>
      <c r="B181" s="142"/>
      <c r="C181" s="255"/>
      <c r="D181" s="229"/>
      <c r="E181" s="270"/>
      <c r="F181" s="141"/>
      <c r="G181" s="144"/>
      <c r="H181" s="141"/>
      <c r="I181" s="141"/>
      <c r="L181" s="229"/>
    </row>
    <row r="182" spans="1:19">
      <c r="C182" s="255"/>
      <c r="D182" s="229"/>
      <c r="E182" s="270"/>
      <c r="F182" s="141"/>
      <c r="G182" s="144"/>
      <c r="H182" s="141"/>
      <c r="I182" s="141"/>
      <c r="J182" s="141"/>
      <c r="K182" s="141"/>
      <c r="L182" s="229"/>
      <c r="M182" s="123"/>
      <c r="N182" s="123"/>
      <c r="O182" s="123"/>
      <c r="P182" s="123"/>
      <c r="Q182" s="123"/>
      <c r="R182" s="123"/>
      <c r="S182" s="123"/>
    </row>
    <row r="183" spans="1:19">
      <c r="C183" s="255"/>
      <c r="D183" s="229"/>
      <c r="E183" s="270"/>
      <c r="F183" s="141"/>
      <c r="G183" s="144"/>
      <c r="H183" s="141"/>
      <c r="I183" s="141"/>
      <c r="J183" s="141"/>
      <c r="K183" s="141"/>
      <c r="L183" s="229"/>
      <c r="M183" s="123"/>
      <c r="N183" s="123"/>
      <c r="O183" s="123"/>
      <c r="P183" s="123"/>
      <c r="Q183" s="123"/>
      <c r="R183" s="123"/>
      <c r="S183" s="123"/>
    </row>
    <row r="184" spans="1:19">
      <c r="C184" s="255"/>
      <c r="D184" s="229"/>
      <c r="E184" s="229"/>
    </row>
    <row r="185" spans="1:19" s="165" customFormat="1">
      <c r="C185" s="262"/>
      <c r="D185" s="220"/>
      <c r="E185" s="262"/>
      <c r="L185" s="168"/>
      <c r="M185" s="168"/>
      <c r="N185" s="168"/>
      <c r="O185" s="168"/>
      <c r="P185" s="168"/>
      <c r="Q185" s="168"/>
      <c r="R185" s="168"/>
      <c r="S185" s="168"/>
    </row>
  </sheetData>
  <autoFilter ref="A10:T92" xr:uid="{00000000-0001-0000-0300-000000000000}"/>
  <phoneticPr fontId="0" type="noConversion"/>
  <pageMargins left="0.75" right="0.75" top="1" bottom="1" header="0.5" footer="0.5"/>
  <pageSetup scale="53" orientation="landscape" r:id="rId1"/>
  <headerFooter alignWithMargins="0"/>
  <colBreaks count="1" manualBreakCount="1">
    <brk id="28" max="1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tabSelected="1" workbookViewId="0">
      <selection activeCell="F37" sqref="F37"/>
    </sheetView>
  </sheetViews>
  <sheetFormatPr defaultColWidth="8.88671875" defaultRowHeight="11.25"/>
  <cols>
    <col min="1" max="1" width="8.88671875" style="5"/>
    <col min="2" max="2" width="6.44140625" style="5" customWidth="1"/>
    <col min="3" max="3" width="6.88671875" style="6" customWidth="1"/>
    <col min="4" max="4" width="26.21875" style="5" customWidth="1"/>
    <col min="5" max="5" width="6.6640625" style="5" customWidth="1"/>
    <col min="6" max="6" width="4.44140625" style="5" customWidth="1"/>
    <col min="7" max="7" width="5.88671875" style="5" customWidth="1"/>
    <col min="8" max="8" width="1.77734375" style="5" customWidth="1"/>
    <col min="9" max="9" width="4.77734375" style="5" customWidth="1"/>
    <col min="10" max="10" width="5.77734375" style="5" customWidth="1"/>
    <col min="11" max="11" width="3.88671875" style="5" bestFit="1" customWidth="1"/>
    <col min="12" max="12" width="4.44140625" style="5" bestFit="1" customWidth="1"/>
    <col min="13" max="13" width="3.109375" style="5" bestFit="1" customWidth="1"/>
    <col min="14" max="14" width="7.77734375" style="5" bestFit="1" customWidth="1"/>
    <col min="15" max="15" width="5.21875" style="5" bestFit="1" customWidth="1"/>
    <col min="16" max="16" width="7.77734375" style="5" bestFit="1" customWidth="1"/>
    <col min="17" max="17" width="8.44140625" style="5" customWidth="1"/>
    <col min="18" max="18" width="6.44140625" style="5" bestFit="1" customWidth="1"/>
    <col min="19" max="19" width="5.21875" style="5" bestFit="1" customWidth="1"/>
    <col min="20" max="20" width="6.44140625" style="5" bestFit="1" customWidth="1"/>
    <col min="21" max="21" width="3.44140625" style="5" bestFit="1" customWidth="1"/>
    <col min="22" max="22" width="6.5546875" style="5" bestFit="1" customWidth="1"/>
    <col min="23" max="23" width="2.44140625" style="5" bestFit="1" customWidth="1"/>
    <col min="24" max="25" width="8.44140625" style="5" bestFit="1" customWidth="1"/>
    <col min="26" max="26" width="4.5546875" style="5" bestFit="1" customWidth="1"/>
    <col min="27" max="29" width="7.77734375" style="5" bestFit="1" customWidth="1"/>
    <col min="30" max="30" width="5.44140625" style="5" bestFit="1" customWidth="1"/>
    <col min="31" max="31" width="5.88671875" style="5" bestFit="1" customWidth="1"/>
    <col min="32" max="32" width="7.33203125" style="5" customWidth="1"/>
    <col min="33" max="33" width="5.44140625" style="5" bestFit="1" customWidth="1"/>
    <col min="34" max="34" width="3.5546875" style="5" bestFit="1" customWidth="1"/>
    <col min="35" max="35" width="8.88671875" style="5"/>
    <col min="36" max="36" width="10.33203125" style="98" bestFit="1" customWidth="1"/>
    <col min="37" max="37" width="2.44140625" style="98" customWidth="1"/>
    <col min="38" max="38" width="13.5546875" style="98" bestFit="1" customWidth="1"/>
    <col min="39" max="39" width="2.33203125" style="98" customWidth="1"/>
    <col min="40" max="40" width="12.5546875" style="98" bestFit="1" customWidth="1"/>
    <col min="41" max="41" width="2.44140625" style="98" customWidth="1"/>
    <col min="42" max="42" width="14.109375" style="98" bestFit="1" customWidth="1"/>
    <col min="43" max="43" width="2.33203125" style="98" customWidth="1"/>
    <col min="44" max="44" width="10.33203125" style="98" bestFit="1" customWidth="1"/>
    <col min="45" max="16384" width="8.88671875" style="5"/>
  </cols>
  <sheetData>
    <row r="1" spans="1:44">
      <c r="D1" s="7" t="s">
        <v>178</v>
      </c>
      <c r="J1" s="8"/>
      <c r="K1" s="8"/>
      <c r="P1" s="9"/>
      <c r="Q1" s="9"/>
      <c r="AE1" s="10">
        <v>40909</v>
      </c>
    </row>
    <row r="2" spans="1:44">
      <c r="D2" s="7" t="s">
        <v>0</v>
      </c>
      <c r="J2" s="8"/>
      <c r="K2" s="8"/>
      <c r="P2" s="11">
        <v>12</v>
      </c>
      <c r="Q2" s="12" t="s">
        <v>1</v>
      </c>
    </row>
    <row r="3" spans="1:44">
      <c r="D3" s="13">
        <f>[3]Summary!H5</f>
        <v>43100</v>
      </c>
      <c r="J3" s="8"/>
      <c r="K3" s="8"/>
      <c r="P3" s="11">
        <v>0</v>
      </c>
      <c r="Q3" s="12" t="s">
        <v>3</v>
      </c>
      <c r="AE3" s="5" t="s">
        <v>4</v>
      </c>
      <c r="AF3" s="5" t="s">
        <v>5</v>
      </c>
    </row>
    <row r="4" spans="1:44">
      <c r="J4" s="8"/>
      <c r="K4" s="8"/>
      <c r="P4" s="14">
        <v>2017</v>
      </c>
      <c r="Q4" s="12" t="s">
        <v>6</v>
      </c>
      <c r="AE4" s="5" t="s">
        <v>7</v>
      </c>
      <c r="AF4" s="5" t="s">
        <v>8</v>
      </c>
    </row>
    <row r="5" spans="1:44">
      <c r="J5" s="8"/>
      <c r="K5" s="8"/>
      <c r="P5" s="14">
        <v>2018</v>
      </c>
      <c r="Q5" s="12" t="s">
        <v>11</v>
      </c>
      <c r="AE5" s="5" t="s">
        <v>12</v>
      </c>
      <c r="AF5" s="5" t="s">
        <v>13</v>
      </c>
      <c r="AJ5" s="577" t="s">
        <v>379</v>
      </c>
      <c r="AK5" s="577"/>
      <c r="AL5" s="577"/>
      <c r="AM5" s="577"/>
      <c r="AN5" s="577"/>
      <c r="AO5" s="577"/>
      <c r="AP5" s="577"/>
      <c r="AQ5" s="577"/>
      <c r="AR5" s="577"/>
    </row>
    <row r="6" spans="1:44">
      <c r="J6" s="8"/>
      <c r="K6" s="8"/>
      <c r="AE6" s="5" t="s">
        <v>15</v>
      </c>
      <c r="AF6" s="5" t="s">
        <v>16</v>
      </c>
      <c r="AJ6" s="577"/>
      <c r="AK6" s="577"/>
      <c r="AL6" s="577"/>
      <c r="AM6" s="577"/>
      <c r="AN6" s="577"/>
      <c r="AO6" s="577"/>
      <c r="AP6" s="577"/>
      <c r="AQ6" s="577"/>
      <c r="AR6" s="577"/>
    </row>
    <row r="7" spans="1:44" ht="12.75">
      <c r="J7" s="8"/>
      <c r="K7" s="8"/>
      <c r="AC7" s="15"/>
      <c r="AE7" s="5" t="s">
        <v>20</v>
      </c>
      <c r="AF7" s="5" t="s">
        <v>21</v>
      </c>
      <c r="AJ7" s="109"/>
      <c r="AK7" s="109"/>
      <c r="AL7" s="109"/>
      <c r="AM7" s="109"/>
      <c r="AN7" s="109"/>
      <c r="AO7" s="109"/>
      <c r="AP7" s="109"/>
      <c r="AQ7" s="109"/>
      <c r="AR7" s="109"/>
    </row>
    <row r="8" spans="1:44" ht="15">
      <c r="C8" s="16"/>
      <c r="D8" s="9"/>
      <c r="E8" s="9"/>
      <c r="F8" s="9"/>
      <c r="G8" s="9"/>
      <c r="H8" s="9"/>
      <c r="I8" s="9"/>
      <c r="J8" s="17"/>
      <c r="K8" s="17"/>
      <c r="S8" s="8" t="s">
        <v>25</v>
      </c>
      <c r="V8" s="15" t="s">
        <v>17</v>
      </c>
      <c r="X8" s="8" t="s">
        <v>18</v>
      </c>
      <c r="Y8" s="8" t="s">
        <v>19</v>
      </c>
      <c r="AA8" s="15" t="s">
        <v>19</v>
      </c>
      <c r="AB8" s="15" t="s">
        <v>19</v>
      </c>
      <c r="AC8" s="15"/>
      <c r="AJ8" s="109"/>
      <c r="AK8" s="109"/>
      <c r="AL8" s="109"/>
      <c r="AM8" s="109"/>
      <c r="AN8" s="99" t="s">
        <v>380</v>
      </c>
      <c r="AO8" s="109"/>
      <c r="AP8" s="99" t="s">
        <v>380</v>
      </c>
      <c r="AQ8" s="109"/>
      <c r="AR8" s="109"/>
    </row>
    <row r="9" spans="1:44" ht="15">
      <c r="B9" s="15"/>
      <c r="C9" s="32" t="s">
        <v>54</v>
      </c>
      <c r="D9" s="18" t="s">
        <v>55</v>
      </c>
      <c r="E9" s="15" t="s">
        <v>56</v>
      </c>
      <c r="F9" s="15"/>
      <c r="G9" s="19" t="s">
        <v>23</v>
      </c>
      <c r="H9" s="9"/>
      <c r="I9" s="15" t="s">
        <v>54</v>
      </c>
      <c r="J9" s="15"/>
      <c r="K9" s="15" t="s">
        <v>24</v>
      </c>
      <c r="L9" s="15" t="s">
        <v>54</v>
      </c>
      <c r="N9" s="15" t="s">
        <v>54</v>
      </c>
      <c r="O9" s="8" t="s">
        <v>31</v>
      </c>
      <c r="P9" s="18" t="s">
        <v>54</v>
      </c>
      <c r="Q9" s="18"/>
      <c r="R9" s="15" t="s">
        <v>65</v>
      </c>
      <c r="S9" s="8" t="s">
        <v>24</v>
      </c>
      <c r="T9" s="15" t="s">
        <v>17</v>
      </c>
      <c r="U9" s="15" t="s">
        <v>34</v>
      </c>
      <c r="V9" s="15" t="s">
        <v>19</v>
      </c>
      <c r="X9" s="8" t="s">
        <v>26</v>
      </c>
      <c r="Y9" s="8" t="s">
        <v>26</v>
      </c>
      <c r="Z9" s="8" t="s">
        <v>27</v>
      </c>
      <c r="AA9" s="15" t="s">
        <v>28</v>
      </c>
      <c r="AB9" s="15" t="s">
        <v>28</v>
      </c>
      <c r="AC9" s="15" t="s">
        <v>38</v>
      </c>
      <c r="AJ9" s="100" t="s">
        <v>381</v>
      </c>
      <c r="AK9" s="101"/>
      <c r="AL9" s="100" t="s">
        <v>382</v>
      </c>
      <c r="AM9" s="101"/>
      <c r="AN9" s="100" t="s">
        <v>383</v>
      </c>
      <c r="AO9" s="101"/>
      <c r="AP9" s="100" t="s">
        <v>383</v>
      </c>
      <c r="AQ9" s="101"/>
      <c r="AR9" s="100" t="s">
        <v>384</v>
      </c>
    </row>
    <row r="10" spans="1:44" ht="15">
      <c r="B10" s="15"/>
      <c r="C10" s="32" t="s">
        <v>57</v>
      </c>
      <c r="D10" s="18"/>
      <c r="E10" s="15" t="s">
        <v>58</v>
      </c>
      <c r="F10" s="15"/>
      <c r="G10" s="19" t="s">
        <v>29</v>
      </c>
      <c r="H10" s="9"/>
      <c r="I10" s="15" t="s">
        <v>30</v>
      </c>
      <c r="J10" s="15" t="s">
        <v>61</v>
      </c>
      <c r="K10" s="15" t="s">
        <v>62</v>
      </c>
      <c r="L10" s="15" t="s">
        <v>31</v>
      </c>
      <c r="M10" s="5" t="s">
        <v>41</v>
      </c>
      <c r="N10" s="15" t="s">
        <v>31</v>
      </c>
      <c r="O10" s="8" t="s">
        <v>25</v>
      </c>
      <c r="P10" s="15" t="s">
        <v>64</v>
      </c>
      <c r="Q10" s="15" t="s">
        <v>66</v>
      </c>
      <c r="R10" s="15" t="s">
        <v>24</v>
      </c>
      <c r="S10" s="8" t="s">
        <v>43</v>
      </c>
      <c r="T10" s="15" t="s">
        <v>33</v>
      </c>
      <c r="U10" s="15" t="s">
        <v>36</v>
      </c>
      <c r="V10" s="15" t="s">
        <v>32</v>
      </c>
      <c r="W10" s="15"/>
      <c r="X10" s="15" t="s">
        <v>35</v>
      </c>
      <c r="Y10" s="15" t="s">
        <v>35</v>
      </c>
      <c r="Z10" s="15" t="s">
        <v>36</v>
      </c>
      <c r="AA10" s="15" t="s">
        <v>37</v>
      </c>
      <c r="AB10" s="15" t="s">
        <v>37</v>
      </c>
      <c r="AC10" s="15" t="s">
        <v>45</v>
      </c>
      <c r="AD10" s="8" t="s">
        <v>4</v>
      </c>
      <c r="AE10" s="8" t="s">
        <v>46</v>
      </c>
      <c r="AF10" s="8" t="s">
        <v>47</v>
      </c>
      <c r="AG10" s="8" t="s">
        <v>15</v>
      </c>
      <c r="AH10" s="8" t="s">
        <v>20</v>
      </c>
      <c r="AJ10" s="100" t="s">
        <v>385</v>
      </c>
      <c r="AK10" s="101"/>
      <c r="AL10" s="100" t="s">
        <v>386</v>
      </c>
      <c r="AM10" s="101"/>
      <c r="AN10" s="102" t="s">
        <v>387</v>
      </c>
      <c r="AO10" s="101"/>
      <c r="AP10" s="100" t="s">
        <v>388</v>
      </c>
      <c r="AQ10" s="101"/>
      <c r="AR10" s="100" t="s">
        <v>45</v>
      </c>
    </row>
    <row r="11" spans="1:44">
      <c r="A11" s="20" t="s">
        <v>261</v>
      </c>
      <c r="B11" s="20" t="s">
        <v>52</v>
      </c>
      <c r="C11" s="52" t="s">
        <v>59</v>
      </c>
      <c r="D11" s="21" t="s">
        <v>60</v>
      </c>
      <c r="E11" s="20" t="s">
        <v>24</v>
      </c>
      <c r="F11" s="20" t="s">
        <v>39</v>
      </c>
      <c r="G11" s="22" t="s">
        <v>34</v>
      </c>
      <c r="H11" s="9" t="s">
        <v>49</v>
      </c>
      <c r="I11" s="20" t="s">
        <v>40</v>
      </c>
      <c r="J11" s="20" t="s">
        <v>63</v>
      </c>
      <c r="K11" s="20" t="s">
        <v>64</v>
      </c>
      <c r="L11" s="20" t="s">
        <v>42</v>
      </c>
      <c r="M11" s="23" t="s">
        <v>49</v>
      </c>
      <c r="N11" s="20" t="s">
        <v>42</v>
      </c>
      <c r="O11" s="23" t="s">
        <v>49</v>
      </c>
      <c r="P11" s="20" t="s">
        <v>42</v>
      </c>
      <c r="Q11" s="20" t="s">
        <v>64</v>
      </c>
      <c r="R11" s="20" t="s">
        <v>64</v>
      </c>
      <c r="S11" s="23" t="s">
        <v>49</v>
      </c>
      <c r="T11" s="15" t="s">
        <v>44</v>
      </c>
      <c r="U11" s="20" t="s">
        <v>49</v>
      </c>
      <c r="V11" s="15" t="s">
        <v>37</v>
      </c>
      <c r="W11" s="15"/>
      <c r="X11" s="24">
        <f>[3]Summary!F5</f>
        <v>42736</v>
      </c>
      <c r="Y11" s="24" t="s">
        <v>54</v>
      </c>
      <c r="Z11" s="15" t="s">
        <v>34</v>
      </c>
      <c r="AA11" s="25">
        <f>+X11</f>
        <v>42736</v>
      </c>
      <c r="AB11" s="25">
        <f>+D3</f>
        <v>43100</v>
      </c>
      <c r="AC11" s="25">
        <f>D3</f>
        <v>43100</v>
      </c>
    </row>
    <row r="12" spans="1:44" s="6" customFormat="1">
      <c r="A12" s="6">
        <v>20084</v>
      </c>
      <c r="B12" s="6" t="s">
        <v>285</v>
      </c>
      <c r="C12" s="26">
        <v>703</v>
      </c>
      <c r="D12" s="27" t="s">
        <v>100</v>
      </c>
      <c r="E12" s="28">
        <v>2003</v>
      </c>
      <c r="F12" s="28">
        <v>5</v>
      </c>
      <c r="G12" s="89">
        <v>0.2</v>
      </c>
      <c r="I12" s="26" t="s">
        <v>51</v>
      </c>
      <c r="J12" s="26">
        <v>7</v>
      </c>
      <c r="K12" s="26">
        <f t="shared" ref="K12:K28" si="0">E12+J12</f>
        <v>2010</v>
      </c>
      <c r="N12" s="29">
        <v>120807.55</v>
      </c>
      <c r="O12" s="30"/>
      <c r="P12" s="16">
        <f t="shared" ref="P12:P25" si="1">N12-N12*G12</f>
        <v>96646.040000000008</v>
      </c>
      <c r="Q12" s="16">
        <f t="shared" ref="Q12:Q25" si="2">P12/J12/12</f>
        <v>1150.5480952380954</v>
      </c>
      <c r="R12" s="16">
        <f t="shared" ref="R12:R24" si="3">IF(O12&gt;0,0,IF(OR(AD12&gt;AE12,AF12&lt;AG12),0,IF(AND(AF12&gt;=AG12,AF12&lt;=AE12),Q12*((AF12-AG12)*12),IF(AND(AG12&lt;=AD12,AE12&gt;=AD12),((AE12-AD12)*12)*Q12,IF(AF12&gt;AE12,12*Q12,0)))))</f>
        <v>0</v>
      </c>
      <c r="S12" s="16">
        <f t="shared" ref="S12:S24" si="4">IF(O12=0,0,IF(AND(AH12&gt;=AG12,AH12&lt;=AF12),((AH12-AG12)*12)*Q12,0))</f>
        <v>0</v>
      </c>
      <c r="T12" s="16">
        <f t="shared" ref="T12:T24" si="5">IF(S12&gt;0,S12,R12)</f>
        <v>0</v>
      </c>
      <c r="U12" s="16">
        <v>1</v>
      </c>
      <c r="V12" s="16">
        <f t="shared" ref="V12:V24" si="6">U12*SUM(R12:S12)</f>
        <v>0</v>
      </c>
      <c r="W12" s="16"/>
      <c r="X12" s="16">
        <f t="shared" ref="X12:X24" si="7">IF(AD12&gt;AE12,0,IF(AF12&lt;AG12,P12,IF(AND(AF12&gt;=AG12,AF12&lt;=AE12),(P12-T12),IF(AND(AG12&lt;=AD12,AE12&gt;=AD12),0,IF(AF12&gt;AE12,((AG12-AD12)*12)*Q12,0)))))</f>
        <v>96646.040000000008</v>
      </c>
      <c r="Y12" s="16">
        <f t="shared" ref="Y12:Y24" si="8">X12*U12</f>
        <v>96646.040000000008</v>
      </c>
      <c r="Z12" s="16">
        <v>1</v>
      </c>
      <c r="AA12" s="16">
        <f t="shared" ref="AA12:AA24" si="9">Y12*Z12</f>
        <v>96646.040000000008</v>
      </c>
      <c r="AB12" s="16">
        <f t="shared" ref="AB12:AB24" si="10">IF(O12&gt;0,0,AA12+V12*Z12)*Z12</f>
        <v>96646.040000000008</v>
      </c>
      <c r="AC12" s="16">
        <f t="shared" ref="AC12:AC24" si="11">IF(O12&gt;0,(N12-AA12)/2,IF(AD12&gt;=AG12,(((N12*U12)*Z12)-AB12)/2,((((N12*U12)*Z12)-AA12)+(((N12*U12)*Z12)-AB12))/2))</f>
        <v>24161.509999999995</v>
      </c>
      <c r="AD12" s="16">
        <f t="shared" ref="AD12:AD33" si="12">$E12+(($F12-1)/12)</f>
        <v>2003.3333333333333</v>
      </c>
      <c r="AE12" s="16">
        <f>($P$5+1)-($P$2/12)</f>
        <v>2018</v>
      </c>
      <c r="AF12" s="16">
        <f t="shared" ref="AF12:AF33" si="13">$K12+(($F12-1)/12)</f>
        <v>2010.3333333333333</v>
      </c>
      <c r="AG12" s="16">
        <f>$P$4+($P$3/12)</f>
        <v>2017</v>
      </c>
      <c r="AH12" s="16">
        <f t="shared" ref="AH12:AH33" si="14">$L12+(($M12-1)/12)</f>
        <v>-8.3333333333333329E-2</v>
      </c>
      <c r="AJ12" s="110">
        <f>+IF((AF12-AG12)&gt;3,((N12-P12)/(AF12-AG12)),(N12-P12)/3)</f>
        <v>8053.8366666666652</v>
      </c>
      <c r="AK12" s="110"/>
      <c r="AL12" s="110">
        <f>+AJ12+V12</f>
        <v>8053.8366666666652</v>
      </c>
      <c r="AM12" s="110"/>
      <c r="AN12" s="110">
        <f>+IF(AF12&lt;AG12,-AC12,0)</f>
        <v>-24161.509999999995</v>
      </c>
      <c r="AO12" s="110"/>
      <c r="AP12" s="110">
        <f>IF(AF12&gt;AG12,IF(AJ12&gt;0,IF(O12&gt;0,(N12-AA12)/2,IF(AD12&gt;=AG12,(((N12*U12)*Z12)-(AB12+AJ12))/2,((((N12*U12)*Z12)-AA12)+(((N12*U12)*Z12)-(AB12+AJ12)))/2)),0),0)</f>
        <v>0</v>
      </c>
      <c r="AQ12" s="110"/>
      <c r="AR12" s="110">
        <f>+AC12+AN12+(IF(AP12&gt;0,(AP12-AC12),0))</f>
        <v>0</v>
      </c>
    </row>
    <row r="13" spans="1:44" s="6" customFormat="1">
      <c r="A13" s="6">
        <v>21743</v>
      </c>
      <c r="B13" s="6" t="s">
        <v>285</v>
      </c>
      <c r="C13" s="26">
        <v>705</v>
      </c>
      <c r="D13" s="27" t="s">
        <v>101</v>
      </c>
      <c r="E13" s="28">
        <v>2003</v>
      </c>
      <c r="F13" s="28">
        <v>9</v>
      </c>
      <c r="G13" s="89">
        <v>0.2</v>
      </c>
      <c r="I13" s="26" t="s">
        <v>51</v>
      </c>
      <c r="J13" s="26">
        <v>7</v>
      </c>
      <c r="K13" s="26">
        <f t="shared" si="0"/>
        <v>2010</v>
      </c>
      <c r="N13" s="29">
        <v>122928.88</v>
      </c>
      <c r="O13" s="30"/>
      <c r="P13" s="16">
        <f t="shared" si="1"/>
        <v>98343.104000000007</v>
      </c>
      <c r="Q13" s="16">
        <f t="shared" si="2"/>
        <v>1170.7512380952383</v>
      </c>
      <c r="R13" s="16">
        <f t="shared" si="3"/>
        <v>0</v>
      </c>
      <c r="S13" s="16">
        <f t="shared" si="4"/>
        <v>0</v>
      </c>
      <c r="T13" s="16">
        <f t="shared" si="5"/>
        <v>0</v>
      </c>
      <c r="U13" s="16">
        <v>1</v>
      </c>
      <c r="V13" s="16">
        <f t="shared" si="6"/>
        <v>0</v>
      </c>
      <c r="W13" s="16"/>
      <c r="X13" s="16">
        <f t="shared" si="7"/>
        <v>98343.104000000007</v>
      </c>
      <c r="Y13" s="16">
        <f t="shared" si="8"/>
        <v>98343.104000000007</v>
      </c>
      <c r="Z13" s="16">
        <v>1</v>
      </c>
      <c r="AA13" s="16">
        <f t="shared" si="9"/>
        <v>98343.104000000007</v>
      </c>
      <c r="AB13" s="16">
        <f t="shared" si="10"/>
        <v>98343.104000000007</v>
      </c>
      <c r="AC13" s="16">
        <f t="shared" si="11"/>
        <v>24585.775999999998</v>
      </c>
      <c r="AD13" s="16">
        <f t="shared" si="12"/>
        <v>2003.6666666666667</v>
      </c>
      <c r="AE13" s="16">
        <f>($P$5+1)-($P$2/12)</f>
        <v>2018</v>
      </c>
      <c r="AF13" s="16">
        <f t="shared" si="13"/>
        <v>2010.6666666666667</v>
      </c>
      <c r="AG13" s="16">
        <f>$P$4+($P$3/12)</f>
        <v>2017</v>
      </c>
      <c r="AH13" s="16">
        <f t="shared" si="14"/>
        <v>-8.3333333333333329E-2</v>
      </c>
      <c r="AJ13" s="110">
        <f t="shared" ref="AJ13:AJ33" si="15">+IF((AF13-AG13)&gt;3,((N13-P13)/(AF13-AG13)),(N13-P13)/3)</f>
        <v>8195.2586666666666</v>
      </c>
      <c r="AK13" s="110"/>
      <c r="AL13" s="110">
        <f t="shared" ref="AL13:AL33" si="16">+AJ13+V13</f>
        <v>8195.2586666666666</v>
      </c>
      <c r="AM13" s="110"/>
      <c r="AN13" s="110">
        <f t="shared" ref="AN13:AN33" si="17">+IF(AF13&lt;AG13,-AC13,0)</f>
        <v>-24585.775999999998</v>
      </c>
      <c r="AO13" s="110"/>
      <c r="AP13" s="110">
        <f t="shared" ref="AP13:AP33" si="18">IF(AF13&gt;AG13,IF(AJ13&gt;0,IF(O13&gt;0,(N13-AA13)/2,IF(AD13&gt;=AG13,(((N13*U13)*Z13)-(AB13+AJ13))/2,((((N13*U13)*Z13)-AA13)+(((N13*U13)*Z13)-(AB13+AJ13)))/2)),0),0)</f>
        <v>0</v>
      </c>
      <c r="AQ13" s="110"/>
      <c r="AR13" s="110">
        <f t="shared" ref="AR13:AR33" si="19">+AC13+AN13+(IF(AP13&gt;0,(AP13-AC13),0))</f>
        <v>0</v>
      </c>
    </row>
    <row r="14" spans="1:44" s="6" customFormat="1">
      <c r="A14" s="6">
        <v>31774</v>
      </c>
      <c r="B14" s="6" t="s">
        <v>83</v>
      </c>
      <c r="C14" s="26">
        <v>601</v>
      </c>
      <c r="D14" s="27" t="s">
        <v>109</v>
      </c>
      <c r="E14" s="28">
        <v>2005</v>
      </c>
      <c r="F14" s="28">
        <v>5</v>
      </c>
      <c r="G14" s="89">
        <v>0.2</v>
      </c>
      <c r="I14" s="26" t="s">
        <v>51</v>
      </c>
      <c r="J14" s="26">
        <v>7</v>
      </c>
      <c r="K14" s="26">
        <f t="shared" si="0"/>
        <v>2012</v>
      </c>
      <c r="N14" s="29">
        <f>68310.74+61144.65+5253.31</f>
        <v>134708.70000000001</v>
      </c>
      <c r="P14" s="16">
        <f t="shared" si="1"/>
        <v>107766.96</v>
      </c>
      <c r="Q14" s="16">
        <f t="shared" si="2"/>
        <v>1282.94</v>
      </c>
      <c r="R14" s="16">
        <f t="shared" si="3"/>
        <v>0</v>
      </c>
      <c r="S14" s="16">
        <f t="shared" si="4"/>
        <v>0</v>
      </c>
      <c r="T14" s="16">
        <f t="shared" si="5"/>
        <v>0</v>
      </c>
      <c r="U14" s="16">
        <v>1</v>
      </c>
      <c r="V14" s="16">
        <f t="shared" si="6"/>
        <v>0</v>
      </c>
      <c r="W14" s="16"/>
      <c r="X14" s="16">
        <f t="shared" si="7"/>
        <v>107766.96</v>
      </c>
      <c r="Y14" s="16">
        <f t="shared" si="8"/>
        <v>107766.96</v>
      </c>
      <c r="Z14" s="16">
        <v>1</v>
      </c>
      <c r="AA14" s="16">
        <f t="shared" si="9"/>
        <v>107766.96</v>
      </c>
      <c r="AB14" s="16">
        <f t="shared" si="10"/>
        <v>107766.96</v>
      </c>
      <c r="AC14" s="16">
        <f t="shared" si="11"/>
        <v>26941.740000000005</v>
      </c>
      <c r="AD14" s="16">
        <f t="shared" si="12"/>
        <v>2005.3333333333333</v>
      </c>
      <c r="AE14" s="16">
        <f>($P$5+1)-($P$2/12)</f>
        <v>2018</v>
      </c>
      <c r="AF14" s="16">
        <f t="shared" si="13"/>
        <v>2012.3333333333333</v>
      </c>
      <c r="AG14" s="16">
        <f>$P$4+($P$3/12)</f>
        <v>2017</v>
      </c>
      <c r="AH14" s="16">
        <f t="shared" si="14"/>
        <v>-8.3333333333333329E-2</v>
      </c>
      <c r="AJ14" s="110">
        <f t="shared" si="15"/>
        <v>8980.5800000000017</v>
      </c>
      <c r="AK14" s="110"/>
      <c r="AL14" s="110">
        <f t="shared" si="16"/>
        <v>8980.5800000000017</v>
      </c>
      <c r="AM14" s="110"/>
      <c r="AN14" s="110">
        <f t="shared" si="17"/>
        <v>-26941.740000000005</v>
      </c>
      <c r="AO14" s="110"/>
      <c r="AP14" s="110">
        <f t="shared" si="18"/>
        <v>0</v>
      </c>
      <c r="AQ14" s="110"/>
      <c r="AR14" s="110">
        <f t="shared" si="19"/>
        <v>0</v>
      </c>
    </row>
    <row r="15" spans="1:44" s="6" customFormat="1">
      <c r="A15" s="6">
        <v>46240</v>
      </c>
      <c r="B15" s="6" t="s">
        <v>83</v>
      </c>
      <c r="C15" s="26">
        <v>600</v>
      </c>
      <c r="D15" s="27" t="s">
        <v>200</v>
      </c>
      <c r="E15" s="28">
        <v>2006</v>
      </c>
      <c r="F15" s="28">
        <v>9</v>
      </c>
      <c r="G15" s="89">
        <v>0.2</v>
      </c>
      <c r="I15" s="26" t="s">
        <v>51</v>
      </c>
      <c r="J15" s="26">
        <v>7</v>
      </c>
      <c r="K15" s="26">
        <f t="shared" si="0"/>
        <v>2013</v>
      </c>
      <c r="N15" s="30">
        <v>142247.21</v>
      </c>
      <c r="P15" s="16">
        <f t="shared" si="1"/>
        <v>113797.768</v>
      </c>
      <c r="Q15" s="16">
        <f t="shared" si="2"/>
        <v>1354.7353333333333</v>
      </c>
      <c r="R15" s="16">
        <f t="shared" si="3"/>
        <v>0</v>
      </c>
      <c r="S15" s="16">
        <f t="shared" si="4"/>
        <v>0</v>
      </c>
      <c r="T15" s="16">
        <f t="shared" si="5"/>
        <v>0</v>
      </c>
      <c r="U15" s="16">
        <v>1</v>
      </c>
      <c r="V15" s="16">
        <f t="shared" si="6"/>
        <v>0</v>
      </c>
      <c r="W15" s="16"/>
      <c r="X15" s="16">
        <f t="shared" si="7"/>
        <v>113797.768</v>
      </c>
      <c r="Y15" s="16">
        <f t="shared" si="8"/>
        <v>113797.768</v>
      </c>
      <c r="Z15" s="16">
        <v>1</v>
      </c>
      <c r="AA15" s="16">
        <f t="shared" si="9"/>
        <v>113797.768</v>
      </c>
      <c r="AB15" s="16">
        <f t="shared" si="10"/>
        <v>113797.768</v>
      </c>
      <c r="AC15" s="16">
        <f t="shared" si="11"/>
        <v>28449.441999999995</v>
      </c>
      <c r="AD15" s="16">
        <f t="shared" si="12"/>
        <v>2006.6666666666667</v>
      </c>
      <c r="AE15" s="16">
        <f>($P$5+1)-($P$2/12)</f>
        <v>2018</v>
      </c>
      <c r="AF15" s="16">
        <f t="shared" si="13"/>
        <v>2013.6666666666667</v>
      </c>
      <c r="AG15" s="16">
        <f>$P$4+($P$3/12)</f>
        <v>2017</v>
      </c>
      <c r="AH15" s="16">
        <f t="shared" si="14"/>
        <v>-8.3333333333333329E-2</v>
      </c>
      <c r="AJ15" s="110">
        <f t="shared" si="15"/>
        <v>9483.1473333333324</v>
      </c>
      <c r="AK15" s="110"/>
      <c r="AL15" s="110">
        <f t="shared" si="16"/>
        <v>9483.1473333333324</v>
      </c>
      <c r="AM15" s="110"/>
      <c r="AN15" s="110">
        <f t="shared" si="17"/>
        <v>-28449.441999999995</v>
      </c>
      <c r="AO15" s="110"/>
      <c r="AP15" s="110">
        <f t="shared" si="18"/>
        <v>0</v>
      </c>
      <c r="AQ15" s="110"/>
      <c r="AR15" s="110">
        <f t="shared" si="19"/>
        <v>0</v>
      </c>
    </row>
    <row r="16" spans="1:44" s="6" customFormat="1">
      <c r="A16" s="6">
        <v>49931</v>
      </c>
      <c r="B16" s="6" t="s">
        <v>202</v>
      </c>
      <c r="C16" s="26">
        <v>603</v>
      </c>
      <c r="D16" s="27" t="s">
        <v>201</v>
      </c>
      <c r="E16" s="28">
        <v>2007</v>
      </c>
      <c r="F16" s="28">
        <v>4</v>
      </c>
      <c r="G16" s="89">
        <v>0.2</v>
      </c>
      <c r="I16" s="26" t="s">
        <v>51</v>
      </c>
      <c r="J16" s="26">
        <v>7</v>
      </c>
      <c r="K16" s="26">
        <f t="shared" si="0"/>
        <v>2014</v>
      </c>
      <c r="N16" s="30">
        <v>166746.79999999999</v>
      </c>
      <c r="P16" s="16">
        <f t="shared" si="1"/>
        <v>133397.44</v>
      </c>
      <c r="Q16" s="16">
        <f t="shared" si="2"/>
        <v>1588.064761904762</v>
      </c>
      <c r="R16" s="16">
        <f t="shared" si="3"/>
        <v>0</v>
      </c>
      <c r="S16" s="16">
        <f t="shared" si="4"/>
        <v>0</v>
      </c>
      <c r="T16" s="16">
        <f t="shared" si="5"/>
        <v>0</v>
      </c>
      <c r="U16" s="16">
        <v>1</v>
      </c>
      <c r="V16" s="16">
        <f t="shared" si="6"/>
        <v>0</v>
      </c>
      <c r="W16" s="16"/>
      <c r="X16" s="16">
        <f t="shared" si="7"/>
        <v>133397.44</v>
      </c>
      <c r="Y16" s="16">
        <f t="shared" si="8"/>
        <v>133397.44</v>
      </c>
      <c r="Z16" s="16">
        <v>1</v>
      </c>
      <c r="AA16" s="16">
        <f t="shared" si="9"/>
        <v>133397.44</v>
      </c>
      <c r="AB16" s="16">
        <f t="shared" si="10"/>
        <v>133397.44</v>
      </c>
      <c r="AC16" s="16">
        <f t="shared" si="11"/>
        <v>33349.359999999986</v>
      </c>
      <c r="AD16" s="16">
        <f t="shared" si="12"/>
        <v>2007.25</v>
      </c>
      <c r="AE16" s="16">
        <f>($P$5+1)-($P$2/12)</f>
        <v>2018</v>
      </c>
      <c r="AF16" s="16">
        <f t="shared" si="13"/>
        <v>2014.25</v>
      </c>
      <c r="AG16" s="16">
        <f>$P$4+($P$3/12)</f>
        <v>2017</v>
      </c>
      <c r="AH16" s="16">
        <f t="shared" si="14"/>
        <v>-8.3333333333333329E-2</v>
      </c>
      <c r="AJ16" s="110">
        <f t="shared" si="15"/>
        <v>11116.453333333329</v>
      </c>
      <c r="AK16" s="110"/>
      <c r="AL16" s="110">
        <f t="shared" si="16"/>
        <v>11116.453333333329</v>
      </c>
      <c r="AM16" s="110"/>
      <c r="AN16" s="110">
        <f t="shared" si="17"/>
        <v>-33349.359999999986</v>
      </c>
      <c r="AO16" s="110"/>
      <c r="AP16" s="110">
        <f t="shared" si="18"/>
        <v>0</v>
      </c>
      <c r="AQ16" s="110"/>
      <c r="AR16" s="110">
        <f t="shared" si="19"/>
        <v>0</v>
      </c>
    </row>
    <row r="17" spans="1:44" s="6" customFormat="1">
      <c r="A17" s="27">
        <v>104792</v>
      </c>
      <c r="B17" s="6" t="s">
        <v>287</v>
      </c>
      <c r="C17" s="26" t="s">
        <v>210</v>
      </c>
      <c r="D17" s="27" t="s">
        <v>286</v>
      </c>
      <c r="E17" s="28">
        <v>2007</v>
      </c>
      <c r="F17" s="28">
        <v>11</v>
      </c>
      <c r="G17" s="89">
        <v>0.33</v>
      </c>
      <c r="H17" s="16"/>
      <c r="I17" s="26" t="s">
        <v>51</v>
      </c>
      <c r="J17" s="26">
        <v>5</v>
      </c>
      <c r="K17" s="26">
        <f t="shared" si="0"/>
        <v>2012</v>
      </c>
      <c r="N17" s="29">
        <v>30747.200000000001</v>
      </c>
      <c r="O17" s="30"/>
      <c r="P17" s="16">
        <f t="shared" si="1"/>
        <v>20600.624</v>
      </c>
      <c r="Q17" s="16">
        <f t="shared" si="2"/>
        <v>343.34373333333332</v>
      </c>
      <c r="R17" s="16">
        <f t="shared" si="3"/>
        <v>0</v>
      </c>
      <c r="S17" s="16">
        <f t="shared" si="4"/>
        <v>0</v>
      </c>
      <c r="T17" s="16">
        <f t="shared" si="5"/>
        <v>0</v>
      </c>
      <c r="U17" s="16">
        <v>1</v>
      </c>
      <c r="V17" s="16">
        <f t="shared" si="6"/>
        <v>0</v>
      </c>
      <c r="W17" s="16"/>
      <c r="X17" s="16">
        <f t="shared" si="7"/>
        <v>20600.624</v>
      </c>
      <c r="Y17" s="16">
        <f t="shared" si="8"/>
        <v>20600.624</v>
      </c>
      <c r="Z17" s="16">
        <v>1</v>
      </c>
      <c r="AA17" s="16">
        <f t="shared" si="9"/>
        <v>20600.624</v>
      </c>
      <c r="AB17" s="16">
        <f t="shared" si="10"/>
        <v>20600.624</v>
      </c>
      <c r="AC17" s="16">
        <f t="shared" si="11"/>
        <v>10146.576000000001</v>
      </c>
      <c r="AD17" s="16">
        <f t="shared" si="12"/>
        <v>2007.8333333333333</v>
      </c>
      <c r="AE17" s="16">
        <f>('[8]2148 Trks'!$P$5+1)-('[8]2148 Trks'!$P$2/12)</f>
        <v>2014.5</v>
      </c>
      <c r="AF17" s="16">
        <f t="shared" si="13"/>
        <v>2012.8333333333333</v>
      </c>
      <c r="AG17" s="16">
        <f>'[8]2148 Trks'!$P$4+('[8]2148 Trks'!$P$3/12)</f>
        <v>2013.5</v>
      </c>
      <c r="AH17" s="16">
        <f t="shared" si="14"/>
        <v>-8.3333333333333329E-2</v>
      </c>
      <c r="AJ17" s="110">
        <f t="shared" si="15"/>
        <v>3382.1920000000005</v>
      </c>
      <c r="AK17" s="110"/>
      <c r="AL17" s="110">
        <f t="shared" si="16"/>
        <v>3382.1920000000005</v>
      </c>
      <c r="AM17" s="110"/>
      <c r="AN17" s="110">
        <f t="shared" si="17"/>
        <v>-10146.576000000001</v>
      </c>
      <c r="AO17" s="110"/>
      <c r="AP17" s="110">
        <f t="shared" si="18"/>
        <v>0</v>
      </c>
      <c r="AQ17" s="110"/>
      <c r="AR17" s="110">
        <f t="shared" si="19"/>
        <v>0</v>
      </c>
    </row>
    <row r="18" spans="1:44" s="6" customFormat="1">
      <c r="A18" s="27" t="s">
        <v>395</v>
      </c>
      <c r="B18" s="6" t="s">
        <v>366</v>
      </c>
      <c r="C18" s="26">
        <v>31</v>
      </c>
      <c r="D18" s="27" t="s">
        <v>396</v>
      </c>
      <c r="E18" s="28">
        <v>2009</v>
      </c>
      <c r="F18" s="28">
        <v>9</v>
      </c>
      <c r="G18" s="89">
        <v>0</v>
      </c>
      <c r="H18" s="16"/>
      <c r="I18" s="26" t="s">
        <v>51</v>
      </c>
      <c r="J18" s="26">
        <v>10</v>
      </c>
      <c r="K18" s="26">
        <f t="shared" si="0"/>
        <v>2019</v>
      </c>
      <c r="N18" s="29">
        <f>131742+11461.55</f>
        <v>143203.54999999999</v>
      </c>
      <c r="O18" s="30"/>
      <c r="P18" s="16">
        <f>N18-N18*G18</f>
        <v>143203.54999999999</v>
      </c>
      <c r="Q18" s="16">
        <f>P18/J18/12</f>
        <v>1193.3629166666667</v>
      </c>
      <c r="R18" s="16">
        <f>IF(O18&gt;0,0,IF(OR(AD18&gt;AE18,AF18&lt;AG18),0,IF(AND(AF18&gt;=AG18,AF18&lt;=AE18),Q18*((AF18-AG18)*12),IF(AND(AG18&lt;=AD18,AE18&gt;=AD18),((AE18-AD18)*12)*Q18,IF(AF18&gt;AE18,12*Q18,0)))))</f>
        <v>14320.355</v>
      </c>
      <c r="S18" s="16">
        <f>IF(O18=0,0,IF(AND(AH18&gt;=AG18,AH18&lt;=AF18),((AH18-AG18)*12)*Q18,0))</f>
        <v>0</v>
      </c>
      <c r="T18" s="16">
        <f>IF(S18&gt;0,S18,R18)</f>
        <v>14320.355</v>
      </c>
      <c r="U18" s="16">
        <v>1</v>
      </c>
      <c r="V18" s="16">
        <f>U18*SUM(R18:S18)</f>
        <v>14320.355</v>
      </c>
      <c r="W18" s="16"/>
      <c r="X18" s="16">
        <f>IF(AD18&gt;AE18,0,IF(AF18&lt;AG18,P18,IF(AND(AF18&gt;=AG18,AF18&lt;=AE18),(P18-T18),IF(AND(AG18&lt;=AD18,AE18&gt;=AD18),0,IF(AF18&gt;AE18,((AG18-AD18)*12)*Q18,0)))))</f>
        <v>54894.694166665584</v>
      </c>
      <c r="Y18" s="16">
        <f>X18*U18</f>
        <v>54894.694166665584</v>
      </c>
      <c r="Z18" s="16">
        <v>1</v>
      </c>
      <c r="AA18" s="16">
        <f>Y18*Z18</f>
        <v>54894.694166665584</v>
      </c>
      <c r="AB18" s="16">
        <f>IF(O18&gt;0,0,AA18+V18*Z18)*Z18</f>
        <v>69215.049166665587</v>
      </c>
      <c r="AC18" s="16">
        <f>IF(O18&gt;0,(N18-AA18)/2,IF(AD18&gt;=AG18,(((N18*U18)*Z18)-AB18)/2,((((N18*U18)*Z18)-AA18)+(((N18*U18)*Z18)-AB18))/2))</f>
        <v>81148.678333334406</v>
      </c>
      <c r="AD18" s="16">
        <f t="shared" si="12"/>
        <v>2009.6666666666667</v>
      </c>
      <c r="AE18" s="16">
        <f>('[8]2148 Trks'!$P$5+1)-('[8]2148 Trks'!$P$2/12)</f>
        <v>2014.5</v>
      </c>
      <c r="AF18" s="16">
        <f t="shared" si="13"/>
        <v>2019.6666666666667</v>
      </c>
      <c r="AG18" s="16">
        <f>'[8]2148 Trks'!$P$4+('[8]2148 Trks'!$P$3/12)</f>
        <v>2013.5</v>
      </c>
      <c r="AH18" s="16">
        <f t="shared" si="14"/>
        <v>-8.3333333333333329E-2</v>
      </c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s="6" customFormat="1">
      <c r="A19" s="6">
        <v>72014</v>
      </c>
      <c r="B19" s="6" t="s">
        <v>223</v>
      </c>
      <c r="C19" s="26">
        <v>800</v>
      </c>
      <c r="D19" s="27" t="s">
        <v>226</v>
      </c>
      <c r="E19" s="28">
        <v>2009</v>
      </c>
      <c r="F19" s="28">
        <v>12</v>
      </c>
      <c r="G19" s="89">
        <v>0.2</v>
      </c>
      <c r="I19" s="26" t="s">
        <v>51</v>
      </c>
      <c r="J19" s="26">
        <v>7</v>
      </c>
      <c r="K19" s="26">
        <f t="shared" si="0"/>
        <v>2016</v>
      </c>
      <c r="N19" s="30">
        <v>274650.34000000003</v>
      </c>
      <c r="P19" s="16">
        <f t="shared" si="1"/>
        <v>219720.27200000003</v>
      </c>
      <c r="Q19" s="16">
        <f t="shared" si="2"/>
        <v>2615.7175238095242</v>
      </c>
      <c r="R19" s="16">
        <f t="shared" si="3"/>
        <v>0</v>
      </c>
      <c r="S19" s="16">
        <f t="shared" si="4"/>
        <v>0</v>
      </c>
      <c r="T19" s="16">
        <f t="shared" si="5"/>
        <v>0</v>
      </c>
      <c r="U19" s="16">
        <v>1</v>
      </c>
      <c r="V19" s="16">
        <f t="shared" si="6"/>
        <v>0</v>
      </c>
      <c r="W19" s="16"/>
      <c r="X19" s="16">
        <f t="shared" si="7"/>
        <v>219720.27200000003</v>
      </c>
      <c r="Y19" s="16">
        <f t="shared" si="8"/>
        <v>219720.27200000003</v>
      </c>
      <c r="Z19" s="16">
        <v>1</v>
      </c>
      <c r="AA19" s="16">
        <f t="shared" si="9"/>
        <v>219720.27200000003</v>
      </c>
      <c r="AB19" s="16">
        <f t="shared" si="10"/>
        <v>219720.27200000003</v>
      </c>
      <c r="AC19" s="16">
        <f t="shared" si="11"/>
        <v>54930.067999999999</v>
      </c>
      <c r="AD19" s="16">
        <f t="shared" si="12"/>
        <v>2009.9166666666667</v>
      </c>
      <c r="AE19" s="16">
        <f t="shared" ref="AE19:AE29" si="20">($P$5+1)-($P$2/12)</f>
        <v>2018</v>
      </c>
      <c r="AF19" s="16">
        <f t="shared" si="13"/>
        <v>2016.9166666666667</v>
      </c>
      <c r="AG19" s="16">
        <f t="shared" ref="AG19:AG29" si="21">$P$4+($P$3/12)</f>
        <v>2017</v>
      </c>
      <c r="AH19" s="16">
        <f t="shared" si="14"/>
        <v>-8.3333333333333329E-2</v>
      </c>
      <c r="AJ19" s="110">
        <f t="shared" si="15"/>
        <v>18310.022666666668</v>
      </c>
      <c r="AK19" s="110"/>
      <c r="AL19" s="110">
        <f t="shared" si="16"/>
        <v>18310.022666666668</v>
      </c>
      <c r="AM19" s="110"/>
      <c r="AN19" s="110">
        <f t="shared" si="17"/>
        <v>-54930.067999999999</v>
      </c>
      <c r="AO19" s="110"/>
      <c r="AP19" s="110">
        <f t="shared" si="18"/>
        <v>0</v>
      </c>
      <c r="AQ19" s="110"/>
      <c r="AR19" s="110">
        <f t="shared" si="19"/>
        <v>0</v>
      </c>
    </row>
    <row r="20" spans="1:44" s="6" customFormat="1">
      <c r="A20" s="6">
        <v>72013</v>
      </c>
      <c r="B20" s="6" t="s">
        <v>285</v>
      </c>
      <c r="C20" s="26">
        <v>801</v>
      </c>
      <c r="D20" s="27" t="s">
        <v>227</v>
      </c>
      <c r="E20" s="28">
        <v>2009</v>
      </c>
      <c r="F20" s="28">
        <v>12</v>
      </c>
      <c r="G20" s="89">
        <v>0.2</v>
      </c>
      <c r="I20" s="26" t="s">
        <v>51</v>
      </c>
      <c r="J20" s="26">
        <v>7</v>
      </c>
      <c r="K20" s="26">
        <f t="shared" si="0"/>
        <v>2016</v>
      </c>
      <c r="N20" s="30">
        <v>274650.34000000003</v>
      </c>
      <c r="P20" s="16">
        <f t="shared" si="1"/>
        <v>219720.27200000003</v>
      </c>
      <c r="Q20" s="16">
        <f t="shared" si="2"/>
        <v>2615.7175238095242</v>
      </c>
      <c r="R20" s="16">
        <f t="shared" si="3"/>
        <v>0</v>
      </c>
      <c r="S20" s="16">
        <f t="shared" si="4"/>
        <v>0</v>
      </c>
      <c r="T20" s="16">
        <f t="shared" si="5"/>
        <v>0</v>
      </c>
      <c r="U20" s="16">
        <v>1</v>
      </c>
      <c r="V20" s="16">
        <f t="shared" si="6"/>
        <v>0</v>
      </c>
      <c r="W20" s="16"/>
      <c r="X20" s="16">
        <f t="shared" si="7"/>
        <v>219720.27200000003</v>
      </c>
      <c r="Y20" s="16">
        <f t="shared" si="8"/>
        <v>219720.27200000003</v>
      </c>
      <c r="Z20" s="16">
        <v>1</v>
      </c>
      <c r="AA20" s="16">
        <f t="shared" si="9"/>
        <v>219720.27200000003</v>
      </c>
      <c r="AB20" s="16">
        <f t="shared" si="10"/>
        <v>219720.27200000003</v>
      </c>
      <c r="AC20" s="16">
        <f t="shared" si="11"/>
        <v>54930.067999999999</v>
      </c>
      <c r="AD20" s="16">
        <f t="shared" si="12"/>
        <v>2009.9166666666667</v>
      </c>
      <c r="AE20" s="16">
        <f t="shared" si="20"/>
        <v>2018</v>
      </c>
      <c r="AF20" s="16">
        <f t="shared" si="13"/>
        <v>2016.9166666666667</v>
      </c>
      <c r="AG20" s="16">
        <f t="shared" si="21"/>
        <v>2017</v>
      </c>
      <c r="AH20" s="16">
        <f t="shared" si="14"/>
        <v>-8.3333333333333329E-2</v>
      </c>
      <c r="AJ20" s="110">
        <f t="shared" si="15"/>
        <v>18310.022666666668</v>
      </c>
      <c r="AK20" s="110"/>
      <c r="AL20" s="110">
        <f t="shared" si="16"/>
        <v>18310.022666666668</v>
      </c>
      <c r="AM20" s="110"/>
      <c r="AN20" s="110">
        <f t="shared" si="17"/>
        <v>-54930.067999999999</v>
      </c>
      <c r="AO20" s="110"/>
      <c r="AP20" s="110">
        <f t="shared" si="18"/>
        <v>0</v>
      </c>
      <c r="AQ20" s="110"/>
      <c r="AR20" s="110">
        <f t="shared" si="19"/>
        <v>0</v>
      </c>
    </row>
    <row r="21" spans="1:44" s="6" customFormat="1">
      <c r="A21" s="6">
        <v>72015</v>
      </c>
      <c r="B21" s="6" t="s">
        <v>223</v>
      </c>
      <c r="C21" s="26">
        <v>802</v>
      </c>
      <c r="D21" s="27" t="s">
        <v>228</v>
      </c>
      <c r="E21" s="28">
        <v>2009</v>
      </c>
      <c r="F21" s="28">
        <v>12</v>
      </c>
      <c r="G21" s="89">
        <v>0.2</v>
      </c>
      <c r="I21" s="26" t="s">
        <v>51</v>
      </c>
      <c r="J21" s="26">
        <v>7</v>
      </c>
      <c r="K21" s="26">
        <f t="shared" si="0"/>
        <v>2016</v>
      </c>
      <c r="N21" s="30">
        <v>274650.34000000003</v>
      </c>
      <c r="P21" s="16">
        <f t="shared" si="1"/>
        <v>219720.27200000003</v>
      </c>
      <c r="Q21" s="16">
        <f t="shared" si="2"/>
        <v>2615.7175238095242</v>
      </c>
      <c r="R21" s="16">
        <f t="shared" si="3"/>
        <v>0</v>
      </c>
      <c r="S21" s="16">
        <f t="shared" si="4"/>
        <v>0</v>
      </c>
      <c r="T21" s="16">
        <f t="shared" si="5"/>
        <v>0</v>
      </c>
      <c r="U21" s="16">
        <v>1</v>
      </c>
      <c r="V21" s="16">
        <f t="shared" si="6"/>
        <v>0</v>
      </c>
      <c r="W21" s="16"/>
      <c r="X21" s="16">
        <f t="shared" si="7"/>
        <v>219720.27200000003</v>
      </c>
      <c r="Y21" s="16">
        <f t="shared" si="8"/>
        <v>219720.27200000003</v>
      </c>
      <c r="Z21" s="16">
        <v>1</v>
      </c>
      <c r="AA21" s="16">
        <f t="shared" si="9"/>
        <v>219720.27200000003</v>
      </c>
      <c r="AB21" s="16">
        <f t="shared" si="10"/>
        <v>219720.27200000003</v>
      </c>
      <c r="AC21" s="16">
        <f t="shared" si="11"/>
        <v>54930.067999999999</v>
      </c>
      <c r="AD21" s="16">
        <f t="shared" si="12"/>
        <v>2009.9166666666667</v>
      </c>
      <c r="AE21" s="16">
        <f t="shared" si="20"/>
        <v>2018</v>
      </c>
      <c r="AF21" s="16">
        <f t="shared" si="13"/>
        <v>2016.9166666666667</v>
      </c>
      <c r="AG21" s="16">
        <f t="shared" si="21"/>
        <v>2017</v>
      </c>
      <c r="AH21" s="16">
        <f t="shared" si="14"/>
        <v>-8.3333333333333329E-2</v>
      </c>
      <c r="AJ21" s="110">
        <f t="shared" si="15"/>
        <v>18310.022666666668</v>
      </c>
      <c r="AK21" s="110"/>
      <c r="AL21" s="110">
        <f t="shared" si="16"/>
        <v>18310.022666666668</v>
      </c>
      <c r="AM21" s="110"/>
      <c r="AN21" s="110">
        <f t="shared" si="17"/>
        <v>-54930.067999999999</v>
      </c>
      <c r="AO21" s="110"/>
      <c r="AP21" s="110">
        <f t="shared" si="18"/>
        <v>0</v>
      </c>
      <c r="AQ21" s="110"/>
      <c r="AR21" s="110">
        <f t="shared" si="19"/>
        <v>0</v>
      </c>
    </row>
    <row r="22" spans="1:44" s="6" customFormat="1">
      <c r="A22" s="6">
        <v>69830</v>
      </c>
      <c r="B22" s="6" t="s">
        <v>224</v>
      </c>
      <c r="C22" s="26">
        <v>919</v>
      </c>
      <c r="D22" s="27" t="s">
        <v>229</v>
      </c>
      <c r="E22" s="28">
        <v>2009</v>
      </c>
      <c r="F22" s="28">
        <v>12</v>
      </c>
      <c r="G22" s="89">
        <v>0.2</v>
      </c>
      <c r="I22" s="26" t="s">
        <v>51</v>
      </c>
      <c r="J22" s="26">
        <v>7</v>
      </c>
      <c r="K22" s="26">
        <f t="shared" si="0"/>
        <v>2016</v>
      </c>
      <c r="N22" s="30">
        <v>223111.7</v>
      </c>
      <c r="P22" s="16">
        <f t="shared" si="1"/>
        <v>178489.36000000002</v>
      </c>
      <c r="Q22" s="16">
        <f t="shared" si="2"/>
        <v>2124.8733333333334</v>
      </c>
      <c r="R22" s="16">
        <f t="shared" si="3"/>
        <v>0</v>
      </c>
      <c r="S22" s="16">
        <f t="shared" si="4"/>
        <v>0</v>
      </c>
      <c r="T22" s="16">
        <f t="shared" si="5"/>
        <v>0</v>
      </c>
      <c r="U22" s="16">
        <v>1</v>
      </c>
      <c r="V22" s="16">
        <f t="shared" si="6"/>
        <v>0</v>
      </c>
      <c r="W22" s="16"/>
      <c r="X22" s="16">
        <f t="shared" si="7"/>
        <v>178489.36000000002</v>
      </c>
      <c r="Y22" s="16">
        <f t="shared" si="8"/>
        <v>178489.36000000002</v>
      </c>
      <c r="Z22" s="16">
        <v>1</v>
      </c>
      <c r="AA22" s="16">
        <f t="shared" si="9"/>
        <v>178489.36000000002</v>
      </c>
      <c r="AB22" s="16">
        <f t="shared" si="10"/>
        <v>178489.36000000002</v>
      </c>
      <c r="AC22" s="16">
        <f t="shared" si="11"/>
        <v>44622.34</v>
      </c>
      <c r="AD22" s="16">
        <f t="shared" si="12"/>
        <v>2009.9166666666667</v>
      </c>
      <c r="AE22" s="16">
        <f t="shared" si="20"/>
        <v>2018</v>
      </c>
      <c r="AF22" s="16">
        <f t="shared" si="13"/>
        <v>2016.9166666666667</v>
      </c>
      <c r="AG22" s="16">
        <f t="shared" si="21"/>
        <v>2017</v>
      </c>
      <c r="AH22" s="16">
        <f t="shared" si="14"/>
        <v>-8.3333333333333329E-2</v>
      </c>
      <c r="AJ22" s="110">
        <f t="shared" si="15"/>
        <v>14874.113333333333</v>
      </c>
      <c r="AK22" s="110"/>
      <c r="AL22" s="110">
        <f t="shared" si="16"/>
        <v>14874.113333333333</v>
      </c>
      <c r="AM22" s="110"/>
      <c r="AN22" s="110">
        <f t="shared" si="17"/>
        <v>-44622.34</v>
      </c>
      <c r="AO22" s="110"/>
      <c r="AP22" s="110">
        <f t="shared" si="18"/>
        <v>0</v>
      </c>
      <c r="AQ22" s="110"/>
      <c r="AR22" s="110">
        <f t="shared" si="19"/>
        <v>0</v>
      </c>
    </row>
    <row r="23" spans="1:44" s="6" customFormat="1">
      <c r="B23" s="6" t="s">
        <v>83</v>
      </c>
      <c r="C23" s="26">
        <v>705</v>
      </c>
      <c r="D23" s="27" t="s">
        <v>234</v>
      </c>
      <c r="E23" s="28">
        <v>2010</v>
      </c>
      <c r="F23" s="28">
        <v>7</v>
      </c>
      <c r="G23" s="89">
        <v>0</v>
      </c>
      <c r="I23" s="26" t="s">
        <v>51</v>
      </c>
      <c r="J23" s="26">
        <v>3</v>
      </c>
      <c r="K23" s="26">
        <f t="shared" si="0"/>
        <v>2013</v>
      </c>
      <c r="N23" s="29">
        <v>4004.83</v>
      </c>
      <c r="P23" s="16">
        <f t="shared" si="1"/>
        <v>4004.83</v>
      </c>
      <c r="Q23" s="16">
        <f t="shared" si="2"/>
        <v>111.24527777777779</v>
      </c>
      <c r="R23" s="16">
        <f t="shared" si="3"/>
        <v>0</v>
      </c>
      <c r="S23" s="16">
        <f t="shared" si="4"/>
        <v>0</v>
      </c>
      <c r="T23" s="16">
        <f t="shared" si="5"/>
        <v>0</v>
      </c>
      <c r="U23" s="16">
        <v>1</v>
      </c>
      <c r="V23" s="16">
        <f t="shared" si="6"/>
        <v>0</v>
      </c>
      <c r="W23" s="16"/>
      <c r="X23" s="16">
        <f t="shared" si="7"/>
        <v>4004.83</v>
      </c>
      <c r="Y23" s="16">
        <f t="shared" si="8"/>
        <v>4004.83</v>
      </c>
      <c r="Z23" s="16">
        <v>1</v>
      </c>
      <c r="AA23" s="16">
        <f t="shared" si="9"/>
        <v>4004.83</v>
      </c>
      <c r="AB23" s="16">
        <f t="shared" si="10"/>
        <v>4004.83</v>
      </c>
      <c r="AC23" s="16">
        <f t="shared" si="11"/>
        <v>0</v>
      </c>
      <c r="AD23" s="16">
        <f t="shared" si="12"/>
        <v>2010.5</v>
      </c>
      <c r="AE23" s="16">
        <f t="shared" si="20"/>
        <v>2018</v>
      </c>
      <c r="AF23" s="16">
        <f t="shared" si="13"/>
        <v>2013.5</v>
      </c>
      <c r="AG23" s="16">
        <f t="shared" si="21"/>
        <v>2017</v>
      </c>
      <c r="AH23" s="16">
        <f t="shared" si="14"/>
        <v>-8.3333333333333329E-2</v>
      </c>
      <c r="AJ23" s="110">
        <f t="shared" si="15"/>
        <v>0</v>
      </c>
      <c r="AK23" s="110"/>
      <c r="AL23" s="110">
        <f t="shared" si="16"/>
        <v>0</v>
      </c>
      <c r="AM23" s="110"/>
      <c r="AN23" s="110">
        <f t="shared" si="17"/>
        <v>0</v>
      </c>
      <c r="AO23" s="110"/>
      <c r="AP23" s="110">
        <f t="shared" si="18"/>
        <v>0</v>
      </c>
      <c r="AQ23" s="110"/>
      <c r="AR23" s="110">
        <f t="shared" si="19"/>
        <v>0</v>
      </c>
    </row>
    <row r="24" spans="1:44" s="6" customFormat="1">
      <c r="A24" s="6">
        <v>99658</v>
      </c>
      <c r="B24" s="6" t="s">
        <v>250</v>
      </c>
      <c r="C24" s="26">
        <v>804</v>
      </c>
      <c r="D24" s="27" t="s">
        <v>290</v>
      </c>
      <c r="E24" s="28">
        <v>2012</v>
      </c>
      <c r="F24" s="28">
        <v>12</v>
      </c>
      <c r="G24" s="89">
        <v>0.2</v>
      </c>
      <c r="I24" s="26" t="s">
        <v>51</v>
      </c>
      <c r="J24" s="26">
        <v>7</v>
      </c>
      <c r="K24" s="26">
        <f t="shared" si="0"/>
        <v>2019</v>
      </c>
      <c r="N24" s="30">
        <v>334615</v>
      </c>
      <c r="P24" s="16">
        <f t="shared" si="1"/>
        <v>267692</v>
      </c>
      <c r="Q24" s="16">
        <f t="shared" si="2"/>
        <v>3186.8095238095234</v>
      </c>
      <c r="R24" s="16">
        <f t="shared" si="3"/>
        <v>38241.714285714283</v>
      </c>
      <c r="S24" s="16">
        <f t="shared" si="4"/>
        <v>0</v>
      </c>
      <c r="T24" s="16">
        <f t="shared" si="5"/>
        <v>38241.714285714283</v>
      </c>
      <c r="U24" s="16">
        <v>1</v>
      </c>
      <c r="V24" s="16">
        <f t="shared" si="6"/>
        <v>38241.714285714283</v>
      </c>
      <c r="W24" s="16"/>
      <c r="X24" s="16">
        <f t="shared" si="7"/>
        <v>156153.66666666375</v>
      </c>
      <c r="Y24" s="16">
        <f t="shared" si="8"/>
        <v>156153.66666666375</v>
      </c>
      <c r="Z24" s="16">
        <v>1</v>
      </c>
      <c r="AA24" s="16">
        <f t="shared" si="9"/>
        <v>156153.66666666375</v>
      </c>
      <c r="AB24" s="16">
        <f t="shared" si="10"/>
        <v>194395.38095237804</v>
      </c>
      <c r="AC24" s="16">
        <f t="shared" si="11"/>
        <v>159340.47619047912</v>
      </c>
      <c r="AD24" s="16">
        <f t="shared" si="12"/>
        <v>2012.9166666666667</v>
      </c>
      <c r="AE24" s="16">
        <f t="shared" si="20"/>
        <v>2018</v>
      </c>
      <c r="AF24" s="16">
        <f t="shared" si="13"/>
        <v>2019.9166666666667</v>
      </c>
      <c r="AG24" s="16">
        <f t="shared" si="21"/>
        <v>2017</v>
      </c>
      <c r="AH24" s="16">
        <f t="shared" si="14"/>
        <v>-8.3333333333333329E-2</v>
      </c>
      <c r="AJ24" s="110">
        <f t="shared" si="15"/>
        <v>22307.666666666668</v>
      </c>
      <c r="AK24" s="110"/>
      <c r="AL24" s="110">
        <f t="shared" si="16"/>
        <v>60549.380952380947</v>
      </c>
      <c r="AM24" s="110"/>
      <c r="AN24" s="110">
        <f t="shared" si="17"/>
        <v>0</v>
      </c>
      <c r="AO24" s="110"/>
      <c r="AP24" s="110">
        <f t="shared" si="18"/>
        <v>148186.64285714578</v>
      </c>
      <c r="AQ24" s="110"/>
      <c r="AR24" s="110">
        <f t="shared" si="19"/>
        <v>148186.64285714578</v>
      </c>
    </row>
    <row r="25" spans="1:44" s="6" customFormat="1">
      <c r="A25" s="6">
        <v>107722</v>
      </c>
      <c r="B25" s="6" t="s">
        <v>287</v>
      </c>
      <c r="C25" s="26">
        <v>7205</v>
      </c>
      <c r="D25" s="27" t="s">
        <v>289</v>
      </c>
      <c r="E25" s="28">
        <v>2013</v>
      </c>
      <c r="F25" s="28">
        <v>9</v>
      </c>
      <c r="G25" s="89">
        <v>0.33</v>
      </c>
      <c r="I25" s="26" t="s">
        <v>51</v>
      </c>
      <c r="J25" s="26">
        <v>5</v>
      </c>
      <c r="K25" s="26">
        <f t="shared" si="0"/>
        <v>2018</v>
      </c>
      <c r="N25" s="30">
        <v>65220</v>
      </c>
      <c r="P25" s="16">
        <f t="shared" si="1"/>
        <v>43697.399999999994</v>
      </c>
      <c r="Q25" s="16">
        <f t="shared" si="2"/>
        <v>728.29</v>
      </c>
      <c r="R25" s="16">
        <f>IF(O25&gt;0,0,IF(OR(AD25&gt;AE25,AF25&lt;AG25),0,IF(AND(AF25&gt;=AG25,AF25&lt;=AE25),Q25*((AF25-AG25)*12),IF(AND(AG25&lt;=AD25,AE25&gt;=AD25),((AE25-AD25)*12)*Q25,IF(AF25&gt;AE25,12*Q25,0)))))</f>
        <v>8739.48</v>
      </c>
      <c r="S25" s="16">
        <f>IF(O25=0,0,IF(AND(AH25&gt;=AG25,AH25&lt;=AF25),((AH25-AG25)*12)*Q25,0))</f>
        <v>0</v>
      </c>
      <c r="T25" s="16">
        <f>IF(S25&gt;0,S25,R25)</f>
        <v>8739.48</v>
      </c>
      <c r="U25" s="16">
        <v>1</v>
      </c>
      <c r="V25" s="16">
        <f>U25*SUM(R25:S25)</f>
        <v>8739.48</v>
      </c>
      <c r="W25" s="16"/>
      <c r="X25" s="16">
        <f>IF(AD25&gt;AE25,0,IF(AF25&lt;AG25,P25,IF(AND(AF25&gt;=AG25,AF25&lt;=AE25),(P25-T25),IF(AND(AG25&lt;=AD25,AE25&gt;=AD25),0,IF(AF25&gt;AE25,((AG25-AD25)*12)*Q25,0)))))</f>
        <v>29131.599999999336</v>
      </c>
      <c r="Y25" s="16">
        <f>X25*U25</f>
        <v>29131.599999999336</v>
      </c>
      <c r="Z25" s="16">
        <v>1</v>
      </c>
      <c r="AA25" s="16">
        <f>Y25*Z25</f>
        <v>29131.599999999336</v>
      </c>
      <c r="AB25" s="16">
        <f>IF(O25&gt;0,0,AA25+V25*Z25)*Z25</f>
        <v>37871.079999999332</v>
      </c>
      <c r="AC25" s="16">
        <f>IF(O25&gt;0,(N25-AA25)/2,IF(AD25&gt;=AG25,(((N25*U25)*Z25)-AB25)/2,((((N25*U25)*Z25)-AA25)+(((N25*U25)*Z25)-AB25))/2))</f>
        <v>31718.660000000666</v>
      </c>
      <c r="AD25" s="16">
        <f t="shared" si="12"/>
        <v>2013.6666666666667</v>
      </c>
      <c r="AE25" s="16">
        <f t="shared" si="20"/>
        <v>2018</v>
      </c>
      <c r="AF25" s="16">
        <f t="shared" si="13"/>
        <v>2018.6666666666667</v>
      </c>
      <c r="AG25" s="16">
        <f t="shared" si="21"/>
        <v>2017</v>
      </c>
      <c r="AH25" s="16">
        <f t="shared" si="14"/>
        <v>-8.3333333333333329E-2</v>
      </c>
      <c r="AJ25" s="110">
        <f t="shared" si="15"/>
        <v>7174.2000000000016</v>
      </c>
      <c r="AK25" s="110"/>
      <c r="AL25" s="110">
        <f t="shared" si="16"/>
        <v>15913.68</v>
      </c>
      <c r="AM25" s="110"/>
      <c r="AN25" s="110">
        <f t="shared" si="17"/>
        <v>0</v>
      </c>
      <c r="AO25" s="110"/>
      <c r="AP25" s="110">
        <f t="shared" si="18"/>
        <v>28131.560000000663</v>
      </c>
      <c r="AQ25" s="110"/>
      <c r="AR25" s="110">
        <f t="shared" si="19"/>
        <v>28131.560000000663</v>
      </c>
    </row>
    <row r="26" spans="1:44" s="6" customFormat="1">
      <c r="A26" s="6">
        <v>109828</v>
      </c>
      <c r="C26" s="26" t="s">
        <v>190</v>
      </c>
      <c r="D26" s="27" t="s">
        <v>292</v>
      </c>
      <c r="E26" s="28">
        <v>2013</v>
      </c>
      <c r="F26" s="28">
        <v>12</v>
      </c>
      <c r="G26" s="89">
        <v>0</v>
      </c>
      <c r="H26" s="16"/>
      <c r="I26" s="26" t="s">
        <v>51</v>
      </c>
      <c r="J26" s="26">
        <v>7</v>
      </c>
      <c r="K26" s="26">
        <f t="shared" si="0"/>
        <v>2020</v>
      </c>
      <c r="N26" s="29">
        <f>1404.28*13</f>
        <v>18255.64</v>
      </c>
      <c r="O26" s="30"/>
      <c r="P26" s="16">
        <f>N26-N26*G26</f>
        <v>18255.64</v>
      </c>
      <c r="Q26" s="16">
        <f>P26/J26/12</f>
        <v>217.32904761904763</v>
      </c>
      <c r="R26" s="16">
        <f>IF(O26&gt;0,0,IF(OR(AD26&gt;AE26,AF26&lt;AG26),0,IF(AND(AF26&gt;=AG26,AF26&lt;=AE26),Q26*((AF26-AG26)*12),IF(AND(AG26&lt;=AD26,AE26&gt;=AD26),((AE26-AD26)*12)*Q26,IF(AF26&gt;AE26,12*Q26,0)))))</f>
        <v>2607.9485714285715</v>
      </c>
      <c r="S26" s="16">
        <f>IF(O26=0,0,IF(AND(AH26&gt;=AG26,AH26&lt;=AF26),((AH26-AG26)*12)*Q26,0))</f>
        <v>0</v>
      </c>
      <c r="T26" s="16">
        <f>IF(S26&gt;0,S26,R26)</f>
        <v>2607.9485714285715</v>
      </c>
      <c r="U26" s="16">
        <v>1</v>
      </c>
      <c r="V26" s="16">
        <f>U26*SUM(R26:S26)</f>
        <v>2607.9485714285715</v>
      </c>
      <c r="W26" s="16"/>
      <c r="X26" s="16">
        <f>IF(AD26&gt;AE26,0,IF(AF26&lt;AG26,P26,IF(AND(AF26&gt;=AG26,AF26&lt;=AE26),(P26-T26),IF(AND(AG26&lt;=AD26,AE26&gt;=AD26),0,IF(AF26&gt;AE26,((AG26-AD26)*12)*Q26,0)))))</f>
        <v>8041.1747619045645</v>
      </c>
      <c r="Y26" s="16">
        <f>X26*U26</f>
        <v>8041.1747619045645</v>
      </c>
      <c r="Z26" s="16">
        <v>1</v>
      </c>
      <c r="AA26" s="16">
        <f>Y26*Z26</f>
        <v>8041.1747619045645</v>
      </c>
      <c r="AB26" s="16">
        <f>IF(O26&gt;0,0,AA26+V26*Z26)*Z26</f>
        <v>10649.123333333137</v>
      </c>
      <c r="AC26" s="16">
        <f>IF(O26&gt;0,(N26-AA26)/2,IF(AD26&gt;=AG26,(((N26*U26)*Z26)-AB26)/2,((((N26*U26)*Z26)-AA26)+(((N26*U26)*Z26)-AB26))/2))</f>
        <v>8910.4909523811493</v>
      </c>
      <c r="AD26" s="16">
        <f t="shared" si="12"/>
        <v>2013.9166666666667</v>
      </c>
      <c r="AE26" s="16">
        <f t="shared" si="20"/>
        <v>2018</v>
      </c>
      <c r="AF26" s="16">
        <f t="shared" si="13"/>
        <v>2020.9166666666667</v>
      </c>
      <c r="AG26" s="16">
        <f t="shared" si="21"/>
        <v>2017</v>
      </c>
      <c r="AH26" s="16">
        <f t="shared" si="14"/>
        <v>-8.3333333333333329E-2</v>
      </c>
      <c r="AJ26" s="110">
        <f t="shared" si="15"/>
        <v>0</v>
      </c>
      <c r="AK26" s="110"/>
      <c r="AL26" s="110">
        <f t="shared" si="16"/>
        <v>2607.9485714285715</v>
      </c>
      <c r="AM26" s="110"/>
      <c r="AN26" s="110">
        <f t="shared" si="17"/>
        <v>0</v>
      </c>
      <c r="AO26" s="110"/>
      <c r="AP26" s="110">
        <f t="shared" si="18"/>
        <v>0</v>
      </c>
      <c r="AQ26" s="110"/>
      <c r="AR26" s="110">
        <f t="shared" si="19"/>
        <v>8910.4909523811493</v>
      </c>
    </row>
    <row r="27" spans="1:44" s="6" customFormat="1">
      <c r="A27" s="6">
        <v>117317</v>
      </c>
      <c r="B27" s="6" t="s">
        <v>305</v>
      </c>
      <c r="C27" s="26">
        <v>615</v>
      </c>
      <c r="D27" s="27" t="s">
        <v>306</v>
      </c>
      <c r="E27" s="28">
        <v>2014</v>
      </c>
      <c r="F27" s="28">
        <v>11</v>
      </c>
      <c r="G27" s="89">
        <v>0.2</v>
      </c>
      <c r="H27" s="16"/>
      <c r="I27" s="26" t="s">
        <v>51</v>
      </c>
      <c r="J27" s="26">
        <v>7</v>
      </c>
      <c r="K27" s="26">
        <f t="shared" si="0"/>
        <v>2021</v>
      </c>
      <c r="N27" s="29">
        <v>228768.45</v>
      </c>
      <c r="O27" s="30"/>
      <c r="P27" s="16">
        <f>N27-N27*G27</f>
        <v>183014.76</v>
      </c>
      <c r="Q27" s="16">
        <f>P27/J27/12</f>
        <v>2178.747142857143</v>
      </c>
      <c r="R27" s="16">
        <f>IF(O27&gt;0,0,IF(OR(AD27&gt;AE27,AF27&lt;AG27),0,IF(AND(AF27&gt;=AG27,AF27&lt;=AE27),Q27*((AF27-AG27)*12),IF(AND(AG27&lt;=AD27,AE27&gt;=AD27),((AE27-AD27)*12)*Q27,IF(AF27&gt;AE27,12*Q27,0)))))</f>
        <v>26144.965714285718</v>
      </c>
      <c r="S27" s="16">
        <f>IF(O27=0,0,IF(AND(AH27&gt;=AG27,AH27&lt;=AF27),((AH27-AG27)*12)*Q27,0))</f>
        <v>0</v>
      </c>
      <c r="T27" s="16">
        <f>IF(S27&gt;0,S27,R27)</f>
        <v>26144.965714285718</v>
      </c>
      <c r="U27" s="16">
        <v>1</v>
      </c>
      <c r="V27" s="16">
        <f>U27*SUM(R27:S27)</f>
        <v>26144.965714285718</v>
      </c>
      <c r="W27" s="16"/>
      <c r="X27" s="16">
        <f>IF(AD27&gt;AE27,0,IF(AF27&lt;AG27,P27,IF(AND(AF27&gt;=AG27,AF27&lt;=AE27),(P27-T27),IF(AND(AG27&lt;=AD27,AE27&gt;=AD27),0,IF(AF27&gt;AE27,((AG27-AD27)*12)*Q27,0)))))</f>
        <v>56647.425714287696</v>
      </c>
      <c r="Y27" s="16">
        <f>X27*U27</f>
        <v>56647.425714287696</v>
      </c>
      <c r="Z27" s="16">
        <v>1</v>
      </c>
      <c r="AA27" s="16">
        <f>Y27*Z27</f>
        <v>56647.425714287696</v>
      </c>
      <c r="AB27" s="16">
        <f>IF(O27&gt;0,0,AA27+V27*Z27)*Z27</f>
        <v>82792.391428573406</v>
      </c>
      <c r="AC27" s="16">
        <f>IF(O27&gt;0,(N27-AA27)/2,IF(AD27&gt;=AG27,(((N27*U27)*Z27)-AB27)/2,((((N27*U27)*Z27)-AA27)+(((N27*U27)*Z27)-AB27))/2))</f>
        <v>159048.54142856947</v>
      </c>
      <c r="AD27" s="16">
        <f t="shared" si="12"/>
        <v>2014.8333333333333</v>
      </c>
      <c r="AE27" s="16">
        <f t="shared" si="20"/>
        <v>2018</v>
      </c>
      <c r="AF27" s="16">
        <f t="shared" si="13"/>
        <v>2021.8333333333333</v>
      </c>
      <c r="AG27" s="16">
        <f t="shared" si="21"/>
        <v>2017</v>
      </c>
      <c r="AH27" s="16">
        <f t="shared" si="14"/>
        <v>-8.3333333333333329E-2</v>
      </c>
      <c r="AJ27" s="110">
        <f t="shared" si="15"/>
        <v>9466.2806896553211</v>
      </c>
      <c r="AK27" s="110"/>
      <c r="AL27" s="110">
        <f t="shared" si="16"/>
        <v>35611.246403941041</v>
      </c>
      <c r="AM27" s="110"/>
      <c r="AN27" s="110">
        <f t="shared" si="17"/>
        <v>0</v>
      </c>
      <c r="AO27" s="110"/>
      <c r="AP27" s="110">
        <f t="shared" si="18"/>
        <v>154315.4010837418</v>
      </c>
      <c r="AQ27" s="110"/>
      <c r="AR27" s="110">
        <f t="shared" si="19"/>
        <v>154315.4010837418</v>
      </c>
    </row>
    <row r="28" spans="1:44" s="6" customFormat="1">
      <c r="A28" s="6">
        <v>118536</v>
      </c>
      <c r="C28" s="26"/>
      <c r="D28" s="27" t="s">
        <v>307</v>
      </c>
      <c r="E28" s="28">
        <v>2014</v>
      </c>
      <c r="F28" s="28">
        <v>7</v>
      </c>
      <c r="G28" s="89">
        <v>0</v>
      </c>
      <c r="H28" s="16"/>
      <c r="I28" s="26" t="s">
        <v>51</v>
      </c>
      <c r="J28" s="26">
        <v>5</v>
      </c>
      <c r="K28" s="26">
        <f t="shared" si="0"/>
        <v>2019</v>
      </c>
      <c r="N28" s="29">
        <v>825</v>
      </c>
      <c r="O28" s="30"/>
      <c r="P28" s="16">
        <f>N28-N28*G28</f>
        <v>825</v>
      </c>
      <c r="Q28" s="16">
        <f>P28/J28/12</f>
        <v>13.75</v>
      </c>
      <c r="R28" s="16">
        <f>IF(O28&gt;0,0,IF(OR(AD28&gt;AE28,AF28&lt;AG28),0,IF(AND(AF28&gt;=AG28,AF28&lt;=AE28),Q28*((AF28-AG28)*12),IF(AND(AG28&lt;=AD28,AE28&gt;=AD28),((AE28-AD28)*12)*Q28,IF(AF28&gt;AE28,12*Q28,0)))))</f>
        <v>165</v>
      </c>
      <c r="S28" s="16">
        <f>IF(O28=0,0,IF(AND(AH28&gt;=AG28,AH28&lt;=AF28),((AH28-AG28)*12)*Q28,0))</f>
        <v>0</v>
      </c>
      <c r="T28" s="16">
        <f>IF(S28&gt;0,S28,R28)</f>
        <v>165</v>
      </c>
      <c r="U28" s="16">
        <v>1</v>
      </c>
      <c r="V28" s="16">
        <f>U28*SUM(R28:S28)</f>
        <v>165</v>
      </c>
      <c r="W28" s="16"/>
      <c r="X28" s="16">
        <f>IF(AD28&gt;AE28,0,IF(AF28&lt;AG28,P28,IF(AND(AF28&gt;=AG28,AF28&lt;=AE28),(P28-T28),IF(AND(AG28&lt;=AD28,AE28&gt;=AD28),0,IF(AF28&gt;AE28,((AG28-AD28)*12)*Q28,0)))))</f>
        <v>412.5</v>
      </c>
      <c r="Y28" s="16">
        <f>X28*U28</f>
        <v>412.5</v>
      </c>
      <c r="Z28" s="16">
        <v>1</v>
      </c>
      <c r="AA28" s="16">
        <f>Y28*Z28</f>
        <v>412.5</v>
      </c>
      <c r="AB28" s="16">
        <f>IF(O28&gt;0,0,AA28+V28*Z28)*Z28</f>
        <v>577.5</v>
      </c>
      <c r="AC28" s="16">
        <f>IF(O28&gt;0,(N28-AA28)/2,IF(AD28&gt;=AG28,(((N28*U28)*Z28)-AB28)/2,((((N28*U28)*Z28)-AA28)+(((N28*U28)*Z28)-AB28))/2))</f>
        <v>330</v>
      </c>
      <c r="AD28" s="16">
        <f t="shared" si="12"/>
        <v>2014.5</v>
      </c>
      <c r="AE28" s="16">
        <f t="shared" si="20"/>
        <v>2018</v>
      </c>
      <c r="AF28" s="16">
        <f t="shared" si="13"/>
        <v>2019.5</v>
      </c>
      <c r="AG28" s="16">
        <f t="shared" si="21"/>
        <v>2017</v>
      </c>
      <c r="AH28" s="16">
        <f t="shared" si="14"/>
        <v>-8.3333333333333329E-2</v>
      </c>
      <c r="AJ28" s="110">
        <f t="shared" si="15"/>
        <v>0</v>
      </c>
      <c r="AK28" s="110"/>
      <c r="AL28" s="110">
        <f t="shared" si="16"/>
        <v>165</v>
      </c>
      <c r="AM28" s="110"/>
      <c r="AN28" s="110">
        <f t="shared" si="17"/>
        <v>0</v>
      </c>
      <c r="AO28" s="110"/>
      <c r="AP28" s="110">
        <f t="shared" si="18"/>
        <v>0</v>
      </c>
      <c r="AQ28" s="110"/>
      <c r="AR28" s="110">
        <f t="shared" si="19"/>
        <v>330</v>
      </c>
    </row>
    <row r="29" spans="1:44" s="6" customFormat="1">
      <c r="A29" s="6">
        <v>126398</v>
      </c>
      <c r="B29" s="6" t="s">
        <v>319</v>
      </c>
      <c r="C29" s="26">
        <v>886</v>
      </c>
      <c r="D29" s="27" t="s">
        <v>320</v>
      </c>
      <c r="E29" s="28">
        <v>2015</v>
      </c>
      <c r="F29" s="28">
        <v>10</v>
      </c>
      <c r="G29" s="89">
        <v>0.2</v>
      </c>
      <c r="H29" s="16"/>
      <c r="I29" s="26" t="s">
        <v>51</v>
      </c>
      <c r="J29" s="26">
        <v>7</v>
      </c>
      <c r="K29" s="26">
        <f>E29+J29</f>
        <v>2022</v>
      </c>
      <c r="N29" s="29">
        <v>345402.75</v>
      </c>
      <c r="O29" s="30"/>
      <c r="P29" s="16">
        <f>N29-N29*G29</f>
        <v>276322.2</v>
      </c>
      <c r="Q29" s="16">
        <f>P29/J29/12</f>
        <v>3289.5499999999997</v>
      </c>
      <c r="R29" s="16">
        <f>IF(O29&gt;0,0,IF(OR(AD29&gt;AE29,AF29&lt;AG29),0,IF(AND(AF29&gt;=AG29,AF29&lt;=AE29),Q29*((AF29-AG29)*12),IF(AND(AG29&lt;=AD29,AE29&gt;=AD29),((AE29-AD29)*12)*Q29,IF(AF29&gt;AE29,12*Q29,0)))))</f>
        <v>39474.6</v>
      </c>
      <c r="S29" s="16">
        <f>IF(O29=0,0,IF(AND(AH29&gt;=AG29,AH29&lt;=AF29),((AH29-AG29)*12)*Q29,0))</f>
        <v>0</v>
      </c>
      <c r="T29" s="16">
        <f>IF(S29&gt;0,S29,R29)</f>
        <v>39474.6</v>
      </c>
      <c r="U29" s="16">
        <v>1</v>
      </c>
      <c r="V29" s="16">
        <f>U29*SUM(R29:S29)</f>
        <v>39474.6</v>
      </c>
      <c r="W29" s="16"/>
      <c r="X29" s="16">
        <f>IF(AD29&gt;AE29,0,IF(AF29&lt;AG29,P29,IF(AND(AF29&gt;=AG29,AF29&lt;=AE29),(P29-T29),IF(AND(AG29&lt;=AD29,AE29&gt;=AD29),0,IF(AF29&gt;AE29,((AG29-AD29)*12)*Q29,0)))))</f>
        <v>49343.249999999993</v>
      </c>
      <c r="Y29" s="16">
        <f>X29*U29</f>
        <v>49343.249999999993</v>
      </c>
      <c r="Z29" s="16">
        <v>1</v>
      </c>
      <c r="AA29" s="16">
        <f>Y29*Z29</f>
        <v>49343.249999999993</v>
      </c>
      <c r="AB29" s="16">
        <f>IF(O29&gt;0,0,AA29+V29*Z29)*Z29</f>
        <v>88817.849999999991</v>
      </c>
      <c r="AC29" s="16">
        <f>IF(O29&gt;0,(N29-AA29)/2,IF(AD29&gt;=AG29,(((N29*U29)*Z29)-AB29)/2,((((N29*U29)*Z29)-AA29)+(((N29*U29)*Z29)-AB29))/2))</f>
        <v>276322.2</v>
      </c>
      <c r="AD29" s="16">
        <f t="shared" si="12"/>
        <v>2015.75</v>
      </c>
      <c r="AE29" s="16">
        <f t="shared" si="20"/>
        <v>2018</v>
      </c>
      <c r="AF29" s="16">
        <f t="shared" si="13"/>
        <v>2022.75</v>
      </c>
      <c r="AG29" s="16">
        <f t="shared" si="21"/>
        <v>2017</v>
      </c>
      <c r="AH29" s="16">
        <f t="shared" si="14"/>
        <v>-8.3333333333333329E-2</v>
      </c>
      <c r="AJ29" s="110">
        <f t="shared" si="15"/>
        <v>12014.008695652172</v>
      </c>
      <c r="AK29" s="110"/>
      <c r="AL29" s="110">
        <f t="shared" si="16"/>
        <v>51488.608695652169</v>
      </c>
      <c r="AM29" s="110"/>
      <c r="AN29" s="110">
        <f t="shared" si="17"/>
        <v>0</v>
      </c>
      <c r="AO29" s="110"/>
      <c r="AP29" s="110">
        <f t="shared" si="18"/>
        <v>270315.19565217395</v>
      </c>
      <c r="AQ29" s="110"/>
      <c r="AR29" s="110">
        <f t="shared" si="19"/>
        <v>270315.19565217395</v>
      </c>
    </row>
    <row r="30" spans="1:44" s="6" customFormat="1">
      <c r="C30" s="26"/>
      <c r="D30" s="27"/>
      <c r="E30" s="28"/>
      <c r="F30" s="28"/>
      <c r="G30" s="89"/>
      <c r="H30" s="16"/>
      <c r="I30" s="26"/>
      <c r="J30" s="26"/>
      <c r="K30" s="26"/>
      <c r="N30" s="29"/>
      <c r="O30" s="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J30" s="110">
        <f t="shared" si="15"/>
        <v>0</v>
      </c>
      <c r="AK30" s="110"/>
      <c r="AL30" s="110">
        <f t="shared" si="16"/>
        <v>0</v>
      </c>
      <c r="AM30" s="110"/>
      <c r="AN30" s="110">
        <f t="shared" si="17"/>
        <v>0</v>
      </c>
      <c r="AO30" s="110"/>
      <c r="AP30" s="110">
        <f t="shared" si="18"/>
        <v>0</v>
      </c>
      <c r="AQ30" s="110"/>
      <c r="AR30" s="110">
        <f t="shared" si="19"/>
        <v>0</v>
      </c>
    </row>
    <row r="31" spans="1:44" s="6" customFormat="1">
      <c r="A31" s="6">
        <v>174651</v>
      </c>
      <c r="B31" s="6" t="s">
        <v>366</v>
      </c>
      <c r="C31" s="26"/>
      <c r="D31" s="27" t="s">
        <v>367</v>
      </c>
      <c r="E31" s="28">
        <v>2009</v>
      </c>
      <c r="F31" s="28">
        <v>11</v>
      </c>
      <c r="G31" s="89">
        <v>0</v>
      </c>
      <c r="H31" s="16"/>
      <c r="I31" s="26" t="s">
        <v>51</v>
      </c>
      <c r="J31" s="26">
        <v>7</v>
      </c>
      <c r="K31" s="26">
        <f>E31+J31</f>
        <v>2016</v>
      </c>
      <c r="N31" s="29">
        <v>143203.54999999999</v>
      </c>
      <c r="O31" s="30"/>
      <c r="P31" s="16">
        <f>N31-N31*G31</f>
        <v>143203.54999999999</v>
      </c>
      <c r="Q31" s="16">
        <f>P31/J31/12</f>
        <v>1704.8041666666666</v>
      </c>
      <c r="R31" s="16">
        <f>IF(O31&gt;0,0,IF(OR(AD31&gt;AE31,AF31&lt;AG31),0,IF(AND(AF31&gt;=AG31,AF31&lt;=AE31),Q31*((AF31-AG31)*12),IF(AND(AG31&lt;=AD31,AE31&gt;=AD31),((AE31-AD31)*12)*Q31,IF(AF31&gt;AE31,12*Q31,0)))))</f>
        <v>0</v>
      </c>
      <c r="S31" s="16">
        <f>IF(O31=0,0,IF(AND(AH31&gt;=AG31,AH31&lt;=AF31),((AH31-AG31)*12)*Q31,0))</f>
        <v>0</v>
      </c>
      <c r="T31" s="16">
        <f>IF(S31&gt;0,S31,R31)</f>
        <v>0</v>
      </c>
      <c r="U31" s="16">
        <v>1</v>
      </c>
      <c r="V31" s="16">
        <f>U31*SUM(R31:S31)</f>
        <v>0</v>
      </c>
      <c r="W31" s="16"/>
      <c r="X31" s="16">
        <f>IF(AD31&gt;AE31,0,IF(AF31&lt;AG31,P31,IF(AND(AF31&gt;=AG31,AF31&lt;=AE31),(P31-T31),IF(AND(AG31&lt;=AD31,AE31&gt;=AD31),0,IF(AF31&gt;AE31,((AG31-AD31)*12)*Q31,0)))))</f>
        <v>143203.54999999999</v>
      </c>
      <c r="Y31" s="16">
        <f>X31*U31</f>
        <v>143203.54999999999</v>
      </c>
      <c r="Z31" s="16">
        <v>1</v>
      </c>
      <c r="AA31" s="16">
        <f>Y31*Z31</f>
        <v>143203.54999999999</v>
      </c>
      <c r="AB31" s="16">
        <f>IF(O31&gt;0,0,AA31+V31*Z31)*Z31</f>
        <v>143203.54999999999</v>
      </c>
      <c r="AC31" s="16">
        <f>IF(O31&gt;0,(N31-AA31)/2,IF(AD31&gt;=AG31,(((N31*U31)*Z31)-AB31)/2,((((N31*U31)*Z31)-AA31)+(((N31*U31)*Z31)-AB31))/2))</f>
        <v>0</v>
      </c>
      <c r="AD31" s="16">
        <f t="shared" si="12"/>
        <v>2009.8333333333333</v>
      </c>
      <c r="AE31" s="16">
        <f>($P$5+1)-($P$2/12)</f>
        <v>2018</v>
      </c>
      <c r="AF31" s="16">
        <f t="shared" si="13"/>
        <v>2016.8333333333333</v>
      </c>
      <c r="AG31" s="16">
        <f>$P$4+($P$3/12)</f>
        <v>2017</v>
      </c>
      <c r="AH31" s="16">
        <f t="shared" si="14"/>
        <v>-8.3333333333333329E-2</v>
      </c>
      <c r="AJ31" s="110">
        <f t="shared" si="15"/>
        <v>0</v>
      </c>
      <c r="AK31" s="110"/>
      <c r="AL31" s="110">
        <f t="shared" si="16"/>
        <v>0</v>
      </c>
      <c r="AM31" s="110"/>
      <c r="AN31" s="110">
        <f t="shared" si="17"/>
        <v>0</v>
      </c>
      <c r="AO31" s="110"/>
      <c r="AP31" s="110">
        <f t="shared" si="18"/>
        <v>0</v>
      </c>
      <c r="AQ31" s="110"/>
      <c r="AR31" s="110">
        <f t="shared" si="19"/>
        <v>0</v>
      </c>
    </row>
    <row r="32" spans="1:44" s="6" customFormat="1">
      <c r="A32" s="6" t="s">
        <v>372</v>
      </c>
      <c r="B32" s="6" t="s">
        <v>202</v>
      </c>
      <c r="C32" s="26">
        <v>603</v>
      </c>
      <c r="D32" s="27" t="s">
        <v>373</v>
      </c>
      <c r="E32" s="28">
        <v>2017</v>
      </c>
      <c r="F32" s="28">
        <v>4</v>
      </c>
      <c r="G32" s="89">
        <v>0</v>
      </c>
      <c r="H32" s="16"/>
      <c r="I32" s="26" t="s">
        <v>51</v>
      </c>
      <c r="J32" s="26">
        <v>3</v>
      </c>
      <c r="K32" s="26">
        <f>E32+J32</f>
        <v>2020</v>
      </c>
      <c r="N32" s="29">
        <f>11349.3+1400</f>
        <v>12749.3</v>
      </c>
      <c r="O32" s="30"/>
      <c r="P32" s="16">
        <f>N32-N32*G32</f>
        <v>12749.3</v>
      </c>
      <c r="Q32" s="16">
        <f>P32/J32/12</f>
        <v>354.14722222222218</v>
      </c>
      <c r="R32" s="16">
        <f>IF(O32&gt;0,0,IF(OR(AD32&gt;AE32,AF32&lt;AG32),0,IF(AND(AF32&gt;=AG32,AF32&lt;=AE32),Q32*((AF32-AG32)*12),IF(AND(AG32&lt;=AD32,AE32&gt;=AD32),((AE32-AD32)*12)*Q32,IF(AF32&gt;AE32,12*Q32,0)))))</f>
        <v>3187.3249999999998</v>
      </c>
      <c r="S32" s="16">
        <f>IF(O32=0,0,IF(AND(AH32&gt;=AG32,AH32&lt;=AF32),((AH32-AG32)*12)*Q32,0))</f>
        <v>0</v>
      </c>
      <c r="T32" s="16">
        <f>IF(S32&gt;0,S32,R32)</f>
        <v>3187.3249999999998</v>
      </c>
      <c r="U32" s="16">
        <v>1</v>
      </c>
      <c r="V32" s="16">
        <f>U32*SUM(R32:S32)</f>
        <v>3187.3249999999998</v>
      </c>
      <c r="W32" s="16"/>
      <c r="X32" s="16">
        <f>IF(AD32&gt;AE32,0,IF(AF32&lt;AG32,P32,IF(AND(AF32&gt;=AG32,AF32&lt;=AE32),(P32-T32),IF(AND(AG32&lt;=AD32,AE32&gt;=AD32),0,IF(AF32&gt;AE32,((AG32-AD32)*12)*Q32,0)))))</f>
        <v>0</v>
      </c>
      <c r="Y32" s="16">
        <f>X32*U32</f>
        <v>0</v>
      </c>
      <c r="Z32" s="16">
        <v>1</v>
      </c>
      <c r="AA32" s="16">
        <f>Y32*Z32</f>
        <v>0</v>
      </c>
      <c r="AB32" s="16">
        <f>IF(O32&gt;0,0,AA32+V32*Z32)*Z32</f>
        <v>3187.3249999999998</v>
      </c>
      <c r="AC32" s="16">
        <f>IF(O32&gt;0,(N32-AA32)/2,IF(AD32&gt;=AG32,(((N32*U32)*Z32)-AB32)/2,((((N32*U32)*Z32)-AA32)+(((N32*U32)*Z32)-AB32))/2))</f>
        <v>4780.9874999999993</v>
      </c>
      <c r="AD32" s="16">
        <f t="shared" si="12"/>
        <v>2017.25</v>
      </c>
      <c r="AE32" s="16">
        <f>($P$5+1)-($P$2/12)</f>
        <v>2018</v>
      </c>
      <c r="AF32" s="16">
        <f t="shared" si="13"/>
        <v>2020.25</v>
      </c>
      <c r="AG32" s="16">
        <f>$P$4+($P$3/12)</f>
        <v>2017</v>
      </c>
      <c r="AH32" s="16">
        <f t="shared" si="14"/>
        <v>-8.3333333333333329E-2</v>
      </c>
      <c r="AJ32" s="110">
        <f t="shared" si="15"/>
        <v>0</v>
      </c>
      <c r="AK32" s="110"/>
      <c r="AL32" s="110">
        <f t="shared" si="16"/>
        <v>3187.3249999999998</v>
      </c>
      <c r="AM32" s="110"/>
      <c r="AN32" s="110">
        <f t="shared" si="17"/>
        <v>0</v>
      </c>
      <c r="AO32" s="110"/>
      <c r="AP32" s="110">
        <f t="shared" si="18"/>
        <v>0</v>
      </c>
      <c r="AQ32" s="110"/>
      <c r="AR32" s="110">
        <f t="shared" si="19"/>
        <v>4780.9874999999993</v>
      </c>
    </row>
    <row r="33" spans="1:44" s="6" customFormat="1">
      <c r="A33" s="6" t="s">
        <v>376</v>
      </c>
      <c r="B33" s="6" t="s">
        <v>250</v>
      </c>
      <c r="C33" s="26">
        <v>887</v>
      </c>
      <c r="D33" s="27" t="s">
        <v>377</v>
      </c>
      <c r="E33" s="28">
        <v>2017</v>
      </c>
      <c r="F33" s="28">
        <v>7</v>
      </c>
      <c r="G33" s="89">
        <v>0</v>
      </c>
      <c r="H33" s="16"/>
      <c r="I33" s="26" t="s">
        <v>51</v>
      </c>
      <c r="J33" s="26">
        <v>10</v>
      </c>
      <c r="K33" s="26">
        <f>E33+J33</f>
        <v>2027</v>
      </c>
      <c r="N33" s="29">
        <f>328375.48+692</f>
        <v>329067.48</v>
      </c>
      <c r="O33" s="30"/>
      <c r="P33" s="16">
        <f>N33-N33*G33</f>
        <v>329067.48</v>
      </c>
      <c r="Q33" s="16">
        <f>P33/J33/12</f>
        <v>2742.2289999999998</v>
      </c>
      <c r="R33" s="16">
        <f>IF(O33&gt;0,0,IF(OR(AD33&gt;AE33,AF33&lt;AG33),0,IF(AND(AF33&gt;=AG33,AF33&lt;=AE33),Q33*((AF33-AG33)*12),IF(AND(AG33&lt;=AD33,AE33&gt;=AD33),((AE33-AD33)*12)*Q33,IF(AF33&gt;AE33,12*Q33,0)))))</f>
        <v>16453.374</v>
      </c>
      <c r="S33" s="16">
        <f>IF(O33=0,0,IF(AND(AH33&gt;=AG33,AH33&lt;=AF33),((AH33-AG33)*12)*Q33,0))</f>
        <v>0</v>
      </c>
      <c r="T33" s="16">
        <f>IF(S33&gt;0,S33,R33)</f>
        <v>16453.374</v>
      </c>
      <c r="U33" s="16">
        <v>1</v>
      </c>
      <c r="V33" s="16">
        <f>U33*SUM(R33:S33)</f>
        <v>16453.374</v>
      </c>
      <c r="W33" s="16"/>
      <c r="X33" s="16">
        <f>IF(AD33&gt;AE33,0,IF(AF33&lt;AG33,P33,IF(AND(AF33&gt;=AG33,AF33&lt;=AE33),(P33-T33),IF(AND(AG33&lt;=AD33,AE33&gt;=AD33),0,IF(AF33&gt;AE33,((AG33-AD33)*12)*Q33,0)))))</f>
        <v>0</v>
      </c>
      <c r="Y33" s="16">
        <f>X33*U33</f>
        <v>0</v>
      </c>
      <c r="Z33" s="16">
        <v>1</v>
      </c>
      <c r="AA33" s="16">
        <f>Y33*Z33</f>
        <v>0</v>
      </c>
      <c r="AB33" s="16">
        <f>IF(O33&gt;0,0,AA33+V33*Z33)*Z33</f>
        <v>16453.374</v>
      </c>
      <c r="AC33" s="16">
        <f>IF(O33&gt;0,(N33-AA33)/2,IF(AD33&gt;=AG33,(((N33*U33)*Z33)-AB33)/2,((((N33*U33)*Z33)-AA33)+(((N33*U33)*Z33)-AB33))/2))</f>
        <v>156307.05299999999</v>
      </c>
      <c r="AD33" s="16">
        <f t="shared" si="12"/>
        <v>2017.5</v>
      </c>
      <c r="AE33" s="16">
        <f>($P$5+1)-($P$2/12)</f>
        <v>2018</v>
      </c>
      <c r="AF33" s="16">
        <f t="shared" si="13"/>
        <v>2027.5</v>
      </c>
      <c r="AG33" s="16">
        <f>$P$4+($P$3/12)</f>
        <v>2017</v>
      </c>
      <c r="AH33" s="16">
        <f t="shared" si="14"/>
        <v>-8.3333333333333329E-2</v>
      </c>
      <c r="AJ33" s="110">
        <f t="shared" si="15"/>
        <v>0</v>
      </c>
      <c r="AK33" s="110"/>
      <c r="AL33" s="110">
        <f t="shared" si="16"/>
        <v>16453.374</v>
      </c>
      <c r="AM33" s="110"/>
      <c r="AN33" s="110">
        <f t="shared" si="17"/>
        <v>0</v>
      </c>
      <c r="AO33" s="110"/>
      <c r="AP33" s="110">
        <f t="shared" si="18"/>
        <v>0</v>
      </c>
      <c r="AQ33" s="110"/>
      <c r="AR33" s="110">
        <f t="shared" si="19"/>
        <v>156307.05299999999</v>
      </c>
    </row>
    <row r="34" spans="1:44" s="6" customFormat="1">
      <c r="C34" s="26"/>
      <c r="D34" s="27"/>
      <c r="E34" s="28"/>
      <c r="F34" s="28"/>
      <c r="G34" s="89"/>
      <c r="I34" s="26"/>
      <c r="J34" s="26"/>
      <c r="K34" s="26"/>
      <c r="N34" s="30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6" customFormat="1">
      <c r="B35" s="31"/>
      <c r="C35" s="31"/>
      <c r="D35" s="50" t="s">
        <v>111</v>
      </c>
      <c r="E35" s="32"/>
      <c r="F35" s="32"/>
      <c r="G35" s="33"/>
      <c r="I35" s="26"/>
      <c r="J35" s="32"/>
      <c r="K35" s="32"/>
      <c r="N35" s="34">
        <f>SUM(N12:N34)</f>
        <v>3390564.6100000003</v>
      </c>
      <c r="P35" s="34">
        <f>SUM(P12:P34)</f>
        <v>2830237.8219999997</v>
      </c>
      <c r="Q35" s="34">
        <f>SUM(Q12:Q34)</f>
        <v>32582.673364285714</v>
      </c>
      <c r="R35" s="34">
        <f>SUM(R12:R34)</f>
        <v>149334.76257142858</v>
      </c>
      <c r="S35" s="34"/>
      <c r="T35" s="34">
        <f>SUM(T12:T34)</f>
        <v>149334.76257142858</v>
      </c>
      <c r="U35" s="34"/>
      <c r="V35" s="34">
        <f>SUM(V12:V34)</f>
        <v>149334.76257142858</v>
      </c>
      <c r="W35" s="34"/>
      <c r="X35" s="34">
        <f>SUM(X12:X34)</f>
        <v>1910034.8033095214</v>
      </c>
      <c r="Y35" s="34">
        <f>SUM(Y12:Y34)</f>
        <v>1910034.8033095214</v>
      </c>
      <c r="Z35" s="34"/>
      <c r="AA35" s="34">
        <f>SUM(AA12:AA34)</f>
        <v>1910034.8033095214</v>
      </c>
      <c r="AB35" s="34">
        <f>SUM(AB12:AB34)</f>
        <v>2059369.5658809498</v>
      </c>
      <c r="AC35" s="34">
        <f>SUM(AC12:AC34)</f>
        <v>1234954.0354047648</v>
      </c>
      <c r="AD35" s="16"/>
      <c r="AE35" s="16"/>
      <c r="AF35" s="16"/>
      <c r="AG35" s="16"/>
      <c r="AH35" s="16"/>
      <c r="AJ35" s="114">
        <f t="shared" ref="AJ35:AR35" si="22">SUM(AJ12:AJ34)</f>
        <v>169977.8053853075</v>
      </c>
      <c r="AK35" s="114">
        <f t="shared" si="22"/>
        <v>0</v>
      </c>
      <c r="AL35" s="114">
        <f t="shared" si="22"/>
        <v>304992.2129567361</v>
      </c>
      <c r="AM35" s="114">
        <f t="shared" si="22"/>
        <v>0</v>
      </c>
      <c r="AN35" s="114">
        <f t="shared" si="22"/>
        <v>-357046.94799999997</v>
      </c>
      <c r="AO35" s="114">
        <f t="shared" si="22"/>
        <v>0</v>
      </c>
      <c r="AP35" s="114">
        <f t="shared" si="22"/>
        <v>600948.79959306214</v>
      </c>
      <c r="AQ35" s="114">
        <f t="shared" si="22"/>
        <v>0</v>
      </c>
      <c r="AR35" s="114">
        <f t="shared" si="22"/>
        <v>771277.33104544331</v>
      </c>
    </row>
    <row r="36" spans="1:44" s="6" customFormat="1">
      <c r="B36" s="31"/>
      <c r="C36" s="31"/>
      <c r="D36" s="50"/>
      <c r="E36" s="32"/>
      <c r="F36" s="32"/>
      <c r="G36" s="33"/>
      <c r="I36" s="26"/>
      <c r="J36" s="32"/>
      <c r="K36" s="32"/>
      <c r="N36" s="80"/>
      <c r="P36" s="80"/>
      <c r="Q36" s="34"/>
      <c r="R36" s="34"/>
      <c r="S36" s="34"/>
      <c r="T36" s="34"/>
      <c r="U36" s="16"/>
      <c r="V36" s="34"/>
      <c r="W36" s="16"/>
      <c r="X36" s="34"/>
      <c r="Y36" s="34"/>
      <c r="Z36" s="34"/>
      <c r="AA36" s="34"/>
      <c r="AB36" s="34"/>
      <c r="AC36" s="34"/>
      <c r="AD36" s="16"/>
      <c r="AE36" s="16"/>
      <c r="AF36" s="16"/>
      <c r="AG36" s="16"/>
      <c r="AH36" s="16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6" customFormat="1">
      <c r="B37" s="31"/>
      <c r="C37" s="31"/>
      <c r="D37" s="50" t="s">
        <v>215</v>
      </c>
      <c r="E37" s="32"/>
      <c r="F37" s="32"/>
      <c r="G37" s="33"/>
      <c r="I37" s="26"/>
      <c r="J37" s="32"/>
      <c r="K37" s="32"/>
      <c r="N37" s="34"/>
      <c r="P37" s="34"/>
      <c r="Q37" s="34"/>
      <c r="R37" s="34"/>
      <c r="S37" s="34"/>
      <c r="T37" s="34"/>
      <c r="U37" s="16"/>
      <c r="V37" s="34"/>
      <c r="W37" s="16"/>
      <c r="X37" s="34"/>
      <c r="Y37" s="34"/>
      <c r="Z37" s="34"/>
      <c r="AA37" s="34"/>
      <c r="AB37" s="34"/>
      <c r="AC37" s="34"/>
      <c r="AD37" s="16"/>
      <c r="AE37" s="16"/>
      <c r="AF37" s="16"/>
      <c r="AG37" s="16"/>
      <c r="AH37" s="16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6" customFormat="1">
      <c r="AJ38" s="110"/>
      <c r="AK38" s="110"/>
      <c r="AL38" s="110"/>
      <c r="AM38" s="110"/>
      <c r="AN38" s="110"/>
      <c r="AO38" s="110"/>
      <c r="AP38" s="110"/>
      <c r="AQ38" s="110"/>
      <c r="AR38" s="110"/>
    </row>
    <row r="39" spans="1:44" s="6" customFormat="1"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6" customFormat="1">
      <c r="A40" s="6">
        <v>34942</v>
      </c>
      <c r="B40" s="6" t="s">
        <v>53</v>
      </c>
      <c r="C40" s="26">
        <v>401</v>
      </c>
      <c r="D40" s="27" t="s">
        <v>110</v>
      </c>
      <c r="E40" s="28">
        <v>2005</v>
      </c>
      <c r="F40" s="28">
        <v>5</v>
      </c>
      <c r="G40" s="89">
        <v>0.2</v>
      </c>
      <c r="I40" s="26" t="s">
        <v>51</v>
      </c>
      <c r="J40" s="26">
        <v>7</v>
      </c>
      <c r="K40" s="26">
        <f t="shared" ref="K40:K47" si="23">E40+J40</f>
        <v>2012</v>
      </c>
      <c r="N40" s="30">
        <f>115282.28+50797.89</f>
        <v>166080.16999999998</v>
      </c>
      <c r="P40" s="16">
        <f t="shared" ref="P40:P47" si="24">N40-N40*G40</f>
        <v>132864.136</v>
      </c>
      <c r="Q40" s="16">
        <f t="shared" ref="Q40:Q47" si="25">P40/J40/12</f>
        <v>1581.7159047619045</v>
      </c>
      <c r="R40" s="16">
        <f t="shared" ref="R40:R46" si="26">IF(O40&gt;0,0,IF(OR(AD40&gt;AE40,AF40&lt;AG40),0,IF(AND(AF40&gt;=AG40,AF40&lt;=AE40),Q40*((AF40-AG40)*12),IF(AND(AG40&lt;=AD40,AE40&gt;=AD40),((AE40-AD40)*12)*Q40,IF(AF40&gt;AE40,12*Q40,0)))))</f>
        <v>0</v>
      </c>
      <c r="S40" s="16">
        <f t="shared" ref="S40:S46" si="27">IF(O40=0,0,IF(AND(AH40&gt;=AG40,AH40&lt;=AF40),((AH40-AG40)*12)*Q40,0))</f>
        <v>0</v>
      </c>
      <c r="T40" s="16">
        <f t="shared" ref="T40:T46" si="28">IF(S40&gt;0,S40,R40)</f>
        <v>0</v>
      </c>
      <c r="U40" s="16">
        <v>1</v>
      </c>
      <c r="V40" s="16">
        <f t="shared" ref="V40:V46" si="29">U40*SUM(R40:S40)</f>
        <v>0</v>
      </c>
      <c r="W40" s="16"/>
      <c r="X40" s="16">
        <f t="shared" ref="X40:X48" si="30">IF(AD40&gt;AE40,0,IF(AF40&lt;AG40,P40,IF(AND(AF40&gt;=AG40,AF40&lt;=AE40),(P40-T40),IF(AND(AG40&lt;=AD40,AE40&gt;=AD40),0,IF(AF40&gt;AE40,((AG40-AD40)*12)*Q40,0)))))</f>
        <v>132864.136</v>
      </c>
      <c r="Y40" s="16">
        <f t="shared" ref="Y40:Y48" si="31">X40*U40</f>
        <v>132864.136</v>
      </c>
      <c r="Z40" s="16">
        <v>1</v>
      </c>
      <c r="AA40" s="16">
        <f t="shared" ref="AA40:AA48" si="32">Y40*Z40</f>
        <v>132864.136</v>
      </c>
      <c r="AB40" s="16">
        <f t="shared" ref="AB40:AB48" si="33">IF(O40&gt;0,0,AA40+V40*Z40)*Z40</f>
        <v>132864.136</v>
      </c>
      <c r="AC40" s="16">
        <f t="shared" ref="AC40:AC48" si="34">IF(O40&gt;0,(N40-AA40)/2,IF(AD40&gt;=AG40,(((N40*U40)*Z40)-AB40)/2,((((N40*U40)*Z40)-AA40)+(((N40*U40)*Z40)-AB40))/2))</f>
        <v>33216.033999999985</v>
      </c>
      <c r="AD40" s="16">
        <f t="shared" ref="AD40:AD51" si="35">$E40+(($F40-1)/12)</f>
        <v>2005.3333333333333</v>
      </c>
      <c r="AE40" s="16">
        <f t="shared" ref="AE40:AE51" si="36">($P$5+1)-($P$2/12)</f>
        <v>2018</v>
      </c>
      <c r="AF40" s="16">
        <f t="shared" ref="AF40:AF51" si="37">$K40+(($F40-1)/12)</f>
        <v>2012.3333333333333</v>
      </c>
      <c r="AG40" s="16">
        <f t="shared" ref="AG40:AG51" si="38">$P$4+($P$3/12)</f>
        <v>2017</v>
      </c>
      <c r="AH40" s="16">
        <f t="shared" ref="AH40:AH51" si="39">$L40+(($M40-1)/12)</f>
        <v>-8.3333333333333329E-2</v>
      </c>
      <c r="AJ40" s="110">
        <f t="shared" ref="AJ40:AJ51" si="40">+IF((AF40-AG40)&gt;3,((N40-P40)/(AF40-AG40)),(N40-P40)/3)</f>
        <v>11072.011333333328</v>
      </c>
      <c r="AK40" s="110"/>
      <c r="AL40" s="110">
        <f t="shared" ref="AL40:AL51" si="41">+AJ40+V40</f>
        <v>11072.011333333328</v>
      </c>
      <c r="AM40" s="110"/>
      <c r="AN40" s="110">
        <f t="shared" ref="AN40:AN51" si="42">+IF(AF40&lt;AG40,-AC40,0)</f>
        <v>-33216.033999999985</v>
      </c>
      <c r="AO40" s="110"/>
      <c r="AP40" s="110">
        <f t="shared" ref="AP40:AP51" si="43">IF(AF40&gt;AG40,IF(AJ40&gt;0,IF(O40&gt;0,(N40-AA40)/2,IF(AD40&gt;=AG40,(((N40*U40)*Z40)-(AB40+AJ40))/2,((((N40*U40)*Z40)-AA40)+(((N40*U40)*Z40)-(AB40+AJ40)))/2)),0),0)</f>
        <v>0</v>
      </c>
      <c r="AQ40" s="110"/>
      <c r="AR40" s="110">
        <f t="shared" ref="AR40:AR51" si="44">+AC40+AN40+(IF(AP40&gt;0,(AP40-AC40),0))</f>
        <v>0</v>
      </c>
    </row>
    <row r="41" spans="1:44" s="6" customFormat="1">
      <c r="A41" s="6">
        <v>42965</v>
      </c>
      <c r="B41" s="6" t="s">
        <v>53</v>
      </c>
      <c r="C41" s="26">
        <v>402</v>
      </c>
      <c r="D41" s="27" t="s">
        <v>199</v>
      </c>
      <c r="E41" s="28">
        <v>2006</v>
      </c>
      <c r="F41" s="28">
        <v>6</v>
      </c>
      <c r="G41" s="89">
        <v>0.2</v>
      </c>
      <c r="I41" s="26" t="s">
        <v>51</v>
      </c>
      <c r="J41" s="26">
        <v>7</v>
      </c>
      <c r="K41" s="26">
        <f t="shared" si="23"/>
        <v>2013</v>
      </c>
      <c r="N41" s="30">
        <v>177437.82</v>
      </c>
      <c r="P41" s="16">
        <f t="shared" si="24"/>
        <v>141950.25599999999</v>
      </c>
      <c r="Q41" s="16">
        <f t="shared" si="25"/>
        <v>1689.884</v>
      </c>
      <c r="R41" s="16">
        <f t="shared" si="26"/>
        <v>0</v>
      </c>
      <c r="S41" s="16">
        <f t="shared" si="27"/>
        <v>0</v>
      </c>
      <c r="T41" s="16">
        <f t="shared" si="28"/>
        <v>0</v>
      </c>
      <c r="U41" s="16">
        <v>1</v>
      </c>
      <c r="V41" s="16">
        <f t="shared" si="29"/>
        <v>0</v>
      </c>
      <c r="W41" s="16"/>
      <c r="X41" s="16">
        <f t="shared" si="30"/>
        <v>141950.25599999999</v>
      </c>
      <c r="Y41" s="16">
        <f t="shared" si="31"/>
        <v>141950.25599999999</v>
      </c>
      <c r="Z41" s="16">
        <v>1</v>
      </c>
      <c r="AA41" s="16">
        <f t="shared" si="32"/>
        <v>141950.25599999999</v>
      </c>
      <c r="AB41" s="16">
        <f t="shared" si="33"/>
        <v>141950.25599999999</v>
      </c>
      <c r="AC41" s="16">
        <f t="shared" si="34"/>
        <v>35487.564000000013</v>
      </c>
      <c r="AD41" s="16">
        <f t="shared" si="35"/>
        <v>2006.4166666666667</v>
      </c>
      <c r="AE41" s="16">
        <f t="shared" si="36"/>
        <v>2018</v>
      </c>
      <c r="AF41" s="16">
        <f t="shared" si="37"/>
        <v>2013.4166666666667</v>
      </c>
      <c r="AG41" s="16">
        <f t="shared" si="38"/>
        <v>2017</v>
      </c>
      <c r="AH41" s="16">
        <f t="shared" si="39"/>
        <v>-8.3333333333333329E-2</v>
      </c>
      <c r="AJ41" s="110">
        <f t="shared" si="40"/>
        <v>11829.188000000004</v>
      </c>
      <c r="AK41" s="110"/>
      <c r="AL41" s="110">
        <f t="shared" si="41"/>
        <v>11829.188000000004</v>
      </c>
      <c r="AM41" s="110"/>
      <c r="AN41" s="110">
        <f t="shared" si="42"/>
        <v>-35487.564000000013</v>
      </c>
      <c r="AO41" s="110"/>
      <c r="AP41" s="110">
        <f t="shared" si="43"/>
        <v>0</v>
      </c>
      <c r="AQ41" s="110"/>
      <c r="AR41" s="110">
        <f t="shared" si="44"/>
        <v>0</v>
      </c>
    </row>
    <row r="42" spans="1:44" s="6" customFormat="1">
      <c r="A42" s="6">
        <v>74012</v>
      </c>
      <c r="B42" s="6" t="s">
        <v>53</v>
      </c>
      <c r="C42" s="26">
        <v>404</v>
      </c>
      <c r="D42" s="27" t="s">
        <v>284</v>
      </c>
      <c r="E42" s="28">
        <v>2008</v>
      </c>
      <c r="F42" s="28">
        <v>11</v>
      </c>
      <c r="G42" s="89">
        <v>0.33</v>
      </c>
      <c r="I42" s="26" t="s">
        <v>51</v>
      </c>
      <c r="J42" s="26">
        <v>5</v>
      </c>
      <c r="K42" s="26">
        <f t="shared" si="23"/>
        <v>2013</v>
      </c>
      <c r="N42" s="30">
        <v>61500</v>
      </c>
      <c r="P42" s="16">
        <f t="shared" si="24"/>
        <v>41205</v>
      </c>
      <c r="Q42" s="16">
        <f t="shared" si="25"/>
        <v>686.75</v>
      </c>
      <c r="R42" s="16">
        <f t="shared" si="26"/>
        <v>0</v>
      </c>
      <c r="S42" s="16">
        <f t="shared" si="27"/>
        <v>0</v>
      </c>
      <c r="T42" s="16">
        <f t="shared" si="28"/>
        <v>0</v>
      </c>
      <c r="U42" s="16">
        <v>1</v>
      </c>
      <c r="V42" s="16">
        <f t="shared" si="29"/>
        <v>0</v>
      </c>
      <c r="W42" s="16"/>
      <c r="X42" s="16">
        <f t="shared" si="30"/>
        <v>41205</v>
      </c>
      <c r="Y42" s="16">
        <f t="shared" si="31"/>
        <v>41205</v>
      </c>
      <c r="Z42" s="16">
        <v>1</v>
      </c>
      <c r="AA42" s="16">
        <f t="shared" si="32"/>
        <v>41205</v>
      </c>
      <c r="AB42" s="16">
        <f t="shared" si="33"/>
        <v>41205</v>
      </c>
      <c r="AC42" s="16">
        <f t="shared" si="34"/>
        <v>20295</v>
      </c>
      <c r="AD42" s="16">
        <f t="shared" si="35"/>
        <v>2008.8333333333333</v>
      </c>
      <c r="AE42" s="16">
        <f t="shared" si="36"/>
        <v>2018</v>
      </c>
      <c r="AF42" s="16">
        <f t="shared" si="37"/>
        <v>2013.8333333333333</v>
      </c>
      <c r="AG42" s="16">
        <f t="shared" si="38"/>
        <v>2017</v>
      </c>
      <c r="AH42" s="16">
        <f t="shared" si="39"/>
        <v>-8.3333333333333329E-2</v>
      </c>
      <c r="AJ42" s="110">
        <f t="shared" si="40"/>
        <v>6765</v>
      </c>
      <c r="AK42" s="110"/>
      <c r="AL42" s="110">
        <f t="shared" si="41"/>
        <v>6765</v>
      </c>
      <c r="AM42" s="110"/>
      <c r="AN42" s="110">
        <f t="shared" si="42"/>
        <v>-20295</v>
      </c>
      <c r="AO42" s="110"/>
      <c r="AP42" s="110">
        <f t="shared" si="43"/>
        <v>0</v>
      </c>
      <c r="AQ42" s="110"/>
      <c r="AR42" s="110">
        <f t="shared" si="44"/>
        <v>0</v>
      </c>
    </row>
    <row r="43" spans="1:44" s="6" customFormat="1">
      <c r="B43" s="6" t="s">
        <v>53</v>
      </c>
      <c r="C43" s="26" t="s">
        <v>190</v>
      </c>
      <c r="D43" s="27" t="s">
        <v>219</v>
      </c>
      <c r="E43" s="28">
        <v>2009</v>
      </c>
      <c r="F43" s="28">
        <v>8</v>
      </c>
      <c r="G43" s="89">
        <v>0</v>
      </c>
      <c r="I43" s="26" t="s">
        <v>51</v>
      </c>
      <c r="J43" s="26">
        <v>7</v>
      </c>
      <c r="K43" s="26">
        <f t="shared" si="23"/>
        <v>2016</v>
      </c>
      <c r="N43" s="29">
        <f>4*594.89+4*300</f>
        <v>3579.56</v>
      </c>
      <c r="P43" s="16">
        <f t="shared" si="24"/>
        <v>3579.56</v>
      </c>
      <c r="Q43" s="16">
        <f t="shared" si="25"/>
        <v>42.613809523809522</v>
      </c>
      <c r="R43" s="16">
        <f t="shared" si="26"/>
        <v>0</v>
      </c>
      <c r="S43" s="16">
        <f t="shared" si="27"/>
        <v>0</v>
      </c>
      <c r="T43" s="16">
        <f t="shared" si="28"/>
        <v>0</v>
      </c>
      <c r="U43" s="16">
        <v>1</v>
      </c>
      <c r="V43" s="16">
        <f t="shared" si="29"/>
        <v>0</v>
      </c>
      <c r="W43" s="16"/>
      <c r="X43" s="16">
        <f t="shared" si="30"/>
        <v>3579.56</v>
      </c>
      <c r="Y43" s="16">
        <f t="shared" si="31"/>
        <v>3579.56</v>
      </c>
      <c r="Z43" s="16">
        <v>1</v>
      </c>
      <c r="AA43" s="16">
        <f t="shared" si="32"/>
        <v>3579.56</v>
      </c>
      <c r="AB43" s="16">
        <f t="shared" si="33"/>
        <v>3579.56</v>
      </c>
      <c r="AC43" s="16">
        <f t="shared" si="34"/>
        <v>0</v>
      </c>
      <c r="AD43" s="16">
        <f t="shared" si="35"/>
        <v>2009.5833333333333</v>
      </c>
      <c r="AE43" s="16">
        <f t="shared" si="36"/>
        <v>2018</v>
      </c>
      <c r="AF43" s="16">
        <f t="shared" si="37"/>
        <v>2016.5833333333333</v>
      </c>
      <c r="AG43" s="16">
        <f t="shared" si="38"/>
        <v>2017</v>
      </c>
      <c r="AH43" s="16">
        <f t="shared" si="39"/>
        <v>-8.3333333333333329E-2</v>
      </c>
      <c r="AJ43" s="110">
        <f t="shared" si="40"/>
        <v>0</v>
      </c>
      <c r="AK43" s="110"/>
      <c r="AL43" s="110">
        <f t="shared" si="41"/>
        <v>0</v>
      </c>
      <c r="AM43" s="110"/>
      <c r="AN43" s="110">
        <f t="shared" si="42"/>
        <v>0</v>
      </c>
      <c r="AO43" s="110"/>
      <c r="AP43" s="110">
        <f t="shared" si="43"/>
        <v>0</v>
      </c>
      <c r="AQ43" s="110"/>
      <c r="AR43" s="110">
        <f t="shared" si="44"/>
        <v>0</v>
      </c>
    </row>
    <row r="44" spans="1:44" s="6" customFormat="1">
      <c r="A44" s="6">
        <v>109828</v>
      </c>
      <c r="C44" s="26" t="s">
        <v>190</v>
      </c>
      <c r="D44" s="27" t="s">
        <v>276</v>
      </c>
      <c r="E44" s="28">
        <v>2013</v>
      </c>
      <c r="F44" s="28">
        <v>12</v>
      </c>
      <c r="G44" s="89">
        <v>0</v>
      </c>
      <c r="H44" s="16"/>
      <c r="I44" s="26" t="s">
        <v>51</v>
      </c>
      <c r="J44" s="26">
        <v>7</v>
      </c>
      <c r="K44" s="26">
        <f t="shared" si="23"/>
        <v>2020</v>
      </c>
      <c r="N44" s="29">
        <f>1404.28*3</f>
        <v>4212.84</v>
      </c>
      <c r="O44" s="30"/>
      <c r="P44" s="16">
        <f t="shared" si="24"/>
        <v>4212.84</v>
      </c>
      <c r="Q44" s="16">
        <f t="shared" si="25"/>
        <v>50.152857142857151</v>
      </c>
      <c r="R44" s="16">
        <f t="shared" si="26"/>
        <v>601.83428571428578</v>
      </c>
      <c r="S44" s="16">
        <f t="shared" si="27"/>
        <v>0</v>
      </c>
      <c r="T44" s="16">
        <f t="shared" si="28"/>
        <v>601.83428571428578</v>
      </c>
      <c r="U44" s="16">
        <v>1</v>
      </c>
      <c r="V44" s="16">
        <f t="shared" si="29"/>
        <v>601.83428571428578</v>
      </c>
      <c r="W44" s="16"/>
      <c r="X44" s="16">
        <f t="shared" si="30"/>
        <v>1855.6557142856689</v>
      </c>
      <c r="Y44" s="16">
        <f t="shared" si="31"/>
        <v>1855.6557142856689</v>
      </c>
      <c r="Z44" s="16">
        <v>1</v>
      </c>
      <c r="AA44" s="16">
        <f t="shared" si="32"/>
        <v>1855.6557142856689</v>
      </c>
      <c r="AB44" s="16">
        <f t="shared" si="33"/>
        <v>2457.4899999999548</v>
      </c>
      <c r="AC44" s="16">
        <f t="shared" si="34"/>
        <v>2056.2671428571884</v>
      </c>
      <c r="AD44" s="16">
        <f t="shared" si="35"/>
        <v>2013.9166666666667</v>
      </c>
      <c r="AE44" s="16">
        <f t="shared" si="36"/>
        <v>2018</v>
      </c>
      <c r="AF44" s="16">
        <f t="shared" si="37"/>
        <v>2020.9166666666667</v>
      </c>
      <c r="AG44" s="16">
        <f t="shared" si="38"/>
        <v>2017</v>
      </c>
      <c r="AH44" s="16">
        <f t="shared" si="39"/>
        <v>-8.3333333333333329E-2</v>
      </c>
      <c r="AJ44" s="110">
        <f t="shared" si="40"/>
        <v>0</v>
      </c>
      <c r="AK44" s="110"/>
      <c r="AL44" s="110">
        <f t="shared" si="41"/>
        <v>601.83428571428578</v>
      </c>
      <c r="AM44" s="110"/>
      <c r="AN44" s="110">
        <f t="shared" si="42"/>
        <v>0</v>
      </c>
      <c r="AO44" s="110"/>
      <c r="AP44" s="110">
        <f t="shared" si="43"/>
        <v>0</v>
      </c>
      <c r="AQ44" s="110"/>
      <c r="AR44" s="110">
        <f t="shared" si="44"/>
        <v>2056.2671428571884</v>
      </c>
    </row>
    <row r="45" spans="1:44" s="6" customFormat="1">
      <c r="A45" s="6">
        <v>118505</v>
      </c>
      <c r="B45" s="6" t="s">
        <v>53</v>
      </c>
      <c r="C45" s="26">
        <v>401</v>
      </c>
      <c r="D45" s="27" t="s">
        <v>303</v>
      </c>
      <c r="E45" s="28">
        <v>2014</v>
      </c>
      <c r="F45" s="28">
        <v>12</v>
      </c>
      <c r="G45" s="89">
        <v>0</v>
      </c>
      <c r="H45" s="16"/>
      <c r="I45" s="26" t="s">
        <v>51</v>
      </c>
      <c r="J45" s="26">
        <v>3</v>
      </c>
      <c r="K45" s="26">
        <f t="shared" si="23"/>
        <v>2017</v>
      </c>
      <c r="N45" s="29">
        <v>6532.56</v>
      </c>
      <c r="O45" s="30"/>
      <c r="P45" s="16">
        <f t="shared" si="24"/>
        <v>6532.56</v>
      </c>
      <c r="Q45" s="16">
        <f t="shared" si="25"/>
        <v>181.46</v>
      </c>
      <c r="R45" s="16">
        <f t="shared" si="26"/>
        <v>1996.060000000165</v>
      </c>
      <c r="S45" s="16">
        <f t="shared" si="27"/>
        <v>0</v>
      </c>
      <c r="T45" s="16">
        <f t="shared" si="28"/>
        <v>1996.060000000165</v>
      </c>
      <c r="U45" s="16">
        <v>1</v>
      </c>
      <c r="V45" s="16">
        <f t="shared" si="29"/>
        <v>1996.060000000165</v>
      </c>
      <c r="W45" s="16"/>
      <c r="X45" s="16">
        <f t="shared" si="30"/>
        <v>4536.4999999998354</v>
      </c>
      <c r="Y45" s="16">
        <f t="shared" si="31"/>
        <v>4536.4999999998354</v>
      </c>
      <c r="Z45" s="16">
        <v>1</v>
      </c>
      <c r="AA45" s="16">
        <f t="shared" si="32"/>
        <v>4536.4999999998354</v>
      </c>
      <c r="AB45" s="16">
        <f t="shared" si="33"/>
        <v>6532.56</v>
      </c>
      <c r="AC45" s="16">
        <f t="shared" si="34"/>
        <v>998.03000000008251</v>
      </c>
      <c r="AD45" s="16">
        <f t="shared" si="35"/>
        <v>2014.9166666666667</v>
      </c>
      <c r="AE45" s="16">
        <f t="shared" si="36"/>
        <v>2018</v>
      </c>
      <c r="AF45" s="16">
        <f t="shared" si="37"/>
        <v>2017.9166666666667</v>
      </c>
      <c r="AG45" s="16">
        <f t="shared" si="38"/>
        <v>2017</v>
      </c>
      <c r="AH45" s="16">
        <f t="shared" si="39"/>
        <v>-8.3333333333333329E-2</v>
      </c>
      <c r="AJ45" s="110">
        <f t="shared" si="40"/>
        <v>0</v>
      </c>
      <c r="AK45" s="110"/>
      <c r="AL45" s="110">
        <f t="shared" si="41"/>
        <v>1996.060000000165</v>
      </c>
      <c r="AM45" s="110"/>
      <c r="AN45" s="110">
        <f t="shared" si="42"/>
        <v>0</v>
      </c>
      <c r="AO45" s="110"/>
      <c r="AP45" s="110">
        <f t="shared" si="43"/>
        <v>0</v>
      </c>
      <c r="AQ45" s="110"/>
      <c r="AR45" s="110">
        <f t="shared" si="44"/>
        <v>998.03000000008251</v>
      </c>
    </row>
    <row r="46" spans="1:44" s="6" customFormat="1">
      <c r="A46" s="6">
        <v>118074</v>
      </c>
      <c r="B46" s="6" t="s">
        <v>53</v>
      </c>
      <c r="C46" s="26">
        <v>402</v>
      </c>
      <c r="D46" s="27" t="s">
        <v>304</v>
      </c>
      <c r="E46" s="28">
        <v>2014</v>
      </c>
      <c r="F46" s="28">
        <v>12</v>
      </c>
      <c r="G46" s="89">
        <v>0</v>
      </c>
      <c r="H46" s="16"/>
      <c r="I46" s="26" t="s">
        <v>51</v>
      </c>
      <c r="J46" s="26">
        <v>3</v>
      </c>
      <c r="K46" s="26">
        <f t="shared" si="23"/>
        <v>2017</v>
      </c>
      <c r="N46" s="29">
        <v>6532.56</v>
      </c>
      <c r="O46" s="30"/>
      <c r="P46" s="16">
        <f t="shared" si="24"/>
        <v>6532.56</v>
      </c>
      <c r="Q46" s="16">
        <f t="shared" si="25"/>
        <v>181.46</v>
      </c>
      <c r="R46" s="16">
        <f t="shared" si="26"/>
        <v>1996.060000000165</v>
      </c>
      <c r="S46" s="16">
        <f t="shared" si="27"/>
        <v>0</v>
      </c>
      <c r="T46" s="16">
        <f t="shared" si="28"/>
        <v>1996.060000000165</v>
      </c>
      <c r="U46" s="16">
        <v>1</v>
      </c>
      <c r="V46" s="16">
        <f t="shared" si="29"/>
        <v>1996.060000000165</v>
      </c>
      <c r="W46" s="16"/>
      <c r="X46" s="16">
        <f t="shared" si="30"/>
        <v>4536.4999999998354</v>
      </c>
      <c r="Y46" s="16">
        <f t="shared" si="31"/>
        <v>4536.4999999998354</v>
      </c>
      <c r="Z46" s="16">
        <v>1</v>
      </c>
      <c r="AA46" s="16">
        <f t="shared" si="32"/>
        <v>4536.4999999998354</v>
      </c>
      <c r="AB46" s="16">
        <f t="shared" si="33"/>
        <v>6532.56</v>
      </c>
      <c r="AC46" s="16">
        <f t="shared" si="34"/>
        <v>998.03000000008251</v>
      </c>
      <c r="AD46" s="16">
        <f t="shared" si="35"/>
        <v>2014.9166666666667</v>
      </c>
      <c r="AE46" s="16">
        <f t="shared" si="36"/>
        <v>2018</v>
      </c>
      <c r="AF46" s="16">
        <f t="shared" si="37"/>
        <v>2017.9166666666667</v>
      </c>
      <c r="AG46" s="16">
        <f t="shared" si="38"/>
        <v>2017</v>
      </c>
      <c r="AH46" s="16">
        <f t="shared" si="39"/>
        <v>-8.3333333333333329E-2</v>
      </c>
      <c r="AJ46" s="110">
        <f t="shared" si="40"/>
        <v>0</v>
      </c>
      <c r="AK46" s="110"/>
      <c r="AL46" s="110">
        <f t="shared" si="41"/>
        <v>1996.060000000165</v>
      </c>
      <c r="AM46" s="110"/>
      <c r="AN46" s="110">
        <f t="shared" si="42"/>
        <v>0</v>
      </c>
      <c r="AO46" s="110"/>
      <c r="AP46" s="110">
        <f t="shared" si="43"/>
        <v>0</v>
      </c>
      <c r="AQ46" s="110"/>
      <c r="AR46" s="110">
        <f t="shared" si="44"/>
        <v>998.03000000008251</v>
      </c>
    </row>
    <row r="47" spans="1:44" s="6" customFormat="1">
      <c r="A47" s="6">
        <v>125847</v>
      </c>
      <c r="C47" s="26">
        <v>402</v>
      </c>
      <c r="D47" s="27" t="s">
        <v>317</v>
      </c>
      <c r="E47" s="28">
        <v>2015</v>
      </c>
      <c r="F47" s="28">
        <v>9</v>
      </c>
      <c r="G47" s="89">
        <v>0</v>
      </c>
      <c r="H47" s="16"/>
      <c r="I47" s="26" t="s">
        <v>51</v>
      </c>
      <c r="J47" s="26">
        <v>3</v>
      </c>
      <c r="K47" s="26">
        <f t="shared" si="23"/>
        <v>2018</v>
      </c>
      <c r="N47" s="29">
        <v>7579.79</v>
      </c>
      <c r="O47" s="30"/>
      <c r="P47" s="16">
        <f t="shared" si="24"/>
        <v>7579.79</v>
      </c>
      <c r="Q47" s="16">
        <f t="shared" si="25"/>
        <v>210.54972222222224</v>
      </c>
      <c r="R47" s="16">
        <f>IF(O47&gt;0,0,IF(OR(AD47&gt;AE47,AF47&lt;AG47),0,IF(AND(AF47&gt;=AG47,AF47&lt;=AE47),Q47*((AF47-AG47)*12),IF(AND(AG47&lt;=AD47,AE47&gt;=AD47),((AE47-AD47)*12)*Q47,IF(AF47&gt;AE47,12*Q47,0)))))</f>
        <v>2526.5966666666668</v>
      </c>
      <c r="S47" s="16">
        <f>IF(O47=0,0,IF(AND(AH47&gt;=AG47,AH47&lt;=AF47),((AH47-AG47)*12)*Q47,0))</f>
        <v>0</v>
      </c>
      <c r="T47" s="16">
        <f>IF(S47&gt;0,S47,R47)</f>
        <v>2526.5966666666668</v>
      </c>
      <c r="U47" s="16">
        <v>1</v>
      </c>
      <c r="V47" s="16">
        <f>U47*SUM(R47:S47)</f>
        <v>2526.5966666666668</v>
      </c>
      <c r="W47" s="16"/>
      <c r="X47" s="16">
        <f t="shared" si="30"/>
        <v>3368.7955555553644</v>
      </c>
      <c r="Y47" s="16">
        <f t="shared" si="31"/>
        <v>3368.7955555553644</v>
      </c>
      <c r="Z47" s="16">
        <v>1</v>
      </c>
      <c r="AA47" s="16">
        <f t="shared" si="32"/>
        <v>3368.7955555553644</v>
      </c>
      <c r="AB47" s="16">
        <f t="shared" si="33"/>
        <v>5895.3922222220317</v>
      </c>
      <c r="AC47" s="16">
        <f t="shared" si="34"/>
        <v>2947.6961111113019</v>
      </c>
      <c r="AD47" s="16">
        <f t="shared" si="35"/>
        <v>2015.6666666666667</v>
      </c>
      <c r="AE47" s="16">
        <f t="shared" si="36"/>
        <v>2018</v>
      </c>
      <c r="AF47" s="16">
        <f t="shared" si="37"/>
        <v>2018.6666666666667</v>
      </c>
      <c r="AG47" s="16">
        <f t="shared" si="38"/>
        <v>2017</v>
      </c>
      <c r="AH47" s="16">
        <f t="shared" si="39"/>
        <v>-8.3333333333333329E-2</v>
      </c>
      <c r="AJ47" s="110">
        <f t="shared" si="40"/>
        <v>0</v>
      </c>
      <c r="AK47" s="110"/>
      <c r="AL47" s="110">
        <f t="shared" si="41"/>
        <v>2526.5966666666668</v>
      </c>
      <c r="AM47" s="110"/>
      <c r="AN47" s="110">
        <f t="shared" si="42"/>
        <v>0</v>
      </c>
      <c r="AO47" s="110"/>
      <c r="AP47" s="110">
        <f t="shared" si="43"/>
        <v>0</v>
      </c>
      <c r="AQ47" s="110"/>
      <c r="AR47" s="110">
        <f t="shared" si="44"/>
        <v>2947.6961111113019</v>
      </c>
    </row>
    <row r="48" spans="1:44" s="6" customFormat="1" ht="22.5">
      <c r="A48" s="6">
        <v>139650</v>
      </c>
      <c r="B48" s="6" t="s">
        <v>53</v>
      </c>
      <c r="C48" s="26">
        <v>7702</v>
      </c>
      <c r="D48" s="559" t="s">
        <v>330</v>
      </c>
      <c r="E48" s="28">
        <v>2016</v>
      </c>
      <c r="F48" s="28">
        <v>5</v>
      </c>
      <c r="G48" s="89">
        <v>0</v>
      </c>
      <c r="H48" s="16"/>
      <c r="I48" s="26" t="s">
        <v>51</v>
      </c>
      <c r="J48" s="26">
        <v>3</v>
      </c>
      <c r="K48" s="26">
        <f>E48+J48</f>
        <v>2019</v>
      </c>
      <c r="N48" s="29">
        <v>12466</v>
      </c>
      <c r="O48" s="30"/>
      <c r="P48" s="16">
        <f>N48-N48*G48</f>
        <v>12466</v>
      </c>
      <c r="Q48" s="16">
        <f>P48/J48/12</f>
        <v>346.27777777777777</v>
      </c>
      <c r="R48" s="16">
        <f>IF(O48&gt;0,0,IF(OR(AD48&gt;AE48,AF48&lt;AG48),0,IF(AND(AF48&gt;=AG48,AF48&lt;=AE48),Q48*((AF48-AG48)*12),IF(AND(AG48&lt;=AD48,AE48&gt;=AD48),((AE48-AD48)*12)*Q48,IF(AF48&gt;AE48,12*Q48,0)))))</f>
        <v>4155.333333333333</v>
      </c>
      <c r="S48" s="16">
        <f>IF(O48=0,0,IF(AND(AH48&gt;=AG48,AH48&lt;=AF48),((AH48-AG48)*12)*Q48,0))</f>
        <v>0</v>
      </c>
      <c r="T48" s="16">
        <f>IF(S48&gt;0,S48,R48)</f>
        <v>4155.333333333333</v>
      </c>
      <c r="U48" s="16">
        <v>1</v>
      </c>
      <c r="V48" s="16">
        <f>U48*SUM(R48:S48)</f>
        <v>4155.333333333333</v>
      </c>
      <c r="W48" s="16"/>
      <c r="X48" s="16">
        <f t="shared" si="30"/>
        <v>2770.2222222225373</v>
      </c>
      <c r="Y48" s="16">
        <f t="shared" si="31"/>
        <v>2770.2222222225373</v>
      </c>
      <c r="Z48" s="16">
        <v>1</v>
      </c>
      <c r="AA48" s="16">
        <f t="shared" si="32"/>
        <v>2770.2222222225373</v>
      </c>
      <c r="AB48" s="16">
        <f t="shared" si="33"/>
        <v>6925.5555555558703</v>
      </c>
      <c r="AC48" s="16">
        <f t="shared" si="34"/>
        <v>7618.1111111107966</v>
      </c>
      <c r="AD48" s="16">
        <f t="shared" si="35"/>
        <v>2016.3333333333333</v>
      </c>
      <c r="AE48" s="16">
        <f t="shared" si="36"/>
        <v>2018</v>
      </c>
      <c r="AF48" s="16">
        <f t="shared" si="37"/>
        <v>2019.3333333333333</v>
      </c>
      <c r="AG48" s="16">
        <f t="shared" si="38"/>
        <v>2017</v>
      </c>
      <c r="AH48" s="16">
        <f t="shared" si="39"/>
        <v>-8.3333333333333329E-2</v>
      </c>
      <c r="AJ48" s="110">
        <f t="shared" si="40"/>
        <v>0</v>
      </c>
      <c r="AK48" s="110"/>
      <c r="AL48" s="110">
        <f t="shared" si="41"/>
        <v>4155.333333333333</v>
      </c>
      <c r="AM48" s="110"/>
      <c r="AN48" s="110">
        <f t="shared" si="42"/>
        <v>0</v>
      </c>
      <c r="AO48" s="110"/>
      <c r="AP48" s="110">
        <f t="shared" si="43"/>
        <v>0</v>
      </c>
      <c r="AQ48" s="110"/>
      <c r="AR48" s="110">
        <f t="shared" si="44"/>
        <v>7618.1111111107966</v>
      </c>
    </row>
    <row r="49" spans="1:44" s="6" customFormat="1">
      <c r="A49" s="6">
        <v>166338</v>
      </c>
      <c r="B49" s="6" t="s">
        <v>53</v>
      </c>
      <c r="C49" s="26">
        <v>159</v>
      </c>
      <c r="D49" s="559" t="s">
        <v>334</v>
      </c>
      <c r="E49" s="28">
        <v>2016</v>
      </c>
      <c r="F49" s="28">
        <v>8</v>
      </c>
      <c r="G49" s="89">
        <v>0</v>
      </c>
      <c r="H49" s="16"/>
      <c r="I49" s="26" t="s">
        <v>51</v>
      </c>
      <c r="J49" s="26">
        <v>10</v>
      </c>
      <c r="K49" s="26">
        <f>E49+J49</f>
        <v>2026</v>
      </c>
      <c r="N49" s="29">
        <v>214036.16</v>
      </c>
      <c r="O49" s="30"/>
      <c r="P49" s="16">
        <f>N49-N49*G49</f>
        <v>214036.16</v>
      </c>
      <c r="Q49" s="16">
        <f>P49/J49/12</f>
        <v>1783.6346666666668</v>
      </c>
      <c r="R49" s="16">
        <f>IF(O49&gt;0,0,IF(OR(AD49&gt;AE49,AF49&lt;AG49),0,IF(AND(AF49&gt;=AG49,AF49&lt;=AE49),Q49*((AF49-AG49)*12),IF(AND(AG49&lt;=AD49,AE49&gt;=AD49),((AE49-AD49)*12)*Q49,IF(AF49&gt;AE49,12*Q49,0)))))</f>
        <v>21403.616000000002</v>
      </c>
      <c r="S49" s="16">
        <f>IF(O49=0,0,IF(AND(AH49&gt;=AG49,AH49&lt;=AF49),((AH49-AG49)*12)*Q49,0))</f>
        <v>0</v>
      </c>
      <c r="T49" s="16">
        <f>IF(S49&gt;0,S49,R49)</f>
        <v>21403.616000000002</v>
      </c>
      <c r="U49" s="16">
        <v>1</v>
      </c>
      <c r="V49" s="16">
        <f>U49*SUM(R49:S49)</f>
        <v>21403.616000000002</v>
      </c>
      <c r="W49" s="16"/>
      <c r="X49" s="16">
        <f>IF(AD49&gt;AE49,0,IF(AF49&lt;AG49,P49,IF(AND(AF49&gt;=AG49,AF49&lt;=AE49),(P49-T49),IF(AND(AG49&lt;=AD49,AE49&gt;=AD49),0,IF(AF49&gt;AE49,((AG49-AD49)*12)*Q49,0)))))</f>
        <v>8918.1733333349566</v>
      </c>
      <c r="Y49" s="16">
        <f>X49*U49</f>
        <v>8918.1733333349566</v>
      </c>
      <c r="Z49" s="16">
        <v>1</v>
      </c>
      <c r="AA49" s="16">
        <f>Y49*Z49</f>
        <v>8918.1733333349566</v>
      </c>
      <c r="AB49" s="16">
        <f>IF(O49&gt;0,0,AA49+V49*Z49)*Z49</f>
        <v>30321.789333334957</v>
      </c>
      <c r="AC49" s="16">
        <f>IF(O49&gt;0,(N49-AA49)/2,IF(AD49&gt;=AG49,(((N49*U49)*Z49)-AB49)/2,((((N49*U49)*Z49)-AA49)+(((N49*U49)*Z49)-AB49))/2))</f>
        <v>194416.17866666504</v>
      </c>
      <c r="AD49" s="16">
        <f t="shared" si="35"/>
        <v>2016.5833333333333</v>
      </c>
      <c r="AE49" s="16">
        <f t="shared" si="36"/>
        <v>2018</v>
      </c>
      <c r="AF49" s="16">
        <f t="shared" si="37"/>
        <v>2026.5833333333333</v>
      </c>
      <c r="AG49" s="16">
        <f t="shared" si="38"/>
        <v>2017</v>
      </c>
      <c r="AH49" s="16">
        <f t="shared" si="39"/>
        <v>-8.3333333333333329E-2</v>
      </c>
      <c r="AJ49" s="110">
        <f t="shared" si="40"/>
        <v>0</v>
      </c>
      <c r="AK49" s="110"/>
      <c r="AL49" s="110">
        <f t="shared" si="41"/>
        <v>21403.616000000002</v>
      </c>
      <c r="AM49" s="110"/>
      <c r="AN49" s="110">
        <f t="shared" si="42"/>
        <v>0</v>
      </c>
      <c r="AO49" s="110"/>
      <c r="AP49" s="110">
        <f t="shared" si="43"/>
        <v>0</v>
      </c>
      <c r="AQ49" s="110"/>
      <c r="AR49" s="110">
        <f t="shared" si="44"/>
        <v>194416.17866666504</v>
      </c>
    </row>
    <row r="50" spans="1:44" s="6" customFormat="1">
      <c r="A50" s="6">
        <v>167087</v>
      </c>
      <c r="B50" s="6" t="s">
        <v>53</v>
      </c>
      <c r="C50" s="26">
        <v>401</v>
      </c>
      <c r="D50" s="559" t="s">
        <v>341</v>
      </c>
      <c r="E50" s="28">
        <v>2016</v>
      </c>
      <c r="F50" s="28">
        <v>4</v>
      </c>
      <c r="G50" s="89">
        <v>0</v>
      </c>
      <c r="H50" s="16"/>
      <c r="I50" s="26" t="s">
        <v>51</v>
      </c>
      <c r="J50" s="26">
        <v>3</v>
      </c>
      <c r="K50" s="26">
        <f>E50+J50</f>
        <v>2019</v>
      </c>
      <c r="N50" s="29">
        <v>27913.74</v>
      </c>
      <c r="O50" s="30"/>
      <c r="P50" s="16">
        <f>N50-N50*G50</f>
        <v>27913.74</v>
      </c>
      <c r="Q50" s="16">
        <f>P50/J50/12</f>
        <v>775.38166666666666</v>
      </c>
      <c r="R50" s="16">
        <f>IF(O50&gt;0,0,IF(OR(AD50&gt;AE50,AF50&lt;AG50),0,IF(AND(AF50&gt;=AG50,AF50&lt;=AE50),Q50*((AF50-AG50)*12),IF(AND(AG50&lt;=AD50,AE50&gt;=AD50),((AE50-AD50)*12)*Q50,IF(AF50&gt;AE50,12*Q50,0)))))</f>
        <v>9304.58</v>
      </c>
      <c r="S50" s="16">
        <f>IF(O50=0,0,IF(AND(AH50&gt;=AG50,AH50&lt;=AF50),((AH50-AG50)*12)*Q50,0))</f>
        <v>0</v>
      </c>
      <c r="T50" s="16">
        <f>IF(S50&gt;0,S50,R50)</f>
        <v>9304.58</v>
      </c>
      <c r="U50" s="16">
        <v>1</v>
      </c>
      <c r="V50" s="16">
        <f>U50*SUM(R50:S50)</f>
        <v>9304.58</v>
      </c>
      <c r="W50" s="16"/>
      <c r="X50" s="16">
        <f>IF(AD50&gt;AE50,0,IF(AF50&lt;AG50,P50,IF(AND(AF50&gt;=AG50,AF50&lt;=AE50),(P50-T50),IF(AND(AG50&lt;=AD50,AE50&gt;=AD50),0,IF(AF50&gt;AE50,((AG50-AD50)*12)*Q50,0)))))</f>
        <v>6978.4349999999995</v>
      </c>
      <c r="Y50" s="16">
        <f>X50*U50</f>
        <v>6978.4349999999995</v>
      </c>
      <c r="Z50" s="16">
        <v>1</v>
      </c>
      <c r="AA50" s="16">
        <f>Y50*Z50</f>
        <v>6978.4349999999995</v>
      </c>
      <c r="AB50" s="16">
        <f>IF(O50&gt;0,0,AA50+V50*Z50)*Z50</f>
        <v>16283.014999999999</v>
      </c>
      <c r="AC50" s="16">
        <f>IF(O50&gt;0,(N50-AA50)/2,IF(AD50&gt;=AG50,(((N50*U50)*Z50)-AB50)/2,((((N50*U50)*Z50)-AA50)+(((N50*U50)*Z50)-AB50))/2))</f>
        <v>16283.015000000001</v>
      </c>
      <c r="AD50" s="16">
        <f t="shared" si="35"/>
        <v>2016.25</v>
      </c>
      <c r="AE50" s="16">
        <f t="shared" si="36"/>
        <v>2018</v>
      </c>
      <c r="AF50" s="16">
        <f t="shared" si="37"/>
        <v>2019.25</v>
      </c>
      <c r="AG50" s="16">
        <f t="shared" si="38"/>
        <v>2017</v>
      </c>
      <c r="AH50" s="16">
        <f t="shared" si="39"/>
        <v>-8.3333333333333329E-2</v>
      </c>
      <c r="AJ50" s="110">
        <f t="shared" si="40"/>
        <v>0</v>
      </c>
      <c r="AK50" s="110"/>
      <c r="AL50" s="110">
        <f t="shared" si="41"/>
        <v>9304.58</v>
      </c>
      <c r="AM50" s="110"/>
      <c r="AN50" s="110">
        <f t="shared" si="42"/>
        <v>0</v>
      </c>
      <c r="AO50" s="110"/>
      <c r="AP50" s="110">
        <f t="shared" si="43"/>
        <v>0</v>
      </c>
      <c r="AQ50" s="110"/>
      <c r="AR50" s="110">
        <f t="shared" si="44"/>
        <v>16283.015000000001</v>
      </c>
    </row>
    <row r="51" spans="1:44" s="6" customFormat="1">
      <c r="A51" s="6" t="s">
        <v>374</v>
      </c>
      <c r="B51" s="6" t="s">
        <v>53</v>
      </c>
      <c r="C51" s="26"/>
      <c r="D51" s="559" t="s">
        <v>375</v>
      </c>
      <c r="E51" s="28">
        <v>2017</v>
      </c>
      <c r="F51" s="28">
        <v>6</v>
      </c>
      <c r="G51" s="89">
        <v>0</v>
      </c>
      <c r="H51" s="16"/>
      <c r="I51" s="26" t="s">
        <v>51</v>
      </c>
      <c r="J51" s="26">
        <v>10</v>
      </c>
      <c r="K51" s="26">
        <f>E51+J51</f>
        <v>2027</v>
      </c>
      <c r="N51" s="29">
        <f>233606.21+1169.5</f>
        <v>234775.71</v>
      </c>
      <c r="O51" s="30"/>
      <c r="P51" s="16">
        <f>N51-N51*G51</f>
        <v>234775.71</v>
      </c>
      <c r="Q51" s="16">
        <f>P51/J51/12</f>
        <v>1956.46425</v>
      </c>
      <c r="R51" s="16">
        <f>IF(O51&gt;0,0,IF(OR(AD51&gt;AE51,AF51&lt;AG51),0,IF(AND(AF51&gt;=AG51,AF51&lt;=AE51),Q51*((AF51-AG51)*12),IF(AND(AG51&lt;=AD51,AE51&gt;=AD51),((AE51-AD51)*12)*Q51,IF(AF51&gt;AE51,12*Q51,0)))))</f>
        <v>13695.24974999822</v>
      </c>
      <c r="S51" s="16">
        <f>IF(O51=0,0,IF(AND(AH51&gt;=AG51,AH51&lt;=AF51),((AH51-AG51)*12)*Q51,0))</f>
        <v>0</v>
      </c>
      <c r="T51" s="16">
        <f>IF(S51&gt;0,S51,R51)</f>
        <v>13695.24974999822</v>
      </c>
      <c r="U51" s="16">
        <v>1</v>
      </c>
      <c r="V51" s="16">
        <f>U51*SUM(R51:S51)</f>
        <v>13695.24974999822</v>
      </c>
      <c r="W51" s="16"/>
      <c r="X51" s="16">
        <f>IF(AD51&gt;AE51,0,IF(AF51&lt;AG51,P51,IF(AND(AF51&gt;=AG51,AF51&lt;=AE51),(P51-T51),IF(AND(AG51&lt;=AD51,AE51&gt;=AD51),0,IF(AF51&gt;AE51,((AG51-AD51)*12)*Q51,0)))))</f>
        <v>0</v>
      </c>
      <c r="Y51" s="16">
        <f>X51*U51</f>
        <v>0</v>
      </c>
      <c r="Z51" s="16">
        <v>1</v>
      </c>
      <c r="AA51" s="16">
        <f>Y51*Z51</f>
        <v>0</v>
      </c>
      <c r="AB51" s="16">
        <f>IF(O51&gt;0,0,AA51+V51*Z51)*Z51</f>
        <v>13695.24974999822</v>
      </c>
      <c r="AC51" s="16">
        <f>IF(O51&gt;0,(N51-AA51)/2,IF(AD51&gt;=AG51,(((N51*U51)*Z51)-AB51)/2,((((N51*U51)*Z51)-AA51)+(((N51*U51)*Z51)-AB51))/2))</f>
        <v>110540.23012500089</v>
      </c>
      <c r="AD51" s="16">
        <f t="shared" si="35"/>
        <v>2017.4166666666667</v>
      </c>
      <c r="AE51" s="16">
        <f t="shared" si="36"/>
        <v>2018</v>
      </c>
      <c r="AF51" s="16">
        <f t="shared" si="37"/>
        <v>2027.4166666666667</v>
      </c>
      <c r="AG51" s="16">
        <f t="shared" si="38"/>
        <v>2017</v>
      </c>
      <c r="AH51" s="16">
        <f t="shared" si="39"/>
        <v>-8.3333333333333329E-2</v>
      </c>
      <c r="AJ51" s="110">
        <f t="shared" si="40"/>
        <v>0</v>
      </c>
      <c r="AK51" s="110"/>
      <c r="AL51" s="110">
        <f t="shared" si="41"/>
        <v>13695.24974999822</v>
      </c>
      <c r="AM51" s="110"/>
      <c r="AN51" s="110">
        <f t="shared" si="42"/>
        <v>0</v>
      </c>
      <c r="AO51" s="110"/>
      <c r="AP51" s="110">
        <f t="shared" si="43"/>
        <v>0</v>
      </c>
      <c r="AQ51" s="110"/>
      <c r="AR51" s="110">
        <f t="shared" si="44"/>
        <v>110540.23012500089</v>
      </c>
    </row>
    <row r="52" spans="1:44" s="6" customFormat="1">
      <c r="C52" s="26"/>
      <c r="D52" s="559"/>
      <c r="E52" s="28"/>
      <c r="F52" s="28"/>
      <c r="G52" s="89"/>
      <c r="H52" s="16"/>
      <c r="I52" s="26"/>
      <c r="J52" s="26"/>
      <c r="K52" s="26"/>
      <c r="N52" s="29"/>
      <c r="O52" s="30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J52" s="110"/>
      <c r="AK52" s="110"/>
      <c r="AL52" s="110"/>
      <c r="AM52" s="110"/>
      <c r="AN52" s="110"/>
      <c r="AO52" s="110"/>
      <c r="AP52" s="110"/>
      <c r="AQ52" s="110"/>
      <c r="AR52" s="110"/>
    </row>
    <row r="53" spans="1:44" s="6" customFormat="1">
      <c r="C53" s="26"/>
      <c r="D53" s="27"/>
      <c r="E53" s="28"/>
      <c r="F53" s="28"/>
      <c r="G53" s="89"/>
      <c r="I53" s="26"/>
      <c r="J53" s="26"/>
      <c r="K53" s="26"/>
      <c r="N53" s="29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31" customFormat="1">
      <c r="C54" s="32"/>
      <c r="D54" s="50" t="s">
        <v>216</v>
      </c>
      <c r="E54" s="82"/>
      <c r="F54" s="82"/>
      <c r="G54" s="51"/>
      <c r="I54" s="32"/>
      <c r="J54" s="32"/>
      <c r="K54" s="32"/>
      <c r="N54" s="35">
        <f>SUM(N40:N53)</f>
        <v>922646.90999999992</v>
      </c>
      <c r="O54" s="34"/>
      <c r="P54" s="35">
        <f t="shared" ref="P54:V54" si="45">SUM(P40:P53)</f>
        <v>833648.31199999992</v>
      </c>
      <c r="Q54" s="35">
        <f t="shared" si="45"/>
        <v>9486.3446547619023</v>
      </c>
      <c r="R54" s="35">
        <f t="shared" si="45"/>
        <v>55679.330035712839</v>
      </c>
      <c r="S54" s="35">
        <f t="shared" si="45"/>
        <v>0</v>
      </c>
      <c r="T54" s="35">
        <f t="shared" si="45"/>
        <v>55679.330035712839</v>
      </c>
      <c r="U54" s="35"/>
      <c r="V54" s="35">
        <f t="shared" si="45"/>
        <v>55679.330035712839</v>
      </c>
      <c r="W54" s="35"/>
      <c r="X54" s="35">
        <f>SUM(X40:X53)</f>
        <v>352563.2338253982</v>
      </c>
      <c r="Y54" s="35">
        <f>SUM(Y40:Y53)</f>
        <v>352563.2338253982</v>
      </c>
      <c r="Z54" s="35"/>
      <c r="AA54" s="35">
        <f>SUM(AA40:AA53)</f>
        <v>352563.2338253982</v>
      </c>
      <c r="AB54" s="35">
        <f>SUM(AB40:AB53)</f>
        <v>408242.563861111</v>
      </c>
      <c r="AC54" s="35">
        <f>SUM(AC40:AC53)</f>
        <v>424856.15615674539</v>
      </c>
      <c r="AD54" s="83"/>
      <c r="AE54" s="83"/>
      <c r="AF54" s="83"/>
      <c r="AG54" s="83"/>
      <c r="AH54" s="83"/>
      <c r="AJ54" s="111">
        <f t="shared" ref="AJ54:AR54" si="46">SUM(AJ40:AJ53)</f>
        <v>29666.19933333333</v>
      </c>
      <c r="AK54" s="111">
        <f t="shared" si="46"/>
        <v>0</v>
      </c>
      <c r="AL54" s="111">
        <f t="shared" si="46"/>
        <v>85345.529369046155</v>
      </c>
      <c r="AM54" s="111">
        <f t="shared" si="46"/>
        <v>0</v>
      </c>
      <c r="AN54" s="111">
        <f t="shared" si="46"/>
        <v>-88998.597999999998</v>
      </c>
      <c r="AO54" s="111">
        <f t="shared" si="46"/>
        <v>0</v>
      </c>
      <c r="AP54" s="111">
        <f t="shared" si="46"/>
        <v>0</v>
      </c>
      <c r="AQ54" s="111">
        <f t="shared" si="46"/>
        <v>0</v>
      </c>
      <c r="AR54" s="111">
        <f t="shared" si="46"/>
        <v>335857.55815674539</v>
      </c>
    </row>
    <row r="55" spans="1:44" s="6" customFormat="1">
      <c r="B55" s="31"/>
      <c r="C55" s="31"/>
      <c r="D55" s="50"/>
      <c r="E55" s="32"/>
      <c r="F55" s="32"/>
      <c r="G55" s="33"/>
      <c r="I55" s="26"/>
      <c r="J55" s="32"/>
      <c r="K55" s="32"/>
      <c r="N55" s="34"/>
      <c r="P55" s="34"/>
      <c r="Q55" s="34"/>
      <c r="R55" s="34"/>
      <c r="S55" s="16"/>
      <c r="T55" s="34"/>
      <c r="U55" s="16"/>
      <c r="V55" s="34"/>
      <c r="W55" s="16"/>
      <c r="X55" s="34"/>
      <c r="Y55" s="34"/>
      <c r="Z55" s="34"/>
      <c r="AA55" s="34"/>
      <c r="AB55" s="34"/>
      <c r="AC55" s="34"/>
      <c r="AD55" s="16"/>
      <c r="AE55" s="16"/>
      <c r="AF55" s="16"/>
      <c r="AG55" s="16"/>
      <c r="AH55" s="16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6" customFormat="1">
      <c r="B56" s="31"/>
      <c r="C56" s="31"/>
      <c r="D56" s="50" t="s">
        <v>179</v>
      </c>
      <c r="E56" s="32"/>
      <c r="F56" s="32"/>
      <c r="G56" s="33"/>
      <c r="I56" s="26"/>
      <c r="J56" s="32"/>
      <c r="K56" s="32"/>
      <c r="N56" s="34"/>
      <c r="P56" s="34"/>
      <c r="Q56" s="34"/>
      <c r="R56" s="34"/>
      <c r="S56" s="16"/>
      <c r="T56" s="34"/>
      <c r="U56" s="16"/>
      <c r="V56" s="34"/>
      <c r="W56" s="16"/>
      <c r="X56" s="34"/>
      <c r="Y56" s="34"/>
      <c r="Z56" s="34"/>
      <c r="AA56" s="34"/>
      <c r="AB56" s="34"/>
      <c r="AC56" s="34"/>
      <c r="AD56" s="16"/>
      <c r="AE56" s="16"/>
      <c r="AF56" s="16"/>
      <c r="AG56" s="16"/>
      <c r="AH56" s="16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6" customFormat="1">
      <c r="A57" s="6">
        <v>105711</v>
      </c>
      <c r="B57" s="6" t="s">
        <v>82</v>
      </c>
      <c r="C57" s="26">
        <v>229</v>
      </c>
      <c r="D57" s="27" t="s">
        <v>262</v>
      </c>
      <c r="E57" s="28">
        <v>2013</v>
      </c>
      <c r="F57" s="28">
        <v>7</v>
      </c>
      <c r="G57" s="89">
        <v>0.33</v>
      </c>
      <c r="I57" s="26" t="s">
        <v>51</v>
      </c>
      <c r="J57" s="26">
        <v>5</v>
      </c>
      <c r="K57" s="26">
        <f>E57+J57</f>
        <v>2018</v>
      </c>
      <c r="N57" s="29">
        <v>68587.899999999994</v>
      </c>
      <c r="P57" s="16">
        <f>N57-N57*G57</f>
        <v>45953.892999999996</v>
      </c>
      <c r="Q57" s="16">
        <f>P57/J57/12</f>
        <v>765.8982166666666</v>
      </c>
      <c r="R57" s="16">
        <f>IF(O57&gt;0,0,IF(OR(AD57&gt;AE57,AF57&lt;AG57),0,IF(AND(AF57&gt;=AG57,AF57&lt;=AE57),Q57*((AF57-AG57)*12),IF(AND(AG57&lt;=AD57,AE57&gt;=AD57),((AE57-AD57)*12)*Q57,IF(AF57&gt;AE57,12*Q57,0)))))</f>
        <v>9190.7785999999996</v>
      </c>
      <c r="S57" s="16">
        <f>IF(O57=0,0,IF(AND(AH57&gt;=AG57,AH57&lt;=AF57),((AH57-AG57)*12)*Q57,0))</f>
        <v>0</v>
      </c>
      <c r="T57" s="16">
        <f>IF(S57&gt;0,S57,R57)</f>
        <v>9190.7785999999996</v>
      </c>
      <c r="U57" s="16">
        <v>1</v>
      </c>
      <c r="V57" s="16">
        <f>U57*SUM(R57:S57)</f>
        <v>9190.7785999999996</v>
      </c>
      <c r="W57" s="16"/>
      <c r="X57" s="16">
        <f>IF(AD57&gt;AE57,0,IF(AF57&lt;AG57,P57,IF(AND(AF57&gt;=AG57,AF57&lt;=AE57),(P57-T57),IF(AND(AG57&lt;=AD57,AE57&gt;=AD57),0,IF(AF57&gt;AE57,((AG57-AD57)*12)*Q57,0)))))</f>
        <v>32167.725099999996</v>
      </c>
      <c r="Y57" s="16">
        <f>X57*U57</f>
        <v>32167.725099999996</v>
      </c>
      <c r="Z57" s="16">
        <v>1</v>
      </c>
      <c r="AA57" s="16">
        <f>Y57*Z57</f>
        <v>32167.725099999996</v>
      </c>
      <c r="AB57" s="16">
        <f>IF(O57&gt;0,0,AA57+V57*Z57)*Z57</f>
        <v>41358.503699999994</v>
      </c>
      <c r="AC57" s="16">
        <f>IF(O57&gt;0,(N57-AA57)/2,IF(AD57&gt;=AG57,(((N57*U57)*Z57)-AB57)/2,((((N57*U57)*Z57)-AA57)+(((N57*U57)*Z57)-AB57))/2))</f>
        <v>31824.785599999999</v>
      </c>
      <c r="AD57" s="16">
        <f>$E57+(($F57-1)/12)</f>
        <v>2013.5</v>
      </c>
      <c r="AE57" s="16">
        <f>($P$5+1)-($P$2/12)</f>
        <v>2018</v>
      </c>
      <c r="AF57" s="16">
        <f>$K57+(($F57-1)/12)</f>
        <v>2018.5</v>
      </c>
      <c r="AG57" s="16">
        <f>$P$4+($P$3/12)</f>
        <v>2017</v>
      </c>
      <c r="AH57" s="16">
        <f>$L57+(($M57-1)/12)</f>
        <v>-8.3333333333333329E-2</v>
      </c>
      <c r="AJ57" s="110">
        <f>+IF((AF57-AG57)&gt;3,((N57-P57)/(AF57-AG57)),(N57-P57)/3)</f>
        <v>7544.668999999999</v>
      </c>
      <c r="AK57" s="110"/>
      <c r="AL57" s="110">
        <f>+AJ57+V57</f>
        <v>16735.4476</v>
      </c>
      <c r="AM57" s="110"/>
      <c r="AN57" s="110">
        <f>+IF(AF57&lt;AG57,-AC57,0)</f>
        <v>0</v>
      </c>
      <c r="AO57" s="110"/>
      <c r="AP57" s="110">
        <f>IF(AF57&gt;AG57,IF(AJ57&gt;0,IF(O57&gt;0,(N57-AA57)/2,IF(AD57&gt;=AG57,(((N57*U57)*Z57)-(AB57+AJ57))/2,((((N57*U57)*Z57)-AA57)+(((N57*U57)*Z57)-(AB57+AJ57)))/2)),0),0)</f>
        <v>28052.451099999998</v>
      </c>
      <c r="AQ57" s="110"/>
      <c r="AR57" s="110">
        <f>+AC57+AN57+(IF(AP57&gt;0,(AP57-AC57),0))</f>
        <v>28052.451099999998</v>
      </c>
    </row>
    <row r="58" spans="1:44" s="6" customFormat="1">
      <c r="A58" s="6">
        <v>109828</v>
      </c>
      <c r="C58" s="26" t="s">
        <v>190</v>
      </c>
      <c r="D58" s="27" t="s">
        <v>276</v>
      </c>
      <c r="E58" s="28">
        <v>2013</v>
      </c>
      <c r="F58" s="28">
        <v>12</v>
      </c>
      <c r="G58" s="89">
        <v>0</v>
      </c>
      <c r="H58" s="16"/>
      <c r="I58" s="26" t="s">
        <v>51</v>
      </c>
      <c r="J58" s="26">
        <v>7</v>
      </c>
      <c r="K58" s="26">
        <f>E58+J58</f>
        <v>2020</v>
      </c>
      <c r="N58" s="29">
        <f>1404.28*3</f>
        <v>4212.84</v>
      </c>
      <c r="O58" s="30"/>
      <c r="P58" s="16">
        <f>N58-N58*G58</f>
        <v>4212.84</v>
      </c>
      <c r="Q58" s="16">
        <f>P58/J58/12</f>
        <v>50.152857142857151</v>
      </c>
      <c r="R58" s="16">
        <f>IF(O58&gt;0,0,IF(OR(AD58&gt;AE58,AF58&lt;AG58),0,IF(AND(AF58&gt;=AG58,AF58&lt;=AE58),Q58*((AF58-AG58)*12),IF(AND(AG58&lt;=AD58,AE58&gt;=AD58),((AE58-AD58)*12)*Q58,IF(AF58&gt;AE58,12*Q58,0)))))</f>
        <v>601.83428571428578</v>
      </c>
      <c r="S58" s="16">
        <f>IF(O58=0,0,IF(AND(AH58&gt;=AG58,AH58&lt;=AF58),((AH58-AG58)*12)*Q58,0))</f>
        <v>0</v>
      </c>
      <c r="T58" s="16">
        <f>IF(S58&gt;0,S58,R58)</f>
        <v>601.83428571428578</v>
      </c>
      <c r="U58" s="16">
        <v>1</v>
      </c>
      <c r="V58" s="16">
        <f>U58*SUM(R58:S58)</f>
        <v>601.83428571428578</v>
      </c>
      <c r="W58" s="16"/>
      <c r="X58" s="16">
        <f>IF(AD58&gt;AE58,0,IF(AF58&lt;AG58,P58,IF(AND(AF58&gt;=AG58,AF58&lt;=AE58),(P58-T58),IF(AND(AG58&lt;=AD58,AE58&gt;=AD58),0,IF(AF58&gt;AE58,((AG58-AD58)*12)*Q58,0)))))</f>
        <v>1855.6557142856689</v>
      </c>
      <c r="Y58" s="16">
        <f>X58*U58</f>
        <v>1855.6557142856689</v>
      </c>
      <c r="Z58" s="16">
        <v>1</v>
      </c>
      <c r="AA58" s="16">
        <f>Y58*Z58</f>
        <v>1855.6557142856689</v>
      </c>
      <c r="AB58" s="16">
        <f>IF(O58&gt;0,0,AA58+V58*Z58)*Z58</f>
        <v>2457.4899999999548</v>
      </c>
      <c r="AC58" s="16">
        <f>IF(O58&gt;0,(N58-AA58)/2,IF(AD58&gt;=AG58,(((N58*U58)*Z58)-AB58)/2,((((N58*U58)*Z58)-AA58)+(((N58*U58)*Z58)-AB58))/2))</f>
        <v>2056.2671428571884</v>
      </c>
      <c r="AD58" s="16">
        <f>$E58+(($F58-1)/12)</f>
        <v>2013.9166666666667</v>
      </c>
      <c r="AE58" s="16">
        <f>($P$5+1)-($P$2/12)</f>
        <v>2018</v>
      </c>
      <c r="AF58" s="16">
        <f>$K58+(($F58-1)/12)</f>
        <v>2020.9166666666667</v>
      </c>
      <c r="AG58" s="16">
        <f>$P$4+($P$3/12)</f>
        <v>2017</v>
      </c>
      <c r="AH58" s="16">
        <f>$L58+(($M58-1)/12)</f>
        <v>-8.3333333333333329E-2</v>
      </c>
      <c r="AJ58" s="110">
        <f>+IF((AF58-AG58)&gt;3,((N58-P58)/(AF58-AG58)),(N58-P58)/3)</f>
        <v>0</v>
      </c>
      <c r="AK58" s="110"/>
      <c r="AL58" s="110">
        <f>+AJ58+V58</f>
        <v>601.83428571428578</v>
      </c>
      <c r="AM58" s="110"/>
      <c r="AN58" s="110">
        <f>+IF(AF58&lt;AG58,-AC58,0)</f>
        <v>0</v>
      </c>
      <c r="AO58" s="110"/>
      <c r="AP58" s="110">
        <f>IF(AF58&gt;AG58,IF(AJ58&gt;0,IF(O58&gt;0,(N58-AA58)/2,IF(AD58&gt;=AG58,(((N58*U58)*Z58)-(AB58+AJ58))/2,((((N58*U58)*Z58)-AA58)+(((N58*U58)*Z58)-(AB58+AJ58)))/2)),0),0)</f>
        <v>0</v>
      </c>
      <c r="AQ58" s="110"/>
      <c r="AR58" s="110">
        <f>+AC58+AN58+(IF(AP58&gt;0,(AP58-AC58),0))</f>
        <v>2056.2671428571884</v>
      </c>
    </row>
    <row r="59" spans="1:44" s="6" customFormat="1">
      <c r="C59" s="26"/>
      <c r="D59" s="27"/>
      <c r="E59" s="28"/>
      <c r="F59" s="28"/>
      <c r="G59" s="89"/>
      <c r="I59" s="26"/>
      <c r="J59" s="26"/>
      <c r="K59" s="26"/>
      <c r="N59" s="29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6" customFormat="1">
      <c r="B60" s="31"/>
      <c r="C60" s="31"/>
      <c r="D60" s="50" t="s">
        <v>17</v>
      </c>
      <c r="E60" s="32"/>
      <c r="F60" s="32"/>
      <c r="G60" s="33"/>
      <c r="I60" s="26"/>
      <c r="J60" s="32"/>
      <c r="K60" s="32"/>
      <c r="N60" s="34">
        <f>SUM(N57:N59)</f>
        <v>72800.739999999991</v>
      </c>
      <c r="P60" s="34">
        <f>SUM(P57:P59)</f>
        <v>50166.732999999993</v>
      </c>
      <c r="Q60" s="34">
        <f>SUM(Q57:Q59)</f>
        <v>816.0510738095237</v>
      </c>
      <c r="R60" s="34">
        <f>SUM(R57:R59)</f>
        <v>9792.6128857142849</v>
      </c>
      <c r="S60" s="34">
        <f>SUM(S57:S59)</f>
        <v>0</v>
      </c>
      <c r="T60" s="34">
        <f>SUM(T57:T59)</f>
        <v>9792.6128857142849</v>
      </c>
      <c r="U60" s="16"/>
      <c r="V60" s="34">
        <f>SUM(V57:V59)</f>
        <v>9792.6128857142849</v>
      </c>
      <c r="W60" s="16"/>
      <c r="X60" s="34">
        <f>SUM(X57:X59)</f>
        <v>34023.380814285665</v>
      </c>
      <c r="Y60" s="34">
        <f>SUM(Y57:Y59)</f>
        <v>34023.380814285665</v>
      </c>
      <c r="Z60" s="16"/>
      <c r="AA60" s="34">
        <f>SUM(AA57:AA59)</f>
        <v>34023.380814285665</v>
      </c>
      <c r="AB60" s="34">
        <f>SUM(AB57:AB59)</f>
        <v>43815.993699999948</v>
      </c>
      <c r="AC60" s="34">
        <f>SUM(AC57:AC59)</f>
        <v>33881.052742857188</v>
      </c>
      <c r="AD60" s="34"/>
      <c r="AE60" s="16"/>
      <c r="AF60" s="16"/>
      <c r="AG60" s="16"/>
      <c r="AH60" s="16"/>
      <c r="AJ60" s="114">
        <f t="shared" ref="AJ60:AR60" si="47">SUM(AJ57:AJ59)</f>
        <v>7544.668999999999</v>
      </c>
      <c r="AK60" s="114">
        <f t="shared" si="47"/>
        <v>0</v>
      </c>
      <c r="AL60" s="114">
        <f t="shared" si="47"/>
        <v>17337.281885714285</v>
      </c>
      <c r="AM60" s="114">
        <f t="shared" si="47"/>
        <v>0</v>
      </c>
      <c r="AN60" s="114">
        <f t="shared" si="47"/>
        <v>0</v>
      </c>
      <c r="AO60" s="114">
        <f t="shared" si="47"/>
        <v>0</v>
      </c>
      <c r="AP60" s="114">
        <f t="shared" si="47"/>
        <v>28052.451099999998</v>
      </c>
      <c r="AQ60" s="114">
        <f t="shared" si="47"/>
        <v>0</v>
      </c>
      <c r="AR60" s="114">
        <f t="shared" si="47"/>
        <v>30108.718242857187</v>
      </c>
    </row>
    <row r="61" spans="1:44" s="6" customFormat="1">
      <c r="B61" s="31"/>
      <c r="C61" s="31"/>
      <c r="D61" s="50"/>
      <c r="E61" s="32"/>
      <c r="F61" s="32"/>
      <c r="G61" s="33"/>
      <c r="I61" s="26"/>
      <c r="J61" s="32"/>
      <c r="K61" s="32"/>
      <c r="N61" s="34"/>
      <c r="P61" s="34"/>
      <c r="Q61" s="34"/>
      <c r="R61" s="34"/>
      <c r="S61" s="34"/>
      <c r="T61" s="34"/>
      <c r="U61" s="16"/>
      <c r="V61" s="34"/>
      <c r="W61" s="16"/>
      <c r="X61" s="16"/>
      <c r="Y61" s="16"/>
      <c r="Z61" s="16"/>
      <c r="AA61" s="34"/>
      <c r="AB61" s="34"/>
      <c r="AC61" s="34"/>
      <c r="AD61" s="34"/>
      <c r="AE61" s="16"/>
      <c r="AF61" s="16"/>
      <c r="AG61" s="16"/>
      <c r="AH61" s="16"/>
      <c r="AJ61" s="110"/>
      <c r="AK61" s="110"/>
      <c r="AL61" s="110"/>
      <c r="AM61" s="110"/>
      <c r="AN61" s="110"/>
      <c r="AO61" s="110"/>
      <c r="AP61" s="110"/>
      <c r="AQ61" s="110"/>
      <c r="AR61" s="110"/>
    </row>
    <row r="62" spans="1:44" s="6" customFormat="1">
      <c r="B62" s="31"/>
      <c r="C62" s="31"/>
      <c r="D62" s="50" t="s">
        <v>313</v>
      </c>
      <c r="E62" s="32"/>
      <c r="F62" s="32"/>
      <c r="G62" s="33"/>
      <c r="I62" s="26"/>
      <c r="J62" s="32"/>
      <c r="K62" s="32"/>
      <c r="N62" s="34"/>
      <c r="P62" s="34"/>
      <c r="Q62" s="34"/>
      <c r="R62" s="34"/>
      <c r="S62" s="34"/>
      <c r="T62" s="34"/>
      <c r="U62" s="16"/>
      <c r="V62" s="34"/>
      <c r="W62" s="16"/>
      <c r="X62" s="16"/>
      <c r="Y62" s="16"/>
      <c r="Z62" s="16"/>
      <c r="AA62" s="34"/>
      <c r="AB62" s="34"/>
      <c r="AC62" s="34"/>
      <c r="AD62" s="34"/>
      <c r="AE62" s="16"/>
      <c r="AF62" s="16"/>
      <c r="AG62" s="16"/>
      <c r="AH62" s="16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6" customFormat="1">
      <c r="A63" s="6">
        <v>121803</v>
      </c>
      <c r="B63" s="6" t="s">
        <v>98</v>
      </c>
      <c r="C63" s="26">
        <v>8814</v>
      </c>
      <c r="D63" s="27" t="s">
        <v>311</v>
      </c>
      <c r="E63" s="28">
        <v>2015</v>
      </c>
      <c r="F63" s="28">
        <v>1</v>
      </c>
      <c r="G63" s="89">
        <v>0.3</v>
      </c>
      <c r="H63" s="16"/>
      <c r="I63" s="26" t="s">
        <v>51</v>
      </c>
      <c r="J63" s="26">
        <v>5</v>
      </c>
      <c r="K63" s="26">
        <f>E63+J63</f>
        <v>2020</v>
      </c>
      <c r="N63" s="29">
        <v>2500</v>
      </c>
      <c r="O63" s="30"/>
      <c r="P63" s="16">
        <f>N63-N63*G63</f>
        <v>1750</v>
      </c>
      <c r="Q63" s="16">
        <f>P63/J63/12</f>
        <v>29.166666666666668</v>
      </c>
      <c r="R63" s="16">
        <f>IF(O63&gt;0,0,IF(OR(AD63&gt;AE63,AF63&lt;AG63),0,IF(AND(AF63&gt;=AG63,AF63&lt;=AE63),Q63*((AF63-AG63)*12),IF(AND(AG63&lt;=AD63,AE63&gt;=AD63),((AE63-AD63)*12)*Q63,IF(AF63&gt;AE63,12*Q63,0)))))</f>
        <v>350</v>
      </c>
      <c r="S63" s="16">
        <f>IF(O63=0,0,IF(AND(AH63&gt;=AG63,AH63&lt;=AF63),((AH63-AG63)*12)*Q63,0))</f>
        <v>0</v>
      </c>
      <c r="T63" s="16">
        <f>IF(S63&gt;0,S63,R63)</f>
        <v>350</v>
      </c>
      <c r="U63" s="16">
        <v>1</v>
      </c>
      <c r="V63" s="16">
        <f>U63*SUM(R63:S63)</f>
        <v>350</v>
      </c>
      <c r="W63" s="16"/>
      <c r="X63" s="16">
        <f>IF(AD63&gt;AE63,0,IF(AF63&lt;AG63,P63,IF(AND(AF63&gt;=AG63,AF63&lt;=AE63),(P63-T63),IF(AND(AG63&lt;=AD63,AE63&gt;=AD63),0,IF(AF63&gt;AE63,((AG63-AD63)*12)*Q63,0)))))</f>
        <v>700</v>
      </c>
      <c r="Y63" s="16">
        <f>X63*U63</f>
        <v>700</v>
      </c>
      <c r="Z63" s="16">
        <v>1</v>
      </c>
      <c r="AA63" s="16">
        <f>Y63*Z63</f>
        <v>700</v>
      </c>
      <c r="AB63" s="16">
        <f>IF(O63&gt;0,0,AA63+V63*Z63)*Z63</f>
        <v>1050</v>
      </c>
      <c r="AC63" s="16">
        <f>IF(O63&gt;0,(N63-AA63)/2,IF(AD63&gt;=AG63,(((N63*U63)*Z63)-AB63)/2,((((N63*U63)*Z63)-AA63)+(((N63*U63)*Z63)-AB63))/2))</f>
        <v>1625</v>
      </c>
      <c r="AD63" s="16">
        <f>$E63+(($F63-1)/12)</f>
        <v>2015</v>
      </c>
      <c r="AE63" s="16">
        <f>($P$5+1)-($P$2/12)</f>
        <v>2018</v>
      </c>
      <c r="AF63" s="16">
        <f>$K63+(($F63-1)/12)</f>
        <v>2020</v>
      </c>
      <c r="AG63" s="16">
        <f>$P$4+($P$3/12)</f>
        <v>2017</v>
      </c>
      <c r="AH63" s="16">
        <f>$L63+(($M63-1)/12)</f>
        <v>-8.3333333333333329E-2</v>
      </c>
      <c r="AJ63" s="110">
        <f>+IF((AF63-AG63)&gt;3,((N63-P63)/(AF63-AG63)),(N63-P63)/3)</f>
        <v>250</v>
      </c>
      <c r="AK63" s="110"/>
      <c r="AL63" s="110">
        <f>+AJ63+V63</f>
        <v>600</v>
      </c>
      <c r="AM63" s="110"/>
      <c r="AN63" s="110">
        <f>+IF(AF63&lt;AG63,-AC63,0)</f>
        <v>0</v>
      </c>
      <c r="AO63" s="110"/>
      <c r="AP63" s="110">
        <f>IF(AF63&gt;AG63,IF(AJ63&gt;0,IF(O63&gt;0,(N63-AA63)/2,IF(AD63&gt;=AG63,(((N63*U63)*Z63)-(AB63+AJ63))/2,((((N63*U63)*Z63)-AA63)+(((N63*U63)*Z63)-(AB63+AJ63)))/2)),0),0)</f>
        <v>1500</v>
      </c>
      <c r="AQ63" s="110"/>
      <c r="AR63" s="110">
        <f>+AC63+AN63+(IF(AP63&gt;0,(AP63-AC63),0))</f>
        <v>1500</v>
      </c>
    </row>
    <row r="64" spans="1:44" s="6" customFormat="1">
      <c r="C64" s="26"/>
      <c r="D64" s="27"/>
      <c r="E64" s="28"/>
      <c r="F64" s="28"/>
      <c r="G64" s="89"/>
      <c r="I64" s="26"/>
      <c r="J64" s="26"/>
      <c r="K64" s="26"/>
      <c r="N64" s="29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6" customFormat="1">
      <c r="B65" s="31"/>
      <c r="C65" s="31"/>
      <c r="D65" s="50" t="s">
        <v>264</v>
      </c>
      <c r="E65" s="32"/>
      <c r="F65" s="32"/>
      <c r="G65" s="33"/>
      <c r="I65" s="26"/>
      <c r="J65" s="32"/>
      <c r="K65" s="32"/>
      <c r="N65" s="34">
        <f>SUM(N63:N64)</f>
        <v>2500</v>
      </c>
      <c r="P65" s="34">
        <f>SUM(P63:P64)</f>
        <v>1750</v>
      </c>
      <c r="Q65" s="34">
        <f>SUM(Q63:Q64)</f>
        <v>29.166666666666668</v>
      </c>
      <c r="R65" s="34">
        <f>SUM(R63:R64)</f>
        <v>350</v>
      </c>
      <c r="S65" s="34">
        <f>SUM(S63:S64)</f>
        <v>0</v>
      </c>
      <c r="T65" s="34">
        <f>SUM(T63:T64)</f>
        <v>350</v>
      </c>
      <c r="U65" s="34"/>
      <c r="V65" s="34">
        <f>SUM(V63:V64)</f>
        <v>350</v>
      </c>
      <c r="W65" s="34"/>
      <c r="X65" s="34">
        <f>SUM(X63:X64)</f>
        <v>700</v>
      </c>
      <c r="Y65" s="34">
        <f>SUM(Y63:Y64)</f>
        <v>700</v>
      </c>
      <c r="Z65" s="34"/>
      <c r="AA65" s="34">
        <f>SUM(AA63:AA64)</f>
        <v>700</v>
      </c>
      <c r="AB65" s="34">
        <f>SUM(AB63:AB64)</f>
        <v>1050</v>
      </c>
      <c r="AC65" s="34">
        <f>SUM(AC63:AC64)</f>
        <v>1625</v>
      </c>
      <c r="AD65" s="16"/>
      <c r="AE65" s="16"/>
      <c r="AF65" s="16"/>
      <c r="AG65" s="16"/>
      <c r="AH65" s="16"/>
      <c r="AJ65" s="114">
        <f t="shared" ref="AJ65:AR65" si="48">SUM(AJ63:AJ64)</f>
        <v>250</v>
      </c>
      <c r="AK65" s="114">
        <f t="shared" si="48"/>
        <v>0</v>
      </c>
      <c r="AL65" s="114">
        <f t="shared" si="48"/>
        <v>600</v>
      </c>
      <c r="AM65" s="114">
        <f t="shared" si="48"/>
        <v>0</v>
      </c>
      <c r="AN65" s="114">
        <f t="shared" si="48"/>
        <v>0</v>
      </c>
      <c r="AO65" s="114">
        <f t="shared" si="48"/>
        <v>0</v>
      </c>
      <c r="AP65" s="114">
        <f t="shared" si="48"/>
        <v>1500</v>
      </c>
      <c r="AQ65" s="114">
        <f t="shared" si="48"/>
        <v>0</v>
      </c>
      <c r="AR65" s="114">
        <f t="shared" si="48"/>
        <v>1500</v>
      </c>
    </row>
    <row r="66" spans="1:44" s="6" customFormat="1">
      <c r="B66" s="31"/>
      <c r="C66" s="31"/>
      <c r="D66" s="50"/>
      <c r="E66" s="32"/>
      <c r="F66" s="32"/>
      <c r="G66" s="33"/>
      <c r="I66" s="26"/>
      <c r="J66" s="32"/>
      <c r="K66" s="32"/>
      <c r="N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6"/>
      <c r="AE66" s="16"/>
      <c r="AF66" s="16"/>
      <c r="AG66" s="16"/>
      <c r="AH66" s="16"/>
      <c r="AJ66" s="110"/>
      <c r="AK66" s="110"/>
      <c r="AL66" s="110"/>
      <c r="AM66" s="110"/>
      <c r="AN66" s="110"/>
      <c r="AO66" s="110"/>
      <c r="AP66" s="110"/>
      <c r="AQ66" s="110"/>
      <c r="AR66" s="110"/>
    </row>
    <row r="67" spans="1:44" s="6" customFormat="1">
      <c r="B67" s="31"/>
      <c r="C67" s="31"/>
      <c r="D67" s="50" t="s">
        <v>265</v>
      </c>
      <c r="E67" s="32"/>
      <c r="F67" s="32"/>
      <c r="G67" s="33"/>
      <c r="I67" s="26"/>
      <c r="J67" s="32"/>
      <c r="K67" s="32"/>
      <c r="N67" s="34"/>
      <c r="P67" s="34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J67" s="110"/>
      <c r="AK67" s="110"/>
      <c r="AL67" s="110"/>
      <c r="AM67" s="110"/>
      <c r="AN67" s="110"/>
      <c r="AO67" s="110"/>
      <c r="AP67" s="110"/>
      <c r="AQ67" s="110"/>
      <c r="AR67" s="110"/>
    </row>
    <row r="68" spans="1:44" s="6" customFormat="1">
      <c r="C68" s="26">
        <v>158</v>
      </c>
      <c r="D68" s="27" t="s">
        <v>221</v>
      </c>
      <c r="E68" s="28">
        <v>2009</v>
      </c>
      <c r="F68" s="28">
        <v>8</v>
      </c>
      <c r="G68" s="89">
        <v>0</v>
      </c>
      <c r="I68" s="26" t="s">
        <v>51</v>
      </c>
      <c r="J68" s="26">
        <v>7</v>
      </c>
      <c r="K68" s="26">
        <f>E68+J68</f>
        <v>2016</v>
      </c>
      <c r="N68" s="29">
        <f>584.89+300</f>
        <v>884.89</v>
      </c>
      <c r="P68" s="16">
        <f>N68-N68*G68</f>
        <v>884.89</v>
      </c>
      <c r="Q68" s="16">
        <f>P68/J68/12</f>
        <v>10.534404761904762</v>
      </c>
      <c r="R68" s="16">
        <f>IF(O68&gt;0,0,IF(OR(AD68&gt;AE68,AF68&lt;AG68),0,IF(AND(AF68&gt;=AG68,AF68&lt;=AE68),Q68*((AF68-AG68)*12),IF(AND(AG68&lt;=AD68,AE68&gt;=AD68),((AE68-AD68)*12)*Q68,IF(AF68&gt;AE68,12*Q68,0)))))</f>
        <v>0</v>
      </c>
      <c r="S68" s="16">
        <f>IF(O68=0,0,IF(AND(AH68&gt;=AG68,AH68&lt;=AF68),((AH68-AG68)*12)*Q68,0))</f>
        <v>0</v>
      </c>
      <c r="T68" s="16">
        <f>IF(S68&gt;0,S68,R68)</f>
        <v>0</v>
      </c>
      <c r="U68" s="16">
        <v>1</v>
      </c>
      <c r="V68" s="16">
        <f>U68*SUM(R68:S68)</f>
        <v>0</v>
      </c>
      <c r="W68" s="16"/>
      <c r="X68" s="16">
        <f>IF(AD68&gt;AE68,0,IF(AF68&lt;AG68,P68,IF(AND(AF68&gt;=AG68,AF68&lt;=AE68),(P68-T68),IF(AND(AG68&lt;=AD68,AE68&gt;=AD68),0,IF(AF68&gt;AE68,((AG68-AD68)*12)*Q68,0)))))</f>
        <v>884.89</v>
      </c>
      <c r="Y68" s="16">
        <f>X68*U68</f>
        <v>884.89</v>
      </c>
      <c r="Z68" s="16">
        <v>1</v>
      </c>
      <c r="AA68" s="16">
        <f>Y68*Z68</f>
        <v>884.89</v>
      </c>
      <c r="AB68" s="16">
        <f>IF(O68&gt;0,0,AA68+V68*Z68)*Z68</f>
        <v>884.89</v>
      </c>
      <c r="AC68" s="16">
        <f>IF(O68&gt;0,(N68-AA68)/2,IF(AD68&gt;=AG68,(((N68*U68)*Z68)-AB68)/2,((((N68*U68)*Z68)-AA68)+(((N68*U68)*Z68)-AB68))/2))</f>
        <v>0</v>
      </c>
      <c r="AD68" s="16">
        <f>$E68+(($F68-1)/12)</f>
        <v>2009.5833333333333</v>
      </c>
      <c r="AE68" s="16">
        <f>($P$5+1)-($P$2/12)</f>
        <v>2018</v>
      </c>
      <c r="AF68" s="16">
        <f>$K68+(($F68-1)/12)</f>
        <v>2016.5833333333333</v>
      </c>
      <c r="AG68" s="16">
        <f>$P$4+($P$3/12)</f>
        <v>2017</v>
      </c>
      <c r="AH68" s="16">
        <f>$L68+(($M68-1)/12)</f>
        <v>-8.3333333333333329E-2</v>
      </c>
      <c r="AJ68" s="110">
        <f t="shared" ref="AJ68:AJ75" si="49">+IF((AF68-AG68)&gt;3,((N68-P68)/(AF68-AG68)),(N68-P68)/3)</f>
        <v>0</v>
      </c>
      <c r="AK68" s="110"/>
      <c r="AL68" s="110">
        <f t="shared" ref="AL68:AL75" si="50">+AJ68+V68</f>
        <v>0</v>
      </c>
      <c r="AM68" s="110"/>
      <c r="AN68" s="110">
        <f t="shared" ref="AN68:AN75" si="51">+IF(AF68&lt;AG68,-AC68,0)</f>
        <v>0</v>
      </c>
      <c r="AO68" s="110"/>
      <c r="AP68" s="110">
        <f t="shared" ref="AP68:AP75" si="52">IF(AF68&gt;AG68,IF(AJ68&gt;0,IF(O68&gt;0,(N68-AA68)/2,IF(AD68&gt;=AG68,(((N68*U68)*Z68)-(AB68+AJ68))/2,((((N68*U68)*Z68)-AA68)+(((N68*U68)*Z68)-(AB68+AJ68)))/2)),0),0)</f>
        <v>0</v>
      </c>
      <c r="AQ68" s="110"/>
      <c r="AR68" s="110">
        <f t="shared" ref="AR68:AR75" si="53">+AC68+AN68+(IF(AP68&gt;0,(AP68-AC68),0))</f>
        <v>0</v>
      </c>
    </row>
    <row r="69" spans="1:44" s="6" customFormat="1">
      <c r="A69" s="6">
        <v>107316</v>
      </c>
      <c r="B69" s="6" t="s">
        <v>273</v>
      </c>
      <c r="C69" s="26">
        <v>9202</v>
      </c>
      <c r="D69" s="27" t="s">
        <v>274</v>
      </c>
      <c r="E69" s="28">
        <v>2010</v>
      </c>
      <c r="F69" s="28">
        <v>12</v>
      </c>
      <c r="G69" s="89">
        <v>0.33</v>
      </c>
      <c r="I69" s="26" t="s">
        <v>51</v>
      </c>
      <c r="J69" s="26">
        <v>5</v>
      </c>
      <c r="K69" s="26">
        <f>E69+J69</f>
        <v>2015</v>
      </c>
      <c r="N69" s="29">
        <v>5902.2</v>
      </c>
      <c r="P69" s="16">
        <f>N69-N69*G69</f>
        <v>3954.4739999999997</v>
      </c>
      <c r="Q69" s="16">
        <f>P69/J69/12</f>
        <v>65.907899999999998</v>
      </c>
      <c r="R69" s="16">
        <f>IF(O69&gt;0,0,IF(OR(AD69&gt;AE69,AF69&lt;AG69),0,IF(AND(AF69&gt;=AG69,AF69&lt;=AE69),Q69*((AF69-AG69)*12),IF(AND(AG69&lt;=AD69,AE69&gt;=AD69),((AE69-AD69)*12)*Q69,IF(AF69&gt;AE69,12*Q69,0)))))</f>
        <v>0</v>
      </c>
      <c r="S69" s="16">
        <f>IF(O69=0,0,IF(AND(AH69&gt;=AG69,AH69&lt;=AF69),((AH69-AG69)*12)*Q69,0))</f>
        <v>0</v>
      </c>
      <c r="T69" s="16">
        <f>IF(S69&gt;0,S69,R69)</f>
        <v>0</v>
      </c>
      <c r="U69" s="16">
        <v>1</v>
      </c>
      <c r="V69" s="16">
        <f>U69*SUM(R69:S69)</f>
        <v>0</v>
      </c>
      <c r="W69" s="16"/>
      <c r="X69" s="16">
        <f>IF(AD69&gt;AE69,0,IF(AF69&lt;AG69,P69,IF(AND(AF69&gt;=AG69,AF69&lt;=AE69),(P69-T69),IF(AND(AG69&lt;=AD69,AE69&gt;=AD69),0,IF(AF69&gt;AE69,((AG69-AD69)*12)*Q69,0)))))</f>
        <v>3954.4739999999997</v>
      </c>
      <c r="Y69" s="16">
        <f>X69*U69</f>
        <v>3954.4739999999997</v>
      </c>
      <c r="Z69" s="16">
        <v>1</v>
      </c>
      <c r="AA69" s="16">
        <f>Y69*Z69</f>
        <v>3954.4739999999997</v>
      </c>
      <c r="AB69" s="16">
        <f>IF(O69&gt;0,0,AA69+V69*Z69)*Z69</f>
        <v>3954.4739999999997</v>
      </c>
      <c r="AC69" s="16">
        <f>IF(O69&gt;0,(N69-AA69)/2,IF(AD69&gt;=AG69,(((N69*U69)*Z69)-AB69)/2,((((N69*U69)*Z69)-AA69)+(((N69*U69)*Z69)-AB69))/2))</f>
        <v>1947.7260000000001</v>
      </c>
      <c r="AD69" s="16">
        <f>$E69+(($F69-1)/12)</f>
        <v>2010.9166666666667</v>
      </c>
      <c r="AE69" s="16">
        <f>($P$5+1)-($P$2/12)</f>
        <v>2018</v>
      </c>
      <c r="AF69" s="16">
        <f>$K69+(($F69-1)/12)</f>
        <v>2015.9166666666667</v>
      </c>
      <c r="AG69" s="16">
        <f>$P$4+($P$3/12)</f>
        <v>2017</v>
      </c>
      <c r="AH69" s="16">
        <f>$L69+(($M69-1)/12)</f>
        <v>-8.3333333333333329E-2</v>
      </c>
      <c r="AJ69" s="110">
        <f t="shared" si="49"/>
        <v>649.24200000000008</v>
      </c>
      <c r="AK69" s="110"/>
      <c r="AL69" s="110">
        <f t="shared" si="50"/>
        <v>649.24200000000008</v>
      </c>
      <c r="AM69" s="110"/>
      <c r="AN69" s="110">
        <f t="shared" si="51"/>
        <v>-1947.7260000000001</v>
      </c>
      <c r="AO69" s="110"/>
      <c r="AP69" s="110">
        <f t="shared" si="52"/>
        <v>0</v>
      </c>
      <c r="AQ69" s="110"/>
      <c r="AR69" s="110">
        <f t="shared" si="53"/>
        <v>0</v>
      </c>
    </row>
    <row r="70" spans="1:44" s="6" customFormat="1">
      <c r="A70" s="6">
        <v>107314</v>
      </c>
      <c r="B70" s="6" t="s">
        <v>273</v>
      </c>
      <c r="C70" s="26">
        <v>9130</v>
      </c>
      <c r="D70" s="27" t="s">
        <v>275</v>
      </c>
      <c r="E70" s="28">
        <v>2010</v>
      </c>
      <c r="F70" s="28">
        <v>12</v>
      </c>
      <c r="G70" s="89">
        <v>0.33</v>
      </c>
      <c r="I70" s="26" t="s">
        <v>51</v>
      </c>
      <c r="J70" s="26">
        <v>5</v>
      </c>
      <c r="K70" s="26">
        <f>E70+J70</f>
        <v>2015</v>
      </c>
      <c r="N70" s="29">
        <v>5902.2</v>
      </c>
      <c r="P70" s="16">
        <f>N70-N70*G70</f>
        <v>3954.4739999999997</v>
      </c>
      <c r="Q70" s="16">
        <f>P70/J70/12</f>
        <v>65.907899999999998</v>
      </c>
      <c r="R70" s="16">
        <f>IF(O70&gt;0,0,IF(OR(AD70&gt;AE70,AF70&lt;AG70),0,IF(AND(AF70&gt;=AG70,AF70&lt;=AE70),Q70*((AF70-AG70)*12),IF(AND(AG70&lt;=AD70,AE70&gt;=AD70),((AE70-AD70)*12)*Q70,IF(AF70&gt;AE70,12*Q70,0)))))</f>
        <v>0</v>
      </c>
      <c r="S70" s="16">
        <f>IF(O70=0,0,IF(AND(AH70&gt;=AG70,AH70&lt;=AF70),((AH70-AG70)*12)*Q70,0))</f>
        <v>0</v>
      </c>
      <c r="T70" s="16">
        <f>IF(S70&gt;0,S70,R70)</f>
        <v>0</v>
      </c>
      <c r="U70" s="16">
        <v>1</v>
      </c>
      <c r="V70" s="16">
        <f>U70*SUM(R70:S70)</f>
        <v>0</v>
      </c>
      <c r="W70" s="16"/>
      <c r="X70" s="16">
        <f>IF(AD70&gt;AE70,0,IF(AF70&lt;AG70,P70,IF(AND(AF70&gt;=AG70,AF70&lt;=AE70),(P70-T70),IF(AND(AG70&lt;=AD70,AE70&gt;=AD70),0,IF(AF70&gt;AE70,((AG70-AD70)*12)*Q70,0)))))</f>
        <v>3954.4739999999997</v>
      </c>
      <c r="Y70" s="16">
        <f>X70*U70</f>
        <v>3954.4739999999997</v>
      </c>
      <c r="Z70" s="16">
        <v>1</v>
      </c>
      <c r="AA70" s="16">
        <f>Y70*Z70</f>
        <v>3954.4739999999997</v>
      </c>
      <c r="AB70" s="16">
        <f>IF(O70&gt;0,0,AA70+V70*Z70)*Z70</f>
        <v>3954.4739999999997</v>
      </c>
      <c r="AC70" s="16">
        <f>IF(O70&gt;0,(N70-AA70)/2,IF(AD70&gt;=AG70,(((N70*U70)*Z70)-AB70)/2,((((N70*U70)*Z70)-AA70)+(((N70*U70)*Z70)-AB70))/2))</f>
        <v>1947.7260000000001</v>
      </c>
      <c r="AD70" s="16">
        <f>$E70+(($F70-1)/12)</f>
        <v>2010.9166666666667</v>
      </c>
      <c r="AE70" s="16">
        <f>($P$5+1)-($P$2/12)</f>
        <v>2018</v>
      </c>
      <c r="AF70" s="16">
        <f>$K70+(($F70-1)/12)</f>
        <v>2015.9166666666667</v>
      </c>
      <c r="AG70" s="16">
        <f>$P$4+($P$3/12)</f>
        <v>2017</v>
      </c>
      <c r="AH70" s="16">
        <f>$L70+(($M70-1)/12)</f>
        <v>-8.3333333333333329E-2</v>
      </c>
      <c r="AJ70" s="110">
        <f t="shared" si="49"/>
        <v>649.24200000000008</v>
      </c>
      <c r="AK70" s="110"/>
      <c r="AL70" s="110">
        <f t="shared" si="50"/>
        <v>649.24200000000008</v>
      </c>
      <c r="AM70" s="110"/>
      <c r="AN70" s="110">
        <f t="shared" si="51"/>
        <v>-1947.7260000000001</v>
      </c>
      <c r="AO70" s="110"/>
      <c r="AP70" s="110">
        <f t="shared" si="52"/>
        <v>0</v>
      </c>
      <c r="AQ70" s="110"/>
      <c r="AR70" s="110">
        <f t="shared" si="53"/>
        <v>0</v>
      </c>
    </row>
    <row r="71" spans="1:44" s="6" customFormat="1">
      <c r="C71" s="26"/>
      <c r="D71" s="27"/>
      <c r="E71" s="28"/>
      <c r="F71" s="28"/>
      <c r="G71" s="89"/>
      <c r="H71" s="16"/>
      <c r="I71" s="26"/>
      <c r="J71" s="26"/>
      <c r="K71" s="26"/>
      <c r="N71" s="29"/>
      <c r="O71" s="30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J71" s="110">
        <f t="shared" si="49"/>
        <v>0</v>
      </c>
      <c r="AK71" s="110"/>
      <c r="AL71" s="110">
        <f t="shared" si="50"/>
        <v>0</v>
      </c>
      <c r="AM71" s="110"/>
      <c r="AN71" s="110">
        <f t="shared" si="51"/>
        <v>0</v>
      </c>
      <c r="AO71" s="110"/>
      <c r="AP71" s="110">
        <f t="shared" si="52"/>
        <v>0</v>
      </c>
      <c r="AQ71" s="110"/>
      <c r="AR71" s="110">
        <f t="shared" si="53"/>
        <v>0</v>
      </c>
    </row>
    <row r="72" spans="1:44" s="6" customFormat="1">
      <c r="A72" s="6">
        <v>180929</v>
      </c>
      <c r="B72" s="6" t="s">
        <v>273</v>
      </c>
      <c r="C72" s="26"/>
      <c r="D72" s="27" t="s">
        <v>368</v>
      </c>
      <c r="E72" s="28">
        <v>2004</v>
      </c>
      <c r="F72" s="28">
        <v>11</v>
      </c>
      <c r="G72" s="89">
        <v>0</v>
      </c>
      <c r="H72" s="16"/>
      <c r="I72" s="26" t="s">
        <v>51</v>
      </c>
      <c r="J72" s="26">
        <v>8</v>
      </c>
      <c r="K72" s="26">
        <f>E72+J72</f>
        <v>2012</v>
      </c>
      <c r="N72" s="29">
        <v>20000</v>
      </c>
      <c r="P72" s="16">
        <f>N72-N72*G72</f>
        <v>20000</v>
      </c>
      <c r="Q72" s="16">
        <f>P72/J72/12</f>
        <v>208.33333333333334</v>
      </c>
      <c r="R72" s="16">
        <f>IF(O72&gt;0,0,IF(OR(AD72&gt;AE72,AF72&lt;AG72),0,IF(AND(AF72&gt;=AG72,AF72&lt;=AE72),Q72*((AF72-AG72)*12),IF(AND(AG72&lt;=AD72,AE72&gt;=AD72),((AE72-AD72)*12)*Q72,IF(AF72&gt;AE72,12*Q72,0)))))</f>
        <v>0</v>
      </c>
      <c r="S72" s="16">
        <f>IF(O72=0,0,IF(AND(AH72&gt;=AG72,AH72&lt;=AF72),((AH72-AG72)*12)*Q72,0))</f>
        <v>0</v>
      </c>
      <c r="T72" s="16">
        <f>IF(S72&gt;0,S72,R72)</f>
        <v>0</v>
      </c>
      <c r="U72" s="16">
        <v>1</v>
      </c>
      <c r="V72" s="16">
        <f>U72*SUM(R72:S72)</f>
        <v>0</v>
      </c>
      <c r="W72" s="16"/>
      <c r="X72" s="16">
        <f>IF(AD72&gt;AE72,0,IF(AF72&lt;AG72,P72,IF(AND(AF72&gt;=AG72,AF72&lt;=AE72),(P72-T72),IF(AND(AG72&lt;=AD72,AE72&gt;=AD72),0,IF(AF72&gt;AE72,((AG72-AD72)*12)*Q72,0)))))</f>
        <v>20000</v>
      </c>
      <c r="Y72" s="16">
        <f>X72*U72</f>
        <v>20000</v>
      </c>
      <c r="Z72" s="16">
        <v>1</v>
      </c>
      <c r="AA72" s="16">
        <f>Y72*Z72</f>
        <v>20000</v>
      </c>
      <c r="AB72" s="16">
        <f>IF(O72&gt;0,0,AA72+V72*Z72)*Z72</f>
        <v>20000</v>
      </c>
      <c r="AC72" s="16">
        <f>IF(O72&gt;0,(N72-AA72)/2,IF(AD72&gt;=AG72,(((N72*U72)*Z72)-AB72)/2,((((N72*U72)*Z72)-AA72)+(((N72*U72)*Z72)-AB72))/2))</f>
        <v>0</v>
      </c>
      <c r="AD72" s="16">
        <f>$E72+(($F72-1)/12)</f>
        <v>2004.8333333333333</v>
      </c>
      <c r="AE72" s="16">
        <f>($P$5+1)-($P$2/12)</f>
        <v>2018</v>
      </c>
      <c r="AF72" s="16">
        <f>$K72+(($F72-1)/12)</f>
        <v>2012.8333333333333</v>
      </c>
      <c r="AG72" s="16">
        <f>$P$4+($P$3/12)</f>
        <v>2017</v>
      </c>
      <c r="AH72" s="16">
        <f>$L72+(($M72-1)/12)</f>
        <v>-8.3333333333333329E-2</v>
      </c>
      <c r="AJ72" s="110">
        <f t="shared" si="49"/>
        <v>0</v>
      </c>
      <c r="AK72" s="110"/>
      <c r="AL72" s="110">
        <f t="shared" si="50"/>
        <v>0</v>
      </c>
      <c r="AM72" s="110"/>
      <c r="AN72" s="110">
        <f t="shared" si="51"/>
        <v>0</v>
      </c>
      <c r="AO72" s="110"/>
      <c r="AP72" s="110">
        <f t="shared" si="52"/>
        <v>0</v>
      </c>
      <c r="AQ72" s="110"/>
      <c r="AR72" s="110">
        <f t="shared" si="53"/>
        <v>0</v>
      </c>
    </row>
    <row r="73" spans="1:44" s="6" customFormat="1">
      <c r="A73" s="6">
        <v>180945</v>
      </c>
      <c r="B73" s="6" t="s">
        <v>273</v>
      </c>
      <c r="C73" s="26"/>
      <c r="D73" s="27" t="s">
        <v>369</v>
      </c>
      <c r="E73" s="28">
        <v>2016</v>
      </c>
      <c r="F73" s="28">
        <v>12</v>
      </c>
      <c r="G73" s="89">
        <v>0</v>
      </c>
      <c r="H73" s="16"/>
      <c r="I73" s="26" t="s">
        <v>51</v>
      </c>
      <c r="J73" s="26">
        <v>3</v>
      </c>
      <c r="K73" s="26">
        <f>E73+J73</f>
        <v>2019</v>
      </c>
      <c r="N73" s="29">
        <v>12500</v>
      </c>
      <c r="P73" s="16">
        <f>N73-N73*G73</f>
        <v>12500</v>
      </c>
      <c r="Q73" s="16">
        <f>P73/J73/12</f>
        <v>347.22222222222223</v>
      </c>
      <c r="R73" s="16">
        <f>IF(O73&gt;0,0,IF(OR(AD73&gt;AE73,AF73&lt;AG73),0,IF(AND(AF73&gt;=AG73,AF73&lt;=AE73),Q73*((AF73-AG73)*12),IF(AND(AG73&lt;=AD73,AE73&gt;=AD73),((AE73-AD73)*12)*Q73,IF(AF73&gt;AE73,12*Q73,0)))))</f>
        <v>4166.666666666667</v>
      </c>
      <c r="S73" s="16">
        <f>IF(O73=0,0,IF(AND(AH73&gt;=AG73,AH73&lt;=AF73),((AH73-AG73)*12)*Q73,0))</f>
        <v>0</v>
      </c>
      <c r="T73" s="16">
        <f>IF(S73&gt;0,S73,R73)</f>
        <v>4166.666666666667</v>
      </c>
      <c r="U73" s="16">
        <v>1</v>
      </c>
      <c r="V73" s="16">
        <f>U73*SUM(R73:S73)</f>
        <v>4166.666666666667</v>
      </c>
      <c r="W73" s="16"/>
      <c r="X73" s="16">
        <f>IF(AD73&gt;AE73,0,IF(AF73&lt;AG73,P73,IF(AND(AF73&gt;=AG73,AF73&lt;=AE73),(P73-T73),IF(AND(AG73&lt;=AD73,AE73&gt;=AD73),0,IF(AF73&gt;AE73,((AG73-AD73)*12)*Q73,0)))))</f>
        <v>347.22222222190641</v>
      </c>
      <c r="Y73" s="16">
        <f>X73*U73</f>
        <v>347.22222222190641</v>
      </c>
      <c r="Z73" s="16">
        <v>1</v>
      </c>
      <c r="AA73" s="16">
        <f>Y73*Z73</f>
        <v>347.22222222190641</v>
      </c>
      <c r="AB73" s="16">
        <f>IF(O73&gt;0,0,AA73+V73*Z73)*Z73</f>
        <v>4513.8888888885731</v>
      </c>
      <c r="AC73" s="16">
        <f>IF(O73&gt;0,(N73-AA73)/2,IF(AD73&gt;=AG73,(((N73*U73)*Z73)-AB73)/2,((((N73*U73)*Z73)-AA73)+(((N73*U73)*Z73)-AB73))/2))</f>
        <v>10069.44444444476</v>
      </c>
      <c r="AD73" s="16">
        <f>$E73+(($F73-1)/12)</f>
        <v>2016.9166666666667</v>
      </c>
      <c r="AE73" s="16">
        <f>($P$5+1)-($P$2/12)</f>
        <v>2018</v>
      </c>
      <c r="AF73" s="16">
        <f>$K73+(($F73-1)/12)</f>
        <v>2019.9166666666667</v>
      </c>
      <c r="AG73" s="16">
        <f>$P$4+($P$3/12)</f>
        <v>2017</v>
      </c>
      <c r="AH73" s="16">
        <f>$L73+(($M73-1)/12)</f>
        <v>-8.3333333333333329E-2</v>
      </c>
      <c r="AJ73" s="110">
        <f t="shared" si="49"/>
        <v>0</v>
      </c>
      <c r="AK73" s="110"/>
      <c r="AL73" s="110">
        <f t="shared" si="50"/>
        <v>4166.666666666667</v>
      </c>
      <c r="AM73" s="110"/>
      <c r="AN73" s="110">
        <f t="shared" si="51"/>
        <v>0</v>
      </c>
      <c r="AO73" s="110"/>
      <c r="AP73" s="110">
        <f t="shared" si="52"/>
        <v>0</v>
      </c>
      <c r="AQ73" s="110"/>
      <c r="AR73" s="110">
        <f t="shared" si="53"/>
        <v>10069.44444444476</v>
      </c>
    </row>
    <row r="74" spans="1:44" s="6" customFormat="1">
      <c r="A74" s="6">
        <v>185113</v>
      </c>
      <c r="B74" s="6" t="s">
        <v>273</v>
      </c>
      <c r="C74" s="26"/>
      <c r="D74" s="27" t="s">
        <v>370</v>
      </c>
      <c r="E74" s="28">
        <v>2008</v>
      </c>
      <c r="F74" s="28">
        <v>11</v>
      </c>
      <c r="G74" s="89">
        <v>0</v>
      </c>
      <c r="H74" s="16"/>
      <c r="I74" s="26" t="s">
        <v>51</v>
      </c>
      <c r="J74" s="26">
        <v>3</v>
      </c>
      <c r="K74" s="26">
        <f>E74+J74</f>
        <v>2011</v>
      </c>
      <c r="N74" s="29">
        <v>2500</v>
      </c>
      <c r="P74" s="16">
        <f>N74-N74*G74</f>
        <v>2500</v>
      </c>
      <c r="Q74" s="16">
        <f>P74/J74/12</f>
        <v>69.444444444444443</v>
      </c>
      <c r="R74" s="16">
        <f>IF(O74&gt;0,0,IF(OR(AD74&gt;AE74,AF74&lt;AG74),0,IF(AND(AF74&gt;=AG74,AF74&lt;=AE74),Q74*((AF74-AG74)*12),IF(AND(AG74&lt;=AD74,AE74&gt;=AD74),((AE74-AD74)*12)*Q74,IF(AF74&gt;AE74,12*Q74,0)))))</f>
        <v>0</v>
      </c>
      <c r="S74" s="16">
        <f>IF(O74=0,0,IF(AND(AH74&gt;=AG74,AH74&lt;=AF74),((AH74-AG74)*12)*Q74,0))</f>
        <v>0</v>
      </c>
      <c r="T74" s="16">
        <f>IF(S74&gt;0,S74,R74)</f>
        <v>0</v>
      </c>
      <c r="U74" s="16">
        <v>1</v>
      </c>
      <c r="V74" s="16">
        <f>U74*SUM(R74:S74)</f>
        <v>0</v>
      </c>
      <c r="W74" s="16"/>
      <c r="X74" s="16">
        <f>IF(AD74&gt;AE74,0,IF(AF74&lt;AG74,P74,IF(AND(AF74&gt;=AG74,AF74&lt;=AE74),(P74-T74),IF(AND(AG74&lt;=AD74,AE74&gt;=AD74),0,IF(AF74&gt;AE74,((AG74-AD74)*12)*Q74,0)))))</f>
        <v>2500</v>
      </c>
      <c r="Y74" s="16">
        <f>X74*U74</f>
        <v>2500</v>
      </c>
      <c r="Z74" s="16">
        <v>1</v>
      </c>
      <c r="AA74" s="16">
        <f>Y74*Z74</f>
        <v>2500</v>
      </c>
      <c r="AB74" s="16">
        <f>IF(O74&gt;0,0,AA74+V74*Z74)*Z74</f>
        <v>2500</v>
      </c>
      <c r="AC74" s="16">
        <f>IF(O74&gt;0,(N74-AA74)/2,IF(AD74&gt;=AG74,(((N74*U74)*Z74)-AB74)/2,((((N74*U74)*Z74)-AA74)+(((N74*U74)*Z74)-AB74))/2))</f>
        <v>0</v>
      </c>
      <c r="AD74" s="16">
        <f>$E74+(($F74-1)/12)</f>
        <v>2008.8333333333333</v>
      </c>
      <c r="AE74" s="16">
        <f>($P$5+1)-($P$2/12)</f>
        <v>2018</v>
      </c>
      <c r="AF74" s="16">
        <f>$K74+(($F74-1)/12)</f>
        <v>2011.8333333333333</v>
      </c>
      <c r="AG74" s="16">
        <f>$P$4+($P$3/12)</f>
        <v>2017</v>
      </c>
      <c r="AH74" s="16">
        <f>$L74+(($M74-1)/12)</f>
        <v>-8.3333333333333329E-2</v>
      </c>
      <c r="AJ74" s="110">
        <f t="shared" si="49"/>
        <v>0</v>
      </c>
      <c r="AK74" s="110"/>
      <c r="AL74" s="110">
        <f t="shared" si="50"/>
        <v>0</v>
      </c>
      <c r="AM74" s="110"/>
      <c r="AN74" s="110">
        <f t="shared" si="51"/>
        <v>0</v>
      </c>
      <c r="AO74" s="110"/>
      <c r="AP74" s="110">
        <f t="shared" si="52"/>
        <v>0</v>
      </c>
      <c r="AQ74" s="110"/>
      <c r="AR74" s="110">
        <f t="shared" si="53"/>
        <v>0</v>
      </c>
    </row>
    <row r="75" spans="1:44" s="6" customFormat="1">
      <c r="A75" s="6">
        <v>185114</v>
      </c>
      <c r="B75" s="6" t="s">
        <v>273</v>
      </c>
      <c r="C75" s="26"/>
      <c r="D75" s="27" t="s">
        <v>371</v>
      </c>
      <c r="E75" s="28">
        <v>2008</v>
      </c>
      <c r="F75" s="28">
        <v>11</v>
      </c>
      <c r="G75" s="89">
        <v>0</v>
      </c>
      <c r="H75" s="16"/>
      <c r="I75" s="26" t="s">
        <v>51</v>
      </c>
      <c r="J75" s="26">
        <v>3</v>
      </c>
      <c r="K75" s="26">
        <f>E75+J75</f>
        <v>2011</v>
      </c>
      <c r="N75" s="29">
        <v>2500</v>
      </c>
      <c r="P75" s="16">
        <f>N75-N75*G75</f>
        <v>2500</v>
      </c>
      <c r="Q75" s="16">
        <f>P75/J75/12</f>
        <v>69.444444444444443</v>
      </c>
      <c r="R75" s="16">
        <f>IF(O75&gt;0,0,IF(OR(AD75&gt;AE75,AF75&lt;AG75),0,IF(AND(AF75&gt;=AG75,AF75&lt;=AE75),Q75*((AF75-AG75)*12),IF(AND(AG75&lt;=AD75,AE75&gt;=AD75),((AE75-AD75)*12)*Q75,IF(AF75&gt;AE75,12*Q75,0)))))</f>
        <v>0</v>
      </c>
      <c r="S75" s="16">
        <f>IF(O75=0,0,IF(AND(AH75&gt;=AG75,AH75&lt;=AF75),((AH75-AG75)*12)*Q75,0))</f>
        <v>0</v>
      </c>
      <c r="T75" s="16">
        <f>IF(S75&gt;0,S75,R75)</f>
        <v>0</v>
      </c>
      <c r="U75" s="16">
        <v>1</v>
      </c>
      <c r="V75" s="16">
        <f>U75*SUM(R75:S75)</f>
        <v>0</v>
      </c>
      <c r="W75" s="16"/>
      <c r="X75" s="16">
        <f>IF(AD75&gt;AE75,0,IF(AF75&lt;AG75,P75,IF(AND(AF75&gt;=AG75,AF75&lt;=AE75),(P75-T75),IF(AND(AG75&lt;=AD75,AE75&gt;=AD75),0,IF(AF75&gt;AE75,((AG75-AD75)*12)*Q75,0)))))</f>
        <v>2500</v>
      </c>
      <c r="Y75" s="16">
        <f>X75*U75</f>
        <v>2500</v>
      </c>
      <c r="Z75" s="16">
        <v>1</v>
      </c>
      <c r="AA75" s="16">
        <f>Y75*Z75</f>
        <v>2500</v>
      </c>
      <c r="AB75" s="16">
        <f>IF(O75&gt;0,0,AA75+V75*Z75)*Z75</f>
        <v>2500</v>
      </c>
      <c r="AC75" s="16">
        <f>IF(O75&gt;0,(N75-AA75)/2,IF(AD75&gt;=AG75,(((N75*U75)*Z75)-AB75)/2,((((N75*U75)*Z75)-AA75)+(((N75*U75)*Z75)-AB75))/2))</f>
        <v>0</v>
      </c>
      <c r="AD75" s="16">
        <f>$E75+(($F75-1)/12)</f>
        <v>2008.8333333333333</v>
      </c>
      <c r="AE75" s="16">
        <f>($P$5+1)-($P$2/12)</f>
        <v>2018</v>
      </c>
      <c r="AF75" s="16">
        <f>$K75+(($F75-1)/12)</f>
        <v>2011.8333333333333</v>
      </c>
      <c r="AG75" s="16">
        <f>$P$4+($P$3/12)</f>
        <v>2017</v>
      </c>
      <c r="AH75" s="16">
        <f>$L75+(($M75-1)/12)</f>
        <v>-8.3333333333333329E-2</v>
      </c>
      <c r="AJ75" s="110">
        <f t="shared" si="49"/>
        <v>0</v>
      </c>
      <c r="AK75" s="110"/>
      <c r="AL75" s="110">
        <f t="shared" si="50"/>
        <v>0</v>
      </c>
      <c r="AM75" s="110"/>
      <c r="AN75" s="110">
        <f t="shared" si="51"/>
        <v>0</v>
      </c>
      <c r="AO75" s="110"/>
      <c r="AP75" s="110">
        <f t="shared" si="52"/>
        <v>0</v>
      </c>
      <c r="AQ75" s="110"/>
      <c r="AR75" s="110">
        <f t="shared" si="53"/>
        <v>0</v>
      </c>
    </row>
    <row r="76" spans="1:44" s="6" customFormat="1">
      <c r="C76" s="26"/>
      <c r="D76" s="27"/>
      <c r="E76" s="28"/>
      <c r="F76" s="28"/>
      <c r="G76" s="89"/>
      <c r="I76" s="26"/>
      <c r="J76" s="26"/>
      <c r="K76" s="26"/>
      <c r="N76" s="29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J76" s="110"/>
      <c r="AK76" s="110"/>
      <c r="AL76" s="110"/>
      <c r="AM76" s="110"/>
      <c r="AN76" s="110"/>
      <c r="AO76" s="110"/>
      <c r="AP76" s="110"/>
      <c r="AQ76" s="110"/>
      <c r="AR76" s="110"/>
    </row>
    <row r="77" spans="1:44" s="6" customFormat="1">
      <c r="C77" s="26"/>
      <c r="D77" s="50" t="s">
        <v>266</v>
      </c>
      <c r="E77" s="28"/>
      <c r="F77" s="28"/>
      <c r="G77" s="89"/>
      <c r="I77" s="26"/>
      <c r="J77" s="26"/>
      <c r="K77" s="26"/>
      <c r="N77" s="35">
        <f>SUM(N68:N76)</f>
        <v>50189.29</v>
      </c>
      <c r="P77" s="35">
        <f>SUM(P68:P76)</f>
        <v>46293.838000000003</v>
      </c>
      <c r="Q77" s="35">
        <f>SUM(Q68:Q76)</f>
        <v>836.79464920634928</v>
      </c>
      <c r="R77" s="35">
        <f>SUM(R68:R76)</f>
        <v>4166.666666666667</v>
      </c>
      <c r="S77" s="35">
        <f>SUM(S68:S76)</f>
        <v>0</v>
      </c>
      <c r="T77" s="35">
        <f>SUM(T68:T76)</f>
        <v>4166.666666666667</v>
      </c>
      <c r="U77" s="35"/>
      <c r="V77" s="35">
        <f>SUM(V68:V76)</f>
        <v>4166.666666666667</v>
      </c>
      <c r="W77" s="35"/>
      <c r="X77" s="35">
        <f>SUM(X68:X76)</f>
        <v>34141.060222221902</v>
      </c>
      <c r="Y77" s="35">
        <f>SUM(Y68:Y76)</f>
        <v>34141.060222221902</v>
      </c>
      <c r="Z77" s="35"/>
      <c r="AA77" s="35">
        <f>SUM(AA68:AA76)</f>
        <v>34141.060222221902</v>
      </c>
      <c r="AB77" s="35">
        <f>SUM(AB68:AB76)</f>
        <v>38307.726888888574</v>
      </c>
      <c r="AC77" s="35">
        <f>SUM(AC68:AC76)</f>
        <v>13964.896444444759</v>
      </c>
      <c r="AD77" s="16"/>
      <c r="AE77" s="16"/>
      <c r="AF77" s="16"/>
      <c r="AG77" s="16"/>
      <c r="AH77" s="16"/>
      <c r="AJ77" s="111">
        <f t="shared" ref="AJ77:AR77" si="54">SUM(AJ68:AJ76)</f>
        <v>1298.4840000000002</v>
      </c>
      <c r="AK77" s="111">
        <f t="shared" si="54"/>
        <v>0</v>
      </c>
      <c r="AL77" s="111">
        <f t="shared" si="54"/>
        <v>5465.1506666666673</v>
      </c>
      <c r="AM77" s="111">
        <f t="shared" si="54"/>
        <v>0</v>
      </c>
      <c r="AN77" s="111">
        <f t="shared" si="54"/>
        <v>-3895.4520000000002</v>
      </c>
      <c r="AO77" s="111">
        <f t="shared" si="54"/>
        <v>0</v>
      </c>
      <c r="AP77" s="111">
        <f t="shared" si="54"/>
        <v>0</v>
      </c>
      <c r="AQ77" s="111">
        <f t="shared" si="54"/>
        <v>0</v>
      </c>
      <c r="AR77" s="111">
        <f t="shared" si="54"/>
        <v>10069.44444444476</v>
      </c>
    </row>
    <row r="78" spans="1:44" s="6" customFormat="1">
      <c r="C78" s="26"/>
      <c r="D78" s="50"/>
      <c r="E78" s="28"/>
      <c r="F78" s="28"/>
      <c r="G78" s="89"/>
      <c r="I78" s="26"/>
      <c r="J78" s="26"/>
      <c r="K78" s="26"/>
      <c r="N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16"/>
      <c r="AE78" s="16"/>
      <c r="AF78" s="16"/>
      <c r="AG78" s="16"/>
      <c r="AH78" s="16"/>
      <c r="AJ78" s="110"/>
      <c r="AK78" s="110"/>
      <c r="AL78" s="110"/>
      <c r="AM78" s="110"/>
      <c r="AN78" s="110"/>
      <c r="AO78" s="110"/>
      <c r="AP78" s="110"/>
      <c r="AQ78" s="110"/>
      <c r="AR78" s="110"/>
    </row>
    <row r="79" spans="1:44" s="6" customFormat="1">
      <c r="C79" s="26"/>
      <c r="D79" s="50" t="s">
        <v>297</v>
      </c>
      <c r="E79" s="28"/>
      <c r="F79" s="28"/>
      <c r="G79" s="89"/>
      <c r="I79" s="26"/>
      <c r="J79" s="26"/>
      <c r="K79" s="26"/>
      <c r="N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16"/>
      <c r="AE79" s="16"/>
      <c r="AF79" s="16"/>
      <c r="AG79" s="16"/>
      <c r="AH79" s="16"/>
      <c r="AJ79" s="110"/>
      <c r="AK79" s="110"/>
      <c r="AL79" s="110"/>
      <c r="AM79" s="110"/>
      <c r="AN79" s="110"/>
      <c r="AO79" s="110"/>
      <c r="AP79" s="110"/>
      <c r="AQ79" s="110"/>
      <c r="AR79" s="110"/>
    </row>
    <row r="80" spans="1:44" s="91" customFormat="1">
      <c r="A80" s="6" t="s">
        <v>294</v>
      </c>
      <c r="B80" s="6" t="s">
        <v>295</v>
      </c>
      <c r="C80" s="26">
        <v>153</v>
      </c>
      <c r="D80" s="27" t="s">
        <v>296</v>
      </c>
      <c r="E80" s="28">
        <v>2006</v>
      </c>
      <c r="F80" s="28">
        <v>6</v>
      </c>
      <c r="G80" s="89">
        <v>0.33</v>
      </c>
      <c r="H80" s="6"/>
      <c r="I80" s="26" t="s">
        <v>51</v>
      </c>
      <c r="J80" s="26">
        <v>5</v>
      </c>
      <c r="K80" s="26">
        <f>E80+J80</f>
        <v>2011</v>
      </c>
      <c r="L80" s="6"/>
      <c r="M80" s="6"/>
      <c r="N80" s="29">
        <f>99553.75+4036.7</f>
        <v>103590.45</v>
      </c>
      <c r="O80" s="6"/>
      <c r="P80" s="16">
        <f>N80-N80*G80</f>
        <v>69405.60149999999</v>
      </c>
      <c r="Q80" s="16">
        <f>P80/J80/12</f>
        <v>1156.7600249999998</v>
      </c>
      <c r="R80" s="16">
        <f>IF(O80&gt;0,0,IF(OR(AD80&gt;AE80,AF80&lt;AG80),0,IF(AND(AF80&gt;=AG80,AF80&lt;=AE80),Q80*((AF80-AG80)*12),IF(AND(AG80&lt;=AD80,AE80&gt;=AD80),((AE80-AD80)*12)*Q80,IF(AF80&gt;AE80,12*Q80,0)))))</f>
        <v>0</v>
      </c>
      <c r="S80" s="16">
        <f>IF(O80=0,0,IF(AND(AH80&gt;=AG80,AH80&lt;=AF80),((AH80-AG80)*12)*Q80,0))</f>
        <v>0</v>
      </c>
      <c r="T80" s="16">
        <f>IF(S80&gt;0,S80,R80)</f>
        <v>0</v>
      </c>
      <c r="U80" s="16">
        <v>1</v>
      </c>
      <c r="V80" s="16">
        <f>U80*SUM(R80:S80)</f>
        <v>0</v>
      </c>
      <c r="W80" s="16"/>
      <c r="X80" s="16">
        <f>IF(AD80&gt;AE80,0,IF(AF80&lt;AG80,P80,IF(AND(AF80&gt;=AG80,AF80&lt;=AE80),(P80-T80),IF(AND(AG80&lt;=AD80,AE80&gt;=AD80),0,IF(AF80&gt;AE80,((AG80-AD80)*12)*Q80,0)))))</f>
        <v>69405.60149999999</v>
      </c>
      <c r="Y80" s="16">
        <f>X80*U80</f>
        <v>69405.60149999999</v>
      </c>
      <c r="Z80" s="16">
        <v>1</v>
      </c>
      <c r="AA80" s="16">
        <f>Y80*Z80</f>
        <v>69405.60149999999</v>
      </c>
      <c r="AB80" s="16">
        <f>IF(O80&gt;0,0,AA80+V80*Z80)*Z80</f>
        <v>69405.60149999999</v>
      </c>
      <c r="AC80" s="16">
        <f>IF(O80&gt;0,(N80-AA80)/2,IF(AD80&gt;=AG80,(((N80*U80)*Z80)-AB80)/2,((((N80*U80)*Z80)-AA80)+(((N80*U80)*Z80)-AB80))/2))</f>
        <v>34184.848500000007</v>
      </c>
      <c r="AD80" s="16">
        <f>$E80+(($F80-1)/12)</f>
        <v>2006.4166666666667</v>
      </c>
      <c r="AE80" s="16">
        <f>($P$5+1)-($P$2/12)</f>
        <v>2018</v>
      </c>
      <c r="AF80" s="16">
        <f>$K80+(($F80-1)/12)</f>
        <v>2011.4166666666667</v>
      </c>
      <c r="AG80" s="16">
        <f>$P$4+($P$3/12)</f>
        <v>2017</v>
      </c>
      <c r="AH80" s="16">
        <f>$L80+(($M80-1)/12)</f>
        <v>-8.3333333333333329E-2</v>
      </c>
      <c r="AI80" s="6"/>
      <c r="AJ80" s="110">
        <f>+IF((AF80-AG80)&gt;3,((N80-P80)/(AF80-AG80)),(N80-P80)/3)</f>
        <v>11394.949500000002</v>
      </c>
      <c r="AK80" s="110"/>
      <c r="AL80" s="110">
        <f>+AJ80+V80</f>
        <v>11394.949500000002</v>
      </c>
      <c r="AM80" s="110"/>
      <c r="AN80" s="110">
        <f>+IF(AF80&lt;AG80,-AC80,0)</f>
        <v>-34184.848500000007</v>
      </c>
      <c r="AO80" s="110"/>
      <c r="AP80" s="110">
        <f>IF(AF80&gt;AG80,IF(AJ80&gt;0,IF(O80&gt;0,(N80-AA80)/2,IF(AD80&gt;=AG80,(((N80*U80)*Z80)-(AB80+AJ80))/2,((((N80*U80)*Z80)-AA80)+(((N80*U80)*Z80)-(AB80+AJ80)))/2)),0),0)</f>
        <v>0</v>
      </c>
      <c r="AQ80" s="110"/>
      <c r="AR80" s="110">
        <f>+AC80+AN80+(IF(AP80&gt;0,(AP80-AC80),0))</f>
        <v>0</v>
      </c>
    </row>
    <row r="81" spans="1:44" s="6" customFormat="1">
      <c r="C81" s="26"/>
      <c r="D81" s="50"/>
      <c r="E81" s="28"/>
      <c r="F81" s="28"/>
      <c r="G81" s="89"/>
      <c r="I81" s="26"/>
      <c r="J81" s="26"/>
      <c r="K81" s="26"/>
      <c r="N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16"/>
      <c r="AE81" s="16"/>
      <c r="AF81" s="16"/>
      <c r="AG81" s="16"/>
      <c r="AH81" s="16"/>
      <c r="AJ81" s="110"/>
      <c r="AK81" s="110"/>
      <c r="AL81" s="110"/>
      <c r="AM81" s="110"/>
      <c r="AN81" s="110"/>
      <c r="AO81" s="110"/>
      <c r="AP81" s="110"/>
      <c r="AQ81" s="110"/>
      <c r="AR81" s="110"/>
    </row>
    <row r="82" spans="1:44" s="6" customFormat="1">
      <c r="C82" s="26"/>
      <c r="D82" s="50" t="s">
        <v>298</v>
      </c>
      <c r="E82" s="28"/>
      <c r="F82" s="28"/>
      <c r="G82" s="89"/>
      <c r="I82" s="26"/>
      <c r="J82" s="26"/>
      <c r="K82" s="26"/>
      <c r="N82" s="35">
        <f>SUM(N80)</f>
        <v>103590.45</v>
      </c>
      <c r="P82" s="35">
        <f>SUM(P80)</f>
        <v>69405.60149999999</v>
      </c>
      <c r="Q82" s="35">
        <f>SUM(Q80)</f>
        <v>1156.7600249999998</v>
      </c>
      <c r="R82" s="35">
        <f>SUM(R80)</f>
        <v>0</v>
      </c>
      <c r="S82" s="35"/>
      <c r="T82" s="35">
        <f>SUM(T80)</f>
        <v>0</v>
      </c>
      <c r="U82" s="35"/>
      <c r="V82" s="35">
        <f>SUM(V80)</f>
        <v>0</v>
      </c>
      <c r="W82" s="35"/>
      <c r="X82" s="35">
        <f>SUM(X80)</f>
        <v>69405.60149999999</v>
      </c>
      <c r="Y82" s="35">
        <f>SUM(Y80)</f>
        <v>69405.60149999999</v>
      </c>
      <c r="Z82" s="35"/>
      <c r="AA82" s="35">
        <f>SUM(AA80)</f>
        <v>69405.60149999999</v>
      </c>
      <c r="AB82" s="35">
        <f>SUM(AB80)</f>
        <v>69405.60149999999</v>
      </c>
      <c r="AC82" s="35">
        <f>SUM(AC80)</f>
        <v>34184.848500000007</v>
      </c>
      <c r="AD82" s="16"/>
      <c r="AE82" s="16"/>
      <c r="AF82" s="16"/>
      <c r="AG82" s="16"/>
      <c r="AH82" s="16"/>
      <c r="AJ82" s="111">
        <f t="shared" ref="AJ82:AR82" si="55">SUM(AJ80)</f>
        <v>11394.949500000002</v>
      </c>
      <c r="AK82" s="111">
        <f t="shared" si="55"/>
        <v>0</v>
      </c>
      <c r="AL82" s="111">
        <f t="shared" si="55"/>
        <v>11394.949500000002</v>
      </c>
      <c r="AM82" s="111">
        <f t="shared" si="55"/>
        <v>0</v>
      </c>
      <c r="AN82" s="111">
        <f t="shared" si="55"/>
        <v>-34184.848500000007</v>
      </c>
      <c r="AO82" s="111">
        <f t="shared" si="55"/>
        <v>0</v>
      </c>
      <c r="AP82" s="111">
        <f t="shared" si="55"/>
        <v>0</v>
      </c>
      <c r="AQ82" s="111">
        <f t="shared" si="55"/>
        <v>0</v>
      </c>
      <c r="AR82" s="111">
        <f t="shared" si="55"/>
        <v>0</v>
      </c>
    </row>
    <row r="83" spans="1:44">
      <c r="A83" s="6"/>
      <c r="B83" s="6"/>
      <c r="D83" s="50"/>
      <c r="E83" s="26"/>
      <c r="F83" s="26"/>
      <c r="G83" s="58"/>
      <c r="H83" s="6"/>
      <c r="I83" s="26"/>
      <c r="J83" s="26"/>
      <c r="K83" s="26"/>
      <c r="L83" s="6"/>
      <c r="M83" s="6"/>
      <c r="N83" s="30"/>
      <c r="O83" s="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6"/>
      <c r="AJ83" s="110"/>
    </row>
    <row r="84" spans="1:44">
      <c r="A84" s="6"/>
      <c r="B84" s="31"/>
      <c r="C84" s="31"/>
      <c r="D84" s="50" t="s">
        <v>50</v>
      </c>
      <c r="E84" s="32"/>
      <c r="F84" s="32"/>
      <c r="G84" s="33"/>
      <c r="H84" s="6"/>
      <c r="I84" s="26"/>
      <c r="J84" s="32"/>
      <c r="K84" s="32"/>
      <c r="L84" s="6"/>
      <c r="M84" s="6"/>
      <c r="N84" s="34">
        <f>+N35+N54+N60+N65+N77+N82</f>
        <v>4542292.0000000009</v>
      </c>
      <c r="O84" s="6"/>
      <c r="P84" s="34">
        <f>+P35+P54+P60+P65+P77+P82</f>
        <v>3831502.3064999995</v>
      </c>
      <c r="Q84" s="34">
        <f>+Q35+Q54+Q60+Q65+Q77+Q82</f>
        <v>44907.790433730159</v>
      </c>
      <c r="R84" s="34">
        <f>+R35+R54+R60+R65+R77+R82</f>
        <v>219323.37215952235</v>
      </c>
      <c r="S84" s="34"/>
      <c r="T84" s="34">
        <f>+T35+T54+T60+T65+T77+T82</f>
        <v>219323.37215952235</v>
      </c>
      <c r="U84" s="34"/>
      <c r="V84" s="34">
        <f>+V35+V54+V60+V65+V77+V82</f>
        <v>219323.37215952235</v>
      </c>
      <c r="W84" s="34"/>
      <c r="X84" s="34">
        <f>+X35+X54+X60+X65+X77+X82</f>
        <v>2400868.0796714271</v>
      </c>
      <c r="Y84" s="34">
        <f>+Y35+Y54+Y60+Y65+Y77+Y82</f>
        <v>2400868.0796714271</v>
      </c>
      <c r="Z84" s="34"/>
      <c r="AA84" s="34">
        <f>+AA35+AA54+AA60+AA65+AA77+AA82</f>
        <v>2400868.0796714271</v>
      </c>
      <c r="AB84" s="34">
        <f>+AB35+AB54+AB60+AB65+AB77+AB82</f>
        <v>2620191.4518309492</v>
      </c>
      <c r="AC84" s="34">
        <f>+AC35+AC54+AC60+AC65+AC77+AC82</f>
        <v>1743465.9892488124</v>
      </c>
      <c r="AD84" s="16"/>
      <c r="AE84" s="16"/>
      <c r="AF84" s="16"/>
      <c r="AG84" s="16"/>
      <c r="AH84" s="16"/>
      <c r="AI84" s="6"/>
      <c r="AJ84" s="114">
        <f t="shared" ref="AJ84:AR84" si="56">+AJ35+AJ54+AJ60+AJ65+AJ77+AJ82</f>
        <v>220132.1072186408</v>
      </c>
      <c r="AK84" s="103">
        <f t="shared" si="56"/>
        <v>0</v>
      </c>
      <c r="AL84" s="103">
        <f t="shared" si="56"/>
        <v>425135.12437816319</v>
      </c>
      <c r="AM84" s="103">
        <f t="shared" si="56"/>
        <v>0</v>
      </c>
      <c r="AN84" s="103">
        <f t="shared" si="56"/>
        <v>-484125.84649999999</v>
      </c>
      <c r="AO84" s="103">
        <f t="shared" si="56"/>
        <v>0</v>
      </c>
      <c r="AP84" s="103">
        <f t="shared" si="56"/>
        <v>630501.25069306209</v>
      </c>
      <c r="AQ84" s="103">
        <f t="shared" si="56"/>
        <v>0</v>
      </c>
      <c r="AR84" s="103">
        <f t="shared" si="56"/>
        <v>1148813.0518894906</v>
      </c>
    </row>
    <row r="87" spans="1:44">
      <c r="N87" s="37"/>
      <c r="AC87" s="36"/>
    </row>
    <row r="97" spans="2:44">
      <c r="D97" s="38" t="s">
        <v>263</v>
      </c>
    </row>
    <row r="98" spans="2:44">
      <c r="B98" s="5" t="s">
        <v>208</v>
      </c>
      <c r="C98" s="26" t="s">
        <v>210</v>
      </c>
      <c r="D98" s="39" t="s">
        <v>209</v>
      </c>
      <c r="E98" s="40">
        <v>2007</v>
      </c>
      <c r="F98" s="40">
        <v>11</v>
      </c>
      <c r="G98" s="41">
        <v>0.33</v>
      </c>
      <c r="I98" s="8" t="s">
        <v>51</v>
      </c>
      <c r="J98" s="8">
        <v>5</v>
      </c>
      <c r="K98" s="8">
        <f>E98+J98</f>
        <v>2012</v>
      </c>
      <c r="N98" s="36">
        <f>30747.2+8650.32</f>
        <v>39397.520000000004</v>
      </c>
      <c r="P98" s="9">
        <f>N98-N98*G98</f>
        <v>26396.338400000001</v>
      </c>
      <c r="Q98" s="9">
        <f>P98/J98/12</f>
        <v>439.93897333333331</v>
      </c>
      <c r="R98" s="9">
        <f>IF(O98&gt;0,0,IF(OR(AD98&gt;AE98,AF98&lt;AG98),0,IF(AND(AF98&gt;=AG98,AF98&lt;=AE98),Q98*((AF98-AG98)*12),IF(AND(AG98&lt;=AD98,AE98&gt;=AD98),((AE98-AD98)*12)*Q98,IF(AF98&gt;AE98,12*Q98,0)))))</f>
        <v>0</v>
      </c>
      <c r="S98" s="9">
        <f>IF(O98=0,0,IF(AND(AH98&gt;=AG98,AH98&lt;=AF98),((AH98-AG98)*12)*Q98,0))</f>
        <v>0</v>
      </c>
      <c r="T98" s="9">
        <f>IF(S98&gt;0,S98,R98)</f>
        <v>0</v>
      </c>
      <c r="U98" s="9">
        <v>1</v>
      </c>
      <c r="V98" s="9">
        <f>U98*SUM(R98:S98)</f>
        <v>0</v>
      </c>
      <c r="W98" s="9"/>
      <c r="X98" s="9">
        <f>IF(AD98&gt;AE98,0,IF(AF98&lt;AG98,P98,IF(AND(AF98&gt;=AG98,AF98&lt;=AE98),(P98-T98),IF(AND(AG98&lt;=AD98,AE98&gt;=AD98),0,IF(AF98&gt;AE98,((AG98-AD98)*12)*Q98,0)))))</f>
        <v>26396.338400000001</v>
      </c>
      <c r="Y98" s="9">
        <f>X98*U98</f>
        <v>26396.338400000001</v>
      </c>
      <c r="Z98" s="9">
        <v>1</v>
      </c>
      <c r="AA98" s="9">
        <f>Y98*Z98</f>
        <v>26396.338400000001</v>
      </c>
      <c r="AB98" s="9">
        <f>IF(O98&gt;0,0,AA98+V98*Z98)*Z98</f>
        <v>26396.338400000001</v>
      </c>
      <c r="AC98" s="9">
        <f>IF(O98&gt;0,(N98-AA98)/2,IF(AD98&gt;=AG98,(((N98*U98)*Z98)-AB98)/2,((((N98*U98)*Z98)-AA98)+(((N98*U98)*Z98)-AB98))/2))</f>
        <v>13001.181600000004</v>
      </c>
      <c r="AD98" s="9">
        <f>$E98+(($F98-1)/12)</f>
        <v>2007.8333333333333</v>
      </c>
      <c r="AE98" s="9">
        <f>($P$5+1)-($P$2/12)</f>
        <v>2018</v>
      </c>
      <c r="AF98" s="9">
        <f>$K98+(($F98-1)/12)</f>
        <v>2012.8333333333333</v>
      </c>
      <c r="AG98" s="9">
        <f>$P$4+($P$3/12)</f>
        <v>2017</v>
      </c>
      <c r="AH98" s="9">
        <f>$L98+(($M98-1)/12)</f>
        <v>-8.3333333333333329E-2</v>
      </c>
    </row>
    <row r="99" spans="2:44">
      <c r="B99" s="5" t="s">
        <v>113</v>
      </c>
      <c r="C99" s="26">
        <v>7157</v>
      </c>
      <c r="D99" s="39" t="s">
        <v>114</v>
      </c>
      <c r="E99" s="40">
        <v>2003</v>
      </c>
      <c r="F99" s="40">
        <v>12</v>
      </c>
      <c r="G99" s="41">
        <v>0.33</v>
      </c>
      <c r="I99" s="8" t="s">
        <v>51</v>
      </c>
      <c r="J99" s="8">
        <v>5</v>
      </c>
      <c r="K99" s="8">
        <f>E99+J99</f>
        <v>2008</v>
      </c>
      <c r="N99" s="42">
        <f>65000.08-13001.6</f>
        <v>51998.48</v>
      </c>
      <c r="P99" s="9">
        <f>N99-N99*G99</f>
        <v>34838.981599999999</v>
      </c>
      <c r="Q99" s="9">
        <f>P99/J99/12</f>
        <v>580.64969333333329</v>
      </c>
      <c r="R99" s="9">
        <f>IF(O99&gt;0,0,IF(OR(AD99&gt;AE99,AF99&lt;AG99),0,IF(AND(AF99&gt;=AG99,AF99&lt;=AE99),Q99*((AF99-AG99)*12),IF(AND(AG99&lt;=AD99,AE99&gt;=AD99),((AE99-AD99)*12)*Q99,IF(AF99&gt;AE99,12*Q99,0)))))</f>
        <v>0</v>
      </c>
      <c r="S99" s="9">
        <f>IF(O99=0,0,IF(AND(AH99&gt;=AG99,AH99&lt;=AF99),((AH99-AG99)*12)*Q99,0))</f>
        <v>0</v>
      </c>
      <c r="T99" s="9">
        <f>IF(S99&gt;0,S99,R99)</f>
        <v>0</v>
      </c>
      <c r="U99" s="9">
        <v>1</v>
      </c>
      <c r="V99" s="9">
        <f>U99*SUM(R99:S99)</f>
        <v>0</v>
      </c>
      <c r="W99" s="9"/>
      <c r="X99" s="9">
        <f>IF(AD99&gt;AE99,0,IF(AF99&lt;AG99,P99,IF(AND(AF99&gt;=AG99,AF99&lt;=AE99),(P99-T99),IF(AND(AG99&lt;=AD99,AE99&gt;=AD99),0,IF(AF99&gt;AE99,((AG99-AD99)*12)*Q99,0)))))</f>
        <v>34838.981599999999</v>
      </c>
      <c r="Y99" s="9">
        <f>X99*U99</f>
        <v>34838.981599999999</v>
      </c>
      <c r="Z99" s="9">
        <v>1</v>
      </c>
      <c r="AA99" s="9">
        <f>Y99*Z99</f>
        <v>34838.981599999999</v>
      </c>
      <c r="AB99" s="9">
        <f>IF(O99&gt;0,0,AA99+V99*Z99)*Z99</f>
        <v>34838.981599999999</v>
      </c>
      <c r="AC99" s="9">
        <f>IF(O99&gt;0,(N99-AA99)/2,IF(AD99&gt;=AG99,(((N99*U99)*Z99)-AB99)/2,((((N99*U99)*Z99)-AA99)+(((N99*U99)*Z99)-AB99))/2))</f>
        <v>17159.498400000004</v>
      </c>
      <c r="AD99" s="9">
        <f>$E99+(($F99-1)/12)</f>
        <v>2003.9166666666667</v>
      </c>
      <c r="AE99" s="9">
        <f>($P$5+1)-($P$2/12)</f>
        <v>2018</v>
      </c>
      <c r="AF99" s="9">
        <f>$K99+(($F99-1)/12)</f>
        <v>2008.9166666666667</v>
      </c>
      <c r="AG99" s="9">
        <f>$P$4+($P$3/12)</f>
        <v>2017</v>
      </c>
      <c r="AH99" s="9">
        <f>$L99+(($M99-1)/12)</f>
        <v>-8.3333333333333329E-2</v>
      </c>
    </row>
    <row r="104" spans="2:44">
      <c r="D104" s="38" t="s">
        <v>288</v>
      </c>
    </row>
    <row r="105" spans="2:44" s="6" customFormat="1">
      <c r="B105" s="6" t="s">
        <v>217</v>
      </c>
      <c r="C105" s="26">
        <v>701</v>
      </c>
      <c r="D105" s="27" t="s">
        <v>85</v>
      </c>
      <c r="E105" s="28">
        <v>1991</v>
      </c>
      <c r="F105" s="28">
        <v>5</v>
      </c>
      <c r="G105" s="89">
        <v>0.2</v>
      </c>
      <c r="H105" s="16"/>
      <c r="I105" s="26" t="s">
        <v>51</v>
      </c>
      <c r="J105" s="26">
        <v>7</v>
      </c>
      <c r="K105" s="26">
        <f t="shared" ref="K105:K124" si="57">E105+J105</f>
        <v>1998</v>
      </c>
      <c r="N105" s="29">
        <v>76032</v>
      </c>
      <c r="O105" s="30"/>
      <c r="P105" s="16">
        <f t="shared" ref="P105:P124" si="58">N105-N105*G105</f>
        <v>60825.599999999999</v>
      </c>
      <c r="Q105" s="16">
        <f t="shared" ref="Q105:Q124" si="59">P105/J105/12</f>
        <v>724.11428571428576</v>
      </c>
      <c r="R105" s="16">
        <f t="shared" ref="R105:R124" si="60">IF(O105&gt;0,0,IF(OR(AD105&gt;AE105,AF105&lt;AG105),0,IF(AND(AF105&gt;=AG105,AF105&lt;=AE105),Q105*((AF105-AG105)*12),IF(AND(AG105&lt;=AD105,AE105&gt;=AD105),((AE105-AD105)*12)*Q105,IF(AF105&gt;AE105,12*Q105,0)))))</f>
        <v>0</v>
      </c>
      <c r="S105" s="16">
        <f t="shared" ref="S105:S124" si="61">IF(O105=0,0,IF(AND(AH105&gt;=AG105,AH105&lt;=AF105),((AH105-AG105)*12)*Q105,0))</f>
        <v>0</v>
      </c>
      <c r="T105" s="16">
        <f t="shared" ref="T105:T124" si="62">IF(S105&gt;0,S105,R105)</f>
        <v>0</v>
      </c>
      <c r="U105" s="16">
        <v>1</v>
      </c>
      <c r="V105" s="16">
        <f t="shared" ref="V105:V124" si="63">U105*SUM(R105:S105)</f>
        <v>0</v>
      </c>
      <c r="W105" s="16"/>
      <c r="X105" s="16">
        <f t="shared" ref="X105:X124" si="64">IF(AD105&gt;AE105,0,IF(AF105&lt;AG105,P105,IF(AND(AF105&gt;=AG105,AF105&lt;=AE105),(P105-T105),IF(AND(AG105&lt;=AD105,AE105&gt;=AD105),0,IF(AF105&gt;AE105,((AG105-AD105)*12)*Q105,0)))))</f>
        <v>60825.599999999999</v>
      </c>
      <c r="Y105" s="16">
        <f t="shared" ref="Y105:Y124" si="65">X105*U105</f>
        <v>60825.599999999999</v>
      </c>
      <c r="Z105" s="16">
        <v>1</v>
      </c>
      <c r="AA105" s="16">
        <f t="shared" ref="AA105:AA124" si="66">Y105*Z105</f>
        <v>60825.599999999999</v>
      </c>
      <c r="AB105" s="16">
        <f t="shared" ref="AB105:AB124" si="67">IF(O105&gt;0,0,AA105+V105*Z105)*Z105</f>
        <v>60825.599999999999</v>
      </c>
      <c r="AC105" s="16">
        <f t="shared" ref="AC105:AC124" si="68">IF(O105&gt;0,(N105-AA105)/2,IF(AD105&gt;=AG105,(((N105*U105)*Z105)-AB105)/2,((((N105*U105)*Z105)-AA105)+(((N105*U105)*Z105)-AB105))/2))</f>
        <v>15206.400000000001</v>
      </c>
      <c r="AD105" s="16">
        <f t="shared" ref="AD105:AD124" si="69">$E105+(($F105-1)/12)</f>
        <v>1991.3333333333333</v>
      </c>
      <c r="AE105" s="16">
        <f t="shared" ref="AE105:AE124" si="70">($P$5+1)-($P$2/12)</f>
        <v>2018</v>
      </c>
      <c r="AF105" s="16">
        <f t="shared" ref="AF105:AF124" si="71">$K105+(($F105-1)/12)</f>
        <v>1998.3333333333333</v>
      </c>
      <c r="AG105" s="16">
        <f t="shared" ref="AG105:AG124" si="72">$P$4+($P$3/12)</f>
        <v>2017</v>
      </c>
      <c r="AH105" s="16">
        <f t="shared" ref="AH105:AH124" si="73">$L105+(($M105-1)/12)</f>
        <v>-8.3333333333333329E-2</v>
      </c>
      <c r="AJ105" s="110"/>
      <c r="AK105" s="110"/>
      <c r="AL105" s="110"/>
      <c r="AM105" s="110"/>
      <c r="AN105" s="110"/>
      <c r="AO105" s="110"/>
      <c r="AP105" s="110"/>
      <c r="AQ105" s="110"/>
      <c r="AR105" s="110"/>
    </row>
    <row r="106" spans="2:44" s="6" customFormat="1">
      <c r="B106" s="6" t="s">
        <v>218</v>
      </c>
      <c r="C106" s="26">
        <v>702</v>
      </c>
      <c r="D106" s="27" t="s">
        <v>87</v>
      </c>
      <c r="E106" s="28">
        <v>1997</v>
      </c>
      <c r="F106" s="28">
        <v>12</v>
      </c>
      <c r="G106" s="89">
        <v>0.33</v>
      </c>
      <c r="I106" s="26" t="s">
        <v>51</v>
      </c>
      <c r="J106" s="26">
        <v>5</v>
      </c>
      <c r="K106" s="26">
        <f t="shared" si="57"/>
        <v>2002</v>
      </c>
      <c r="N106" s="29">
        <f>57210.56/2</f>
        <v>28605.279999999999</v>
      </c>
      <c r="P106" s="16">
        <f t="shared" si="58"/>
        <v>19165.5376</v>
      </c>
      <c r="Q106" s="16">
        <f t="shared" si="59"/>
        <v>319.42562666666669</v>
      </c>
      <c r="R106" s="16">
        <f t="shared" si="60"/>
        <v>0</v>
      </c>
      <c r="S106" s="16">
        <f t="shared" si="61"/>
        <v>0</v>
      </c>
      <c r="T106" s="16">
        <f t="shared" si="62"/>
        <v>0</v>
      </c>
      <c r="U106" s="16">
        <v>1</v>
      </c>
      <c r="V106" s="16">
        <f t="shared" si="63"/>
        <v>0</v>
      </c>
      <c r="W106" s="16"/>
      <c r="X106" s="16">
        <f t="shared" si="64"/>
        <v>19165.5376</v>
      </c>
      <c r="Y106" s="16">
        <f t="shared" si="65"/>
        <v>19165.5376</v>
      </c>
      <c r="Z106" s="16">
        <v>1</v>
      </c>
      <c r="AA106" s="16">
        <f t="shared" si="66"/>
        <v>19165.5376</v>
      </c>
      <c r="AB106" s="16">
        <f t="shared" si="67"/>
        <v>19165.5376</v>
      </c>
      <c r="AC106" s="16">
        <f t="shared" si="68"/>
        <v>9439.7423999999992</v>
      </c>
      <c r="AD106" s="16">
        <f t="shared" si="69"/>
        <v>1997.9166666666667</v>
      </c>
      <c r="AE106" s="16">
        <f t="shared" si="70"/>
        <v>2018</v>
      </c>
      <c r="AF106" s="16">
        <f t="shared" si="71"/>
        <v>2002.9166666666667</v>
      </c>
      <c r="AG106" s="16">
        <f t="shared" si="72"/>
        <v>2017</v>
      </c>
      <c r="AH106" s="16">
        <f t="shared" si="73"/>
        <v>-8.3333333333333329E-2</v>
      </c>
      <c r="AJ106" s="110"/>
      <c r="AK106" s="110"/>
      <c r="AL106" s="110"/>
      <c r="AM106" s="110"/>
      <c r="AN106" s="110"/>
      <c r="AO106" s="110"/>
      <c r="AP106" s="110"/>
      <c r="AQ106" s="110"/>
      <c r="AR106" s="110"/>
    </row>
    <row r="107" spans="2:44" s="6" customFormat="1">
      <c r="C107" s="26"/>
      <c r="D107" s="27" t="s">
        <v>88</v>
      </c>
      <c r="E107" s="28">
        <v>1997</v>
      </c>
      <c r="F107" s="28">
        <v>12</v>
      </c>
      <c r="G107" s="28"/>
      <c r="H107" s="16"/>
      <c r="I107" s="26" t="s">
        <v>51</v>
      </c>
      <c r="J107" s="26">
        <v>5</v>
      </c>
      <c r="K107" s="26">
        <f t="shared" si="57"/>
        <v>2002</v>
      </c>
      <c r="N107" s="29">
        <v>1012.78</v>
      </c>
      <c r="O107" s="30"/>
      <c r="P107" s="16">
        <f t="shared" si="58"/>
        <v>1012.78</v>
      </c>
      <c r="Q107" s="16">
        <f t="shared" si="59"/>
        <v>16.879666666666665</v>
      </c>
      <c r="R107" s="16">
        <f t="shared" si="60"/>
        <v>0</v>
      </c>
      <c r="S107" s="16">
        <f t="shared" si="61"/>
        <v>0</v>
      </c>
      <c r="T107" s="16">
        <f t="shared" si="62"/>
        <v>0</v>
      </c>
      <c r="U107" s="16">
        <v>1</v>
      </c>
      <c r="V107" s="16">
        <f t="shared" si="63"/>
        <v>0</v>
      </c>
      <c r="W107" s="16"/>
      <c r="X107" s="16">
        <f t="shared" si="64"/>
        <v>1012.78</v>
      </c>
      <c r="Y107" s="16">
        <f t="shared" si="65"/>
        <v>1012.78</v>
      </c>
      <c r="Z107" s="16">
        <v>1</v>
      </c>
      <c r="AA107" s="16">
        <f t="shared" si="66"/>
        <v>1012.78</v>
      </c>
      <c r="AB107" s="16">
        <f t="shared" si="67"/>
        <v>1012.78</v>
      </c>
      <c r="AC107" s="16">
        <f t="shared" si="68"/>
        <v>0</v>
      </c>
      <c r="AD107" s="16">
        <f t="shared" si="69"/>
        <v>1997.9166666666667</v>
      </c>
      <c r="AE107" s="16">
        <f t="shared" si="70"/>
        <v>2018</v>
      </c>
      <c r="AF107" s="16">
        <f t="shared" si="71"/>
        <v>2002.9166666666667</v>
      </c>
      <c r="AG107" s="16">
        <f t="shared" si="72"/>
        <v>2017</v>
      </c>
      <c r="AH107" s="16">
        <f t="shared" si="73"/>
        <v>-8.3333333333333329E-2</v>
      </c>
      <c r="AJ107" s="110"/>
      <c r="AK107" s="110"/>
      <c r="AL107" s="110"/>
      <c r="AM107" s="110"/>
      <c r="AN107" s="110"/>
      <c r="AO107" s="110"/>
      <c r="AP107" s="110"/>
      <c r="AQ107" s="110"/>
      <c r="AR107" s="110"/>
    </row>
    <row r="108" spans="2:44" s="6" customFormat="1">
      <c r="B108" s="6" t="s">
        <v>89</v>
      </c>
      <c r="C108" s="26">
        <v>163</v>
      </c>
      <c r="D108" s="27" t="s">
        <v>90</v>
      </c>
      <c r="E108" s="28">
        <v>1998</v>
      </c>
      <c r="F108" s="28">
        <v>5</v>
      </c>
      <c r="G108" s="89">
        <v>0.2</v>
      </c>
      <c r="H108" s="16"/>
      <c r="I108" s="26" t="s">
        <v>51</v>
      </c>
      <c r="J108" s="26">
        <v>7</v>
      </c>
      <c r="K108" s="26">
        <f t="shared" si="57"/>
        <v>2005</v>
      </c>
      <c r="N108" s="29">
        <v>89283</v>
      </c>
      <c r="O108" s="30"/>
      <c r="P108" s="16">
        <f t="shared" si="58"/>
        <v>71426.399999999994</v>
      </c>
      <c r="Q108" s="16">
        <f t="shared" si="59"/>
        <v>850.31428571428569</v>
      </c>
      <c r="R108" s="16">
        <f t="shared" si="60"/>
        <v>0</v>
      </c>
      <c r="S108" s="16">
        <f t="shared" si="61"/>
        <v>0</v>
      </c>
      <c r="T108" s="16">
        <f t="shared" si="62"/>
        <v>0</v>
      </c>
      <c r="U108" s="16">
        <v>1</v>
      </c>
      <c r="V108" s="16">
        <f t="shared" si="63"/>
        <v>0</v>
      </c>
      <c r="W108" s="16"/>
      <c r="X108" s="16">
        <f t="shared" si="64"/>
        <v>71426.399999999994</v>
      </c>
      <c r="Y108" s="16">
        <f t="shared" si="65"/>
        <v>71426.399999999994</v>
      </c>
      <c r="Z108" s="16">
        <v>1</v>
      </c>
      <c r="AA108" s="16">
        <f t="shared" si="66"/>
        <v>71426.399999999994</v>
      </c>
      <c r="AB108" s="16">
        <f t="shared" si="67"/>
        <v>71426.399999999994</v>
      </c>
      <c r="AC108" s="16">
        <f t="shared" si="68"/>
        <v>17856.600000000006</v>
      </c>
      <c r="AD108" s="16">
        <f t="shared" si="69"/>
        <v>1998.3333333333333</v>
      </c>
      <c r="AE108" s="16">
        <f t="shared" si="70"/>
        <v>2018</v>
      </c>
      <c r="AF108" s="16">
        <f t="shared" si="71"/>
        <v>2005.3333333333333</v>
      </c>
      <c r="AG108" s="16">
        <f t="shared" si="72"/>
        <v>2017</v>
      </c>
      <c r="AH108" s="16">
        <f t="shared" si="73"/>
        <v>-8.3333333333333329E-2</v>
      </c>
      <c r="AJ108" s="110"/>
      <c r="AK108" s="110"/>
      <c r="AL108" s="110"/>
      <c r="AM108" s="110"/>
      <c r="AN108" s="110"/>
      <c r="AO108" s="110"/>
      <c r="AP108" s="110"/>
      <c r="AQ108" s="110"/>
      <c r="AR108" s="110"/>
    </row>
    <row r="109" spans="2:44" s="6" customFormat="1">
      <c r="B109" s="6" t="s">
        <v>89</v>
      </c>
      <c r="C109" s="26">
        <v>164</v>
      </c>
      <c r="D109" s="27" t="s">
        <v>90</v>
      </c>
      <c r="E109" s="28">
        <v>1998</v>
      </c>
      <c r="F109" s="28">
        <v>5</v>
      </c>
      <c r="G109" s="89">
        <v>0.2</v>
      </c>
      <c r="H109" s="16"/>
      <c r="I109" s="26" t="s">
        <v>51</v>
      </c>
      <c r="J109" s="26">
        <v>7</v>
      </c>
      <c r="K109" s="26">
        <f t="shared" si="57"/>
        <v>2005</v>
      </c>
      <c r="N109" s="29">
        <v>89283</v>
      </c>
      <c r="O109" s="30"/>
      <c r="P109" s="16">
        <f t="shared" si="58"/>
        <v>71426.399999999994</v>
      </c>
      <c r="Q109" s="16">
        <f t="shared" si="59"/>
        <v>850.31428571428569</v>
      </c>
      <c r="R109" s="16">
        <f t="shared" si="60"/>
        <v>0</v>
      </c>
      <c r="S109" s="16">
        <f t="shared" si="61"/>
        <v>0</v>
      </c>
      <c r="T109" s="16">
        <f t="shared" si="62"/>
        <v>0</v>
      </c>
      <c r="U109" s="16">
        <v>1</v>
      </c>
      <c r="V109" s="16">
        <f t="shared" si="63"/>
        <v>0</v>
      </c>
      <c r="W109" s="16"/>
      <c r="X109" s="16">
        <f t="shared" si="64"/>
        <v>71426.399999999994</v>
      </c>
      <c r="Y109" s="16">
        <f t="shared" si="65"/>
        <v>71426.399999999994</v>
      </c>
      <c r="Z109" s="16">
        <v>1</v>
      </c>
      <c r="AA109" s="16">
        <f t="shared" si="66"/>
        <v>71426.399999999994</v>
      </c>
      <c r="AB109" s="16">
        <f t="shared" si="67"/>
        <v>71426.399999999994</v>
      </c>
      <c r="AC109" s="16">
        <f t="shared" si="68"/>
        <v>17856.600000000006</v>
      </c>
      <c r="AD109" s="16">
        <f t="shared" si="69"/>
        <v>1998.3333333333333</v>
      </c>
      <c r="AE109" s="16">
        <f t="shared" si="70"/>
        <v>2018</v>
      </c>
      <c r="AF109" s="16">
        <f t="shared" si="71"/>
        <v>2005.3333333333333</v>
      </c>
      <c r="AG109" s="16">
        <f t="shared" si="72"/>
        <v>2017</v>
      </c>
      <c r="AH109" s="16">
        <f t="shared" si="73"/>
        <v>-8.3333333333333329E-2</v>
      </c>
      <c r="AJ109" s="110"/>
      <c r="AK109" s="110"/>
      <c r="AL109" s="110"/>
      <c r="AM109" s="110"/>
      <c r="AN109" s="110"/>
      <c r="AO109" s="110"/>
      <c r="AP109" s="110"/>
      <c r="AQ109" s="110"/>
      <c r="AR109" s="110"/>
    </row>
    <row r="110" spans="2:44" s="6" customFormat="1">
      <c r="C110" s="26"/>
      <c r="D110" s="27" t="s">
        <v>91</v>
      </c>
      <c r="E110" s="28">
        <v>1999</v>
      </c>
      <c r="F110" s="28">
        <v>1</v>
      </c>
      <c r="G110" s="89"/>
      <c r="H110" s="16"/>
      <c r="I110" s="26" t="s">
        <v>51</v>
      </c>
      <c r="J110" s="26">
        <v>3</v>
      </c>
      <c r="K110" s="26">
        <f t="shared" si="57"/>
        <v>2002</v>
      </c>
      <c r="N110" s="29">
        <v>13266.97</v>
      </c>
      <c r="O110" s="30"/>
      <c r="P110" s="16">
        <f t="shared" si="58"/>
        <v>13266.97</v>
      </c>
      <c r="Q110" s="16">
        <f t="shared" si="59"/>
        <v>368.52694444444438</v>
      </c>
      <c r="R110" s="16">
        <f t="shared" si="60"/>
        <v>0</v>
      </c>
      <c r="S110" s="16">
        <f t="shared" si="61"/>
        <v>0</v>
      </c>
      <c r="T110" s="16">
        <f t="shared" si="62"/>
        <v>0</v>
      </c>
      <c r="U110" s="16">
        <v>1</v>
      </c>
      <c r="V110" s="16">
        <f t="shared" si="63"/>
        <v>0</v>
      </c>
      <c r="W110" s="16"/>
      <c r="X110" s="16">
        <f t="shared" si="64"/>
        <v>13266.97</v>
      </c>
      <c r="Y110" s="16">
        <f t="shared" si="65"/>
        <v>13266.97</v>
      </c>
      <c r="Z110" s="16">
        <v>1</v>
      </c>
      <c r="AA110" s="16">
        <f t="shared" si="66"/>
        <v>13266.97</v>
      </c>
      <c r="AB110" s="16">
        <f t="shared" si="67"/>
        <v>13266.97</v>
      </c>
      <c r="AC110" s="16">
        <f t="shared" si="68"/>
        <v>0</v>
      </c>
      <c r="AD110" s="16">
        <f t="shared" si="69"/>
        <v>1999</v>
      </c>
      <c r="AE110" s="16">
        <f t="shared" si="70"/>
        <v>2018</v>
      </c>
      <c r="AF110" s="16">
        <f t="shared" si="71"/>
        <v>2002</v>
      </c>
      <c r="AG110" s="16">
        <f t="shared" si="72"/>
        <v>2017</v>
      </c>
      <c r="AH110" s="16">
        <f t="shared" si="73"/>
        <v>-8.3333333333333329E-2</v>
      </c>
      <c r="AJ110" s="110"/>
      <c r="AK110" s="110"/>
      <c r="AL110" s="110"/>
      <c r="AM110" s="110"/>
      <c r="AN110" s="110"/>
      <c r="AO110" s="110"/>
      <c r="AP110" s="110"/>
      <c r="AQ110" s="110"/>
      <c r="AR110" s="110"/>
    </row>
    <row r="111" spans="2:44" s="6" customFormat="1">
      <c r="B111" s="6" t="s">
        <v>217</v>
      </c>
      <c r="C111" s="26">
        <v>7404</v>
      </c>
      <c r="D111" s="27" t="s">
        <v>112</v>
      </c>
      <c r="E111" s="28">
        <v>2001</v>
      </c>
      <c r="F111" s="28">
        <v>6</v>
      </c>
      <c r="G111" s="89">
        <v>0.33</v>
      </c>
      <c r="I111" s="26" t="s">
        <v>51</v>
      </c>
      <c r="J111" s="26">
        <v>5</v>
      </c>
      <c r="K111" s="26">
        <f t="shared" si="57"/>
        <v>2006</v>
      </c>
      <c r="N111" s="29">
        <v>38388.28</v>
      </c>
      <c r="P111" s="16">
        <f t="shared" si="58"/>
        <v>25720.147599999997</v>
      </c>
      <c r="Q111" s="16">
        <f t="shared" si="59"/>
        <v>428.66912666666661</v>
      </c>
      <c r="R111" s="16">
        <f t="shared" si="60"/>
        <v>0</v>
      </c>
      <c r="S111" s="16">
        <f t="shared" si="61"/>
        <v>0</v>
      </c>
      <c r="T111" s="16">
        <f t="shared" si="62"/>
        <v>0</v>
      </c>
      <c r="U111" s="16">
        <v>1</v>
      </c>
      <c r="V111" s="16">
        <f t="shared" si="63"/>
        <v>0</v>
      </c>
      <c r="W111" s="16"/>
      <c r="X111" s="16">
        <f t="shared" si="64"/>
        <v>25720.147599999997</v>
      </c>
      <c r="Y111" s="16">
        <f t="shared" si="65"/>
        <v>25720.147599999997</v>
      </c>
      <c r="Z111" s="16">
        <v>1</v>
      </c>
      <c r="AA111" s="16">
        <f t="shared" si="66"/>
        <v>25720.147599999997</v>
      </c>
      <c r="AB111" s="16">
        <f t="shared" si="67"/>
        <v>25720.147599999997</v>
      </c>
      <c r="AC111" s="16">
        <f t="shared" si="68"/>
        <v>12668.132400000002</v>
      </c>
      <c r="AD111" s="16">
        <f t="shared" si="69"/>
        <v>2001.4166666666667</v>
      </c>
      <c r="AE111" s="16">
        <f t="shared" si="70"/>
        <v>2018</v>
      </c>
      <c r="AF111" s="16">
        <f t="shared" si="71"/>
        <v>2006.4166666666667</v>
      </c>
      <c r="AG111" s="16">
        <f t="shared" si="72"/>
        <v>2017</v>
      </c>
      <c r="AH111" s="16">
        <f t="shared" si="73"/>
        <v>-8.3333333333333329E-2</v>
      </c>
      <c r="AJ111" s="110"/>
      <c r="AK111" s="110"/>
      <c r="AL111" s="110"/>
      <c r="AM111" s="110"/>
      <c r="AN111" s="110"/>
      <c r="AO111" s="110"/>
      <c r="AP111" s="110"/>
      <c r="AQ111" s="110"/>
      <c r="AR111" s="110"/>
    </row>
    <row r="112" spans="2:44" s="6" customFormat="1">
      <c r="B112" s="6" t="s">
        <v>83</v>
      </c>
      <c r="C112" s="26">
        <v>7150</v>
      </c>
      <c r="D112" s="27" t="s">
        <v>94</v>
      </c>
      <c r="E112" s="28">
        <v>2001</v>
      </c>
      <c r="F112" s="28">
        <v>6</v>
      </c>
      <c r="G112" s="89">
        <v>0.33</v>
      </c>
      <c r="H112" s="16"/>
      <c r="I112" s="26" t="s">
        <v>51</v>
      </c>
      <c r="J112" s="26">
        <v>5</v>
      </c>
      <c r="K112" s="26">
        <f t="shared" si="57"/>
        <v>2006</v>
      </c>
      <c r="N112" s="29">
        <v>55284</v>
      </c>
      <c r="O112" s="30"/>
      <c r="P112" s="16">
        <f t="shared" si="58"/>
        <v>37040.28</v>
      </c>
      <c r="Q112" s="16">
        <f t="shared" si="59"/>
        <v>617.33799999999997</v>
      </c>
      <c r="R112" s="16">
        <f t="shared" si="60"/>
        <v>0</v>
      </c>
      <c r="S112" s="16">
        <f t="shared" si="61"/>
        <v>0</v>
      </c>
      <c r="T112" s="16">
        <f t="shared" si="62"/>
        <v>0</v>
      </c>
      <c r="U112" s="16">
        <v>1</v>
      </c>
      <c r="V112" s="16">
        <f t="shared" si="63"/>
        <v>0</v>
      </c>
      <c r="W112" s="16"/>
      <c r="X112" s="16">
        <f t="shared" si="64"/>
        <v>37040.28</v>
      </c>
      <c r="Y112" s="16">
        <f t="shared" si="65"/>
        <v>37040.28</v>
      </c>
      <c r="Z112" s="16">
        <v>1</v>
      </c>
      <c r="AA112" s="16">
        <f t="shared" si="66"/>
        <v>37040.28</v>
      </c>
      <c r="AB112" s="16">
        <f t="shared" si="67"/>
        <v>37040.28</v>
      </c>
      <c r="AC112" s="16">
        <f t="shared" si="68"/>
        <v>18243.72</v>
      </c>
      <c r="AD112" s="16">
        <f t="shared" si="69"/>
        <v>2001.4166666666667</v>
      </c>
      <c r="AE112" s="16">
        <f t="shared" si="70"/>
        <v>2018</v>
      </c>
      <c r="AF112" s="16">
        <f t="shared" si="71"/>
        <v>2006.4166666666667</v>
      </c>
      <c r="AG112" s="16">
        <f t="shared" si="72"/>
        <v>2017</v>
      </c>
      <c r="AH112" s="16">
        <f t="shared" si="73"/>
        <v>-8.3333333333333329E-2</v>
      </c>
      <c r="AJ112" s="110"/>
      <c r="AK112" s="110"/>
      <c r="AL112" s="110"/>
      <c r="AM112" s="110"/>
      <c r="AN112" s="110"/>
      <c r="AO112" s="110"/>
      <c r="AP112" s="110"/>
      <c r="AQ112" s="110"/>
      <c r="AR112" s="110"/>
    </row>
    <row r="113" spans="2:44" s="6" customFormat="1">
      <c r="C113" s="26">
        <v>713</v>
      </c>
      <c r="D113" s="27" t="s">
        <v>95</v>
      </c>
      <c r="E113" s="28">
        <v>2001</v>
      </c>
      <c r="F113" s="28">
        <v>11</v>
      </c>
      <c r="G113" s="89"/>
      <c r="H113" s="16"/>
      <c r="I113" s="26" t="s">
        <v>51</v>
      </c>
      <c r="J113" s="26">
        <v>3</v>
      </c>
      <c r="K113" s="26">
        <f t="shared" si="57"/>
        <v>2004</v>
      </c>
      <c r="N113" s="29">
        <v>673.55</v>
      </c>
      <c r="O113" s="30"/>
      <c r="P113" s="16">
        <f t="shared" si="58"/>
        <v>673.55</v>
      </c>
      <c r="Q113" s="16">
        <f t="shared" si="59"/>
        <v>18.709722222222222</v>
      </c>
      <c r="R113" s="16">
        <f t="shared" si="60"/>
        <v>0</v>
      </c>
      <c r="S113" s="16">
        <f t="shared" si="61"/>
        <v>0</v>
      </c>
      <c r="T113" s="16">
        <f t="shared" si="62"/>
        <v>0</v>
      </c>
      <c r="U113" s="16">
        <v>1</v>
      </c>
      <c r="V113" s="16">
        <f t="shared" si="63"/>
        <v>0</v>
      </c>
      <c r="W113" s="16"/>
      <c r="X113" s="16">
        <f t="shared" si="64"/>
        <v>673.55</v>
      </c>
      <c r="Y113" s="16">
        <f t="shared" si="65"/>
        <v>673.55</v>
      </c>
      <c r="Z113" s="16">
        <v>1</v>
      </c>
      <c r="AA113" s="16">
        <f t="shared" si="66"/>
        <v>673.55</v>
      </c>
      <c r="AB113" s="16">
        <f t="shared" si="67"/>
        <v>673.55</v>
      </c>
      <c r="AC113" s="16">
        <f t="shared" si="68"/>
        <v>0</v>
      </c>
      <c r="AD113" s="16">
        <f t="shared" si="69"/>
        <v>2001.8333333333333</v>
      </c>
      <c r="AE113" s="16">
        <f t="shared" si="70"/>
        <v>2018</v>
      </c>
      <c r="AF113" s="16">
        <f t="shared" si="71"/>
        <v>2004.8333333333333</v>
      </c>
      <c r="AG113" s="16">
        <f t="shared" si="72"/>
        <v>2017</v>
      </c>
      <c r="AH113" s="16">
        <f t="shared" si="73"/>
        <v>-8.3333333333333329E-2</v>
      </c>
      <c r="AJ113" s="110"/>
      <c r="AK113" s="110"/>
      <c r="AL113" s="110"/>
      <c r="AM113" s="110"/>
      <c r="AN113" s="110"/>
      <c r="AO113" s="110"/>
      <c r="AP113" s="110"/>
      <c r="AQ113" s="110"/>
      <c r="AR113" s="110"/>
    </row>
    <row r="114" spans="2:44">
      <c r="C114" s="26">
        <v>766</v>
      </c>
      <c r="D114" s="39" t="s">
        <v>96</v>
      </c>
      <c r="E114" s="40">
        <v>2001</v>
      </c>
      <c r="F114" s="40">
        <v>11</v>
      </c>
      <c r="G114" s="41"/>
      <c r="H114" s="9"/>
      <c r="I114" s="8" t="s">
        <v>51</v>
      </c>
      <c r="J114" s="8">
        <v>3</v>
      </c>
      <c r="K114" s="8">
        <f t="shared" si="57"/>
        <v>2004</v>
      </c>
      <c r="N114" s="42">
        <v>1513.58</v>
      </c>
      <c r="O114" s="36"/>
      <c r="P114" s="9">
        <f t="shared" si="58"/>
        <v>1513.58</v>
      </c>
      <c r="Q114" s="9">
        <f t="shared" si="59"/>
        <v>42.043888888888887</v>
      </c>
      <c r="R114" s="9">
        <f t="shared" si="60"/>
        <v>0</v>
      </c>
      <c r="S114" s="9">
        <f t="shared" si="61"/>
        <v>0</v>
      </c>
      <c r="T114" s="9">
        <f t="shared" si="62"/>
        <v>0</v>
      </c>
      <c r="U114" s="9">
        <v>1</v>
      </c>
      <c r="V114" s="9">
        <f t="shared" si="63"/>
        <v>0</v>
      </c>
      <c r="W114" s="9"/>
      <c r="X114" s="9">
        <f t="shared" si="64"/>
        <v>1513.58</v>
      </c>
      <c r="Y114" s="9">
        <f t="shared" si="65"/>
        <v>1513.58</v>
      </c>
      <c r="Z114" s="9">
        <v>1</v>
      </c>
      <c r="AA114" s="9">
        <f t="shared" si="66"/>
        <v>1513.58</v>
      </c>
      <c r="AB114" s="9">
        <f t="shared" si="67"/>
        <v>1513.58</v>
      </c>
      <c r="AC114" s="9">
        <f t="shared" si="68"/>
        <v>0</v>
      </c>
      <c r="AD114" s="9">
        <f t="shared" si="69"/>
        <v>2001.8333333333333</v>
      </c>
      <c r="AE114" s="9">
        <f t="shared" si="70"/>
        <v>2018</v>
      </c>
      <c r="AF114" s="9">
        <f t="shared" si="71"/>
        <v>2004.8333333333333</v>
      </c>
      <c r="AG114" s="9">
        <f t="shared" si="72"/>
        <v>2017</v>
      </c>
      <c r="AH114" s="9">
        <f t="shared" si="73"/>
        <v>-8.3333333333333329E-2</v>
      </c>
    </row>
    <row r="115" spans="2:44">
      <c r="C115" s="26">
        <v>728</v>
      </c>
      <c r="D115" s="39" t="s">
        <v>95</v>
      </c>
      <c r="E115" s="40">
        <v>2001</v>
      </c>
      <c r="F115" s="40">
        <v>11</v>
      </c>
      <c r="G115" s="41"/>
      <c r="H115" s="9"/>
      <c r="I115" s="8" t="s">
        <v>51</v>
      </c>
      <c r="J115" s="8">
        <v>3</v>
      </c>
      <c r="K115" s="8">
        <f t="shared" si="57"/>
        <v>2004</v>
      </c>
      <c r="N115" s="42">
        <v>4711.05</v>
      </c>
      <c r="O115" s="36"/>
      <c r="P115" s="9">
        <f t="shared" si="58"/>
        <v>4711.05</v>
      </c>
      <c r="Q115" s="9">
        <f t="shared" si="59"/>
        <v>130.86250000000001</v>
      </c>
      <c r="R115" s="9">
        <f t="shared" si="60"/>
        <v>0</v>
      </c>
      <c r="S115" s="9">
        <f t="shared" si="61"/>
        <v>0</v>
      </c>
      <c r="T115" s="9">
        <f t="shared" si="62"/>
        <v>0</v>
      </c>
      <c r="U115" s="9">
        <v>1</v>
      </c>
      <c r="V115" s="9">
        <f t="shared" si="63"/>
        <v>0</v>
      </c>
      <c r="W115" s="9"/>
      <c r="X115" s="9">
        <f t="shared" si="64"/>
        <v>4711.05</v>
      </c>
      <c r="Y115" s="9">
        <f t="shared" si="65"/>
        <v>4711.05</v>
      </c>
      <c r="Z115" s="9">
        <v>1</v>
      </c>
      <c r="AA115" s="9">
        <f t="shared" si="66"/>
        <v>4711.05</v>
      </c>
      <c r="AB115" s="9">
        <f t="shared" si="67"/>
        <v>4711.05</v>
      </c>
      <c r="AC115" s="9">
        <f t="shared" si="68"/>
        <v>0</v>
      </c>
      <c r="AD115" s="9">
        <f t="shared" si="69"/>
        <v>2001.8333333333333</v>
      </c>
      <c r="AE115" s="9">
        <f t="shared" si="70"/>
        <v>2018</v>
      </c>
      <c r="AF115" s="9">
        <f t="shared" si="71"/>
        <v>2004.8333333333333</v>
      </c>
      <c r="AG115" s="9">
        <f t="shared" si="72"/>
        <v>2017</v>
      </c>
      <c r="AH115" s="9">
        <f t="shared" si="73"/>
        <v>-8.3333333333333329E-2</v>
      </c>
    </row>
    <row r="116" spans="2:44">
      <c r="B116" s="5" t="s">
        <v>83</v>
      </c>
      <c r="C116" s="26">
        <v>702</v>
      </c>
      <c r="D116" s="39" t="s">
        <v>95</v>
      </c>
      <c r="E116" s="40">
        <v>2001</v>
      </c>
      <c r="F116" s="40">
        <v>11</v>
      </c>
      <c r="G116" s="41"/>
      <c r="H116" s="9"/>
      <c r="I116" s="8" t="s">
        <v>51</v>
      </c>
      <c r="J116" s="8">
        <v>3</v>
      </c>
      <c r="K116" s="8">
        <f t="shared" si="57"/>
        <v>2004</v>
      </c>
      <c r="N116" s="42">
        <v>1963.83</v>
      </c>
      <c r="O116" s="36"/>
      <c r="P116" s="9">
        <f t="shared" si="58"/>
        <v>1963.83</v>
      </c>
      <c r="Q116" s="9">
        <f t="shared" si="59"/>
        <v>54.550833333333337</v>
      </c>
      <c r="R116" s="9">
        <f t="shared" si="60"/>
        <v>0</v>
      </c>
      <c r="S116" s="9">
        <f t="shared" si="61"/>
        <v>0</v>
      </c>
      <c r="T116" s="9">
        <f t="shared" si="62"/>
        <v>0</v>
      </c>
      <c r="U116" s="9">
        <v>1</v>
      </c>
      <c r="V116" s="9">
        <f t="shared" si="63"/>
        <v>0</v>
      </c>
      <c r="W116" s="9"/>
      <c r="X116" s="9">
        <f t="shared" si="64"/>
        <v>1963.83</v>
      </c>
      <c r="Y116" s="9">
        <f t="shared" si="65"/>
        <v>1963.83</v>
      </c>
      <c r="Z116" s="9">
        <v>1</v>
      </c>
      <c r="AA116" s="9">
        <f t="shared" si="66"/>
        <v>1963.83</v>
      </c>
      <c r="AB116" s="9">
        <f t="shared" si="67"/>
        <v>1963.83</v>
      </c>
      <c r="AC116" s="9">
        <f t="shared" si="68"/>
        <v>0</v>
      </c>
      <c r="AD116" s="9">
        <f t="shared" si="69"/>
        <v>2001.8333333333333</v>
      </c>
      <c r="AE116" s="9">
        <f t="shared" si="70"/>
        <v>2018</v>
      </c>
      <c r="AF116" s="9">
        <f t="shared" si="71"/>
        <v>2004.8333333333333</v>
      </c>
      <c r="AG116" s="9">
        <f t="shared" si="72"/>
        <v>2017</v>
      </c>
      <c r="AH116" s="9">
        <f t="shared" si="73"/>
        <v>-8.3333333333333329E-2</v>
      </c>
    </row>
    <row r="117" spans="2:44">
      <c r="C117" s="26"/>
      <c r="D117" s="39" t="s">
        <v>97</v>
      </c>
      <c r="E117" s="40">
        <v>2001</v>
      </c>
      <c r="F117" s="40">
        <v>11</v>
      </c>
      <c r="G117" s="41"/>
      <c r="H117" s="9"/>
      <c r="I117" s="8" t="s">
        <v>51</v>
      </c>
      <c r="J117" s="8">
        <v>3</v>
      </c>
      <c r="K117" s="8">
        <f t="shared" si="57"/>
        <v>2004</v>
      </c>
      <c r="N117" s="42">
        <v>1343.15</v>
      </c>
      <c r="O117" s="36"/>
      <c r="P117" s="9">
        <f t="shared" si="58"/>
        <v>1343.15</v>
      </c>
      <c r="Q117" s="9">
        <f t="shared" si="59"/>
        <v>37.309722222222227</v>
      </c>
      <c r="R117" s="9">
        <f t="shared" si="60"/>
        <v>0</v>
      </c>
      <c r="S117" s="9">
        <f t="shared" si="61"/>
        <v>0</v>
      </c>
      <c r="T117" s="9">
        <f t="shared" si="62"/>
        <v>0</v>
      </c>
      <c r="U117" s="9">
        <v>1</v>
      </c>
      <c r="V117" s="9">
        <f t="shared" si="63"/>
        <v>0</v>
      </c>
      <c r="W117" s="9"/>
      <c r="X117" s="9">
        <f t="shared" si="64"/>
        <v>1343.15</v>
      </c>
      <c r="Y117" s="9">
        <f t="shared" si="65"/>
        <v>1343.15</v>
      </c>
      <c r="Z117" s="9">
        <v>1</v>
      </c>
      <c r="AA117" s="9">
        <f t="shared" si="66"/>
        <v>1343.15</v>
      </c>
      <c r="AB117" s="9">
        <f t="shared" si="67"/>
        <v>1343.15</v>
      </c>
      <c r="AC117" s="9">
        <f t="shared" si="68"/>
        <v>0</v>
      </c>
      <c r="AD117" s="9">
        <f t="shared" si="69"/>
        <v>2001.8333333333333</v>
      </c>
      <c r="AE117" s="9">
        <f t="shared" si="70"/>
        <v>2018</v>
      </c>
      <c r="AF117" s="9">
        <f t="shared" si="71"/>
        <v>2004.8333333333333</v>
      </c>
      <c r="AG117" s="9">
        <f t="shared" si="72"/>
        <v>2017</v>
      </c>
      <c r="AH117" s="9">
        <f t="shared" si="73"/>
        <v>-8.3333333333333329E-2</v>
      </c>
    </row>
    <row r="118" spans="2:44">
      <c r="C118" s="26">
        <v>715</v>
      </c>
      <c r="D118" s="39" t="s">
        <v>67</v>
      </c>
      <c r="E118" s="40">
        <v>2002</v>
      </c>
      <c r="F118" s="40">
        <v>12</v>
      </c>
      <c r="G118" s="41"/>
      <c r="I118" s="8" t="s">
        <v>51</v>
      </c>
      <c r="J118" s="8">
        <v>3</v>
      </c>
      <c r="K118" s="8">
        <f t="shared" si="57"/>
        <v>2005</v>
      </c>
      <c r="N118" s="42">
        <v>8341.15</v>
      </c>
      <c r="O118" s="36"/>
      <c r="P118" s="9">
        <f t="shared" si="58"/>
        <v>8341.15</v>
      </c>
      <c r="Q118" s="9">
        <f t="shared" si="59"/>
        <v>231.69861111111109</v>
      </c>
      <c r="R118" s="9">
        <f t="shared" si="60"/>
        <v>0</v>
      </c>
      <c r="S118" s="9">
        <f t="shared" si="61"/>
        <v>0</v>
      </c>
      <c r="T118" s="9">
        <f t="shared" si="62"/>
        <v>0</v>
      </c>
      <c r="U118" s="9">
        <v>1</v>
      </c>
      <c r="V118" s="9">
        <f t="shared" si="63"/>
        <v>0</v>
      </c>
      <c r="W118" s="9"/>
      <c r="X118" s="9">
        <f t="shared" si="64"/>
        <v>8341.15</v>
      </c>
      <c r="Y118" s="9">
        <f t="shared" si="65"/>
        <v>8341.15</v>
      </c>
      <c r="Z118" s="9">
        <v>1</v>
      </c>
      <c r="AA118" s="9">
        <f t="shared" si="66"/>
        <v>8341.15</v>
      </c>
      <c r="AB118" s="9">
        <f t="shared" si="67"/>
        <v>8341.15</v>
      </c>
      <c r="AC118" s="9">
        <f t="shared" si="68"/>
        <v>0</v>
      </c>
      <c r="AD118" s="9">
        <f t="shared" si="69"/>
        <v>2002.9166666666667</v>
      </c>
      <c r="AE118" s="9">
        <f t="shared" si="70"/>
        <v>2018</v>
      </c>
      <c r="AF118" s="9">
        <f t="shared" si="71"/>
        <v>2005.9166666666667</v>
      </c>
      <c r="AG118" s="9">
        <f t="shared" si="72"/>
        <v>2017</v>
      </c>
      <c r="AH118" s="9">
        <f t="shared" si="73"/>
        <v>-8.3333333333333329E-2</v>
      </c>
    </row>
    <row r="119" spans="2:44">
      <c r="C119" s="26">
        <v>7163</v>
      </c>
      <c r="D119" s="39" t="s">
        <v>103</v>
      </c>
      <c r="E119" s="40">
        <v>2004</v>
      </c>
      <c r="F119" s="40">
        <v>2</v>
      </c>
      <c r="G119" s="41"/>
      <c r="I119" s="8" t="s">
        <v>51</v>
      </c>
      <c r="J119" s="8">
        <v>3</v>
      </c>
      <c r="K119" s="8">
        <f t="shared" si="57"/>
        <v>2007</v>
      </c>
      <c r="N119" s="42">
        <v>10600.14</v>
      </c>
      <c r="O119" s="36"/>
      <c r="P119" s="9">
        <f t="shared" si="58"/>
        <v>10600.14</v>
      </c>
      <c r="Q119" s="9">
        <f t="shared" si="59"/>
        <v>294.44833333333332</v>
      </c>
      <c r="R119" s="9">
        <f t="shared" si="60"/>
        <v>0</v>
      </c>
      <c r="S119" s="9">
        <f t="shared" si="61"/>
        <v>0</v>
      </c>
      <c r="T119" s="9">
        <f t="shared" si="62"/>
        <v>0</v>
      </c>
      <c r="U119" s="9">
        <v>1</v>
      </c>
      <c r="V119" s="9">
        <f t="shared" si="63"/>
        <v>0</v>
      </c>
      <c r="W119" s="9"/>
      <c r="X119" s="9">
        <f t="shared" si="64"/>
        <v>10600.14</v>
      </c>
      <c r="Y119" s="9">
        <f t="shared" si="65"/>
        <v>10600.14</v>
      </c>
      <c r="Z119" s="9">
        <v>1</v>
      </c>
      <c r="AA119" s="9">
        <f t="shared" si="66"/>
        <v>10600.14</v>
      </c>
      <c r="AB119" s="9">
        <f t="shared" si="67"/>
        <v>10600.14</v>
      </c>
      <c r="AC119" s="9">
        <f t="shared" si="68"/>
        <v>0</v>
      </c>
      <c r="AD119" s="9">
        <f t="shared" si="69"/>
        <v>2004.0833333333333</v>
      </c>
      <c r="AE119" s="9">
        <f t="shared" si="70"/>
        <v>2018</v>
      </c>
      <c r="AF119" s="9">
        <f t="shared" si="71"/>
        <v>2007.0833333333333</v>
      </c>
      <c r="AG119" s="9">
        <f t="shared" si="72"/>
        <v>2017</v>
      </c>
      <c r="AH119" s="9">
        <f t="shared" si="73"/>
        <v>-8.3333333333333329E-2</v>
      </c>
    </row>
    <row r="120" spans="2:44">
      <c r="B120" s="5" t="s">
        <v>83</v>
      </c>
      <c r="C120" s="26">
        <v>7168</v>
      </c>
      <c r="D120" s="39" t="s">
        <v>105</v>
      </c>
      <c r="E120" s="40">
        <v>2004</v>
      </c>
      <c r="F120" s="40">
        <v>6</v>
      </c>
      <c r="G120" s="41">
        <v>0.2</v>
      </c>
      <c r="I120" s="8" t="s">
        <v>51</v>
      </c>
      <c r="J120" s="8">
        <v>7</v>
      </c>
      <c r="K120" s="8">
        <f t="shared" si="57"/>
        <v>2011</v>
      </c>
      <c r="N120" s="42">
        <f>97800+8410</f>
        <v>106210</v>
      </c>
      <c r="O120" s="36"/>
      <c r="P120" s="9">
        <f t="shared" si="58"/>
        <v>84968</v>
      </c>
      <c r="Q120" s="9">
        <f t="shared" si="59"/>
        <v>1011.5238095238095</v>
      </c>
      <c r="R120" s="9">
        <f t="shared" si="60"/>
        <v>0</v>
      </c>
      <c r="S120" s="9">
        <f t="shared" si="61"/>
        <v>0</v>
      </c>
      <c r="T120" s="9">
        <f t="shared" si="62"/>
        <v>0</v>
      </c>
      <c r="U120" s="9">
        <v>1</v>
      </c>
      <c r="V120" s="9">
        <f t="shared" si="63"/>
        <v>0</v>
      </c>
      <c r="W120" s="9"/>
      <c r="X120" s="9">
        <f t="shared" si="64"/>
        <v>84968</v>
      </c>
      <c r="Y120" s="9">
        <f t="shared" si="65"/>
        <v>84968</v>
      </c>
      <c r="Z120" s="9">
        <v>1</v>
      </c>
      <c r="AA120" s="9">
        <f t="shared" si="66"/>
        <v>84968</v>
      </c>
      <c r="AB120" s="9">
        <f t="shared" si="67"/>
        <v>84968</v>
      </c>
      <c r="AC120" s="9">
        <f t="shared" si="68"/>
        <v>21242</v>
      </c>
      <c r="AD120" s="9">
        <f t="shared" si="69"/>
        <v>2004.4166666666667</v>
      </c>
      <c r="AE120" s="9">
        <f t="shared" si="70"/>
        <v>2018</v>
      </c>
      <c r="AF120" s="9">
        <f t="shared" si="71"/>
        <v>2011.4166666666667</v>
      </c>
      <c r="AG120" s="9">
        <f t="shared" si="72"/>
        <v>2017</v>
      </c>
      <c r="AH120" s="9">
        <f t="shared" si="73"/>
        <v>-8.3333333333333329E-2</v>
      </c>
    </row>
    <row r="121" spans="2:44" s="6" customFormat="1">
      <c r="B121" s="6" t="s">
        <v>89</v>
      </c>
      <c r="C121" s="26">
        <v>163</v>
      </c>
      <c r="D121" s="27" t="s">
        <v>106</v>
      </c>
      <c r="E121" s="28">
        <v>2004</v>
      </c>
      <c r="F121" s="28">
        <v>7</v>
      </c>
      <c r="G121" s="89"/>
      <c r="I121" s="26" t="s">
        <v>51</v>
      </c>
      <c r="J121" s="26">
        <v>5</v>
      </c>
      <c r="K121" s="26">
        <f t="shared" si="57"/>
        <v>2009</v>
      </c>
      <c r="N121" s="29">
        <v>2475</v>
      </c>
      <c r="O121" s="30"/>
      <c r="P121" s="16">
        <f t="shared" si="58"/>
        <v>2475</v>
      </c>
      <c r="Q121" s="16">
        <f t="shared" si="59"/>
        <v>41.25</v>
      </c>
      <c r="R121" s="16">
        <f t="shared" si="60"/>
        <v>0</v>
      </c>
      <c r="S121" s="16">
        <f t="shared" si="61"/>
        <v>0</v>
      </c>
      <c r="T121" s="16">
        <f t="shared" si="62"/>
        <v>0</v>
      </c>
      <c r="U121" s="16">
        <v>1</v>
      </c>
      <c r="V121" s="16">
        <f t="shared" si="63"/>
        <v>0</v>
      </c>
      <c r="W121" s="16"/>
      <c r="X121" s="16">
        <f t="shared" si="64"/>
        <v>2475</v>
      </c>
      <c r="Y121" s="16">
        <f t="shared" si="65"/>
        <v>2475</v>
      </c>
      <c r="Z121" s="16">
        <v>1</v>
      </c>
      <c r="AA121" s="16">
        <f t="shared" si="66"/>
        <v>2475</v>
      </c>
      <c r="AB121" s="16">
        <f t="shared" si="67"/>
        <v>2475</v>
      </c>
      <c r="AC121" s="16">
        <f t="shared" si="68"/>
        <v>0</v>
      </c>
      <c r="AD121" s="16">
        <f t="shared" si="69"/>
        <v>2004.5</v>
      </c>
      <c r="AE121" s="16">
        <f t="shared" si="70"/>
        <v>2018</v>
      </c>
      <c r="AF121" s="16">
        <f t="shared" si="71"/>
        <v>2009.5</v>
      </c>
      <c r="AG121" s="16">
        <f t="shared" si="72"/>
        <v>2017</v>
      </c>
      <c r="AH121" s="16">
        <f t="shared" si="73"/>
        <v>-8.3333333333333329E-2</v>
      </c>
      <c r="AJ121" s="110"/>
      <c r="AK121" s="110"/>
      <c r="AL121" s="110"/>
      <c r="AM121" s="110"/>
      <c r="AN121" s="110"/>
      <c r="AO121" s="110"/>
      <c r="AP121" s="110"/>
      <c r="AQ121" s="110"/>
      <c r="AR121" s="110"/>
    </row>
    <row r="122" spans="2:44" s="6" customFormat="1">
      <c r="B122" s="6" t="s">
        <v>89</v>
      </c>
      <c r="C122" s="26">
        <v>164</v>
      </c>
      <c r="D122" s="27" t="s">
        <v>106</v>
      </c>
      <c r="E122" s="28">
        <v>2004</v>
      </c>
      <c r="F122" s="28">
        <v>7</v>
      </c>
      <c r="G122" s="89"/>
      <c r="I122" s="26" t="s">
        <v>51</v>
      </c>
      <c r="J122" s="26">
        <v>5</v>
      </c>
      <c r="K122" s="26">
        <f t="shared" si="57"/>
        <v>2009</v>
      </c>
      <c r="N122" s="29">
        <v>2475</v>
      </c>
      <c r="O122" s="30"/>
      <c r="P122" s="16">
        <f t="shared" si="58"/>
        <v>2475</v>
      </c>
      <c r="Q122" s="16">
        <f t="shared" si="59"/>
        <v>41.25</v>
      </c>
      <c r="R122" s="16">
        <f t="shared" si="60"/>
        <v>0</v>
      </c>
      <c r="S122" s="16">
        <f t="shared" si="61"/>
        <v>0</v>
      </c>
      <c r="T122" s="16">
        <f t="shared" si="62"/>
        <v>0</v>
      </c>
      <c r="U122" s="16">
        <v>1</v>
      </c>
      <c r="V122" s="16">
        <f t="shared" si="63"/>
        <v>0</v>
      </c>
      <c r="W122" s="16"/>
      <c r="X122" s="16">
        <f t="shared" si="64"/>
        <v>2475</v>
      </c>
      <c r="Y122" s="16">
        <f t="shared" si="65"/>
        <v>2475</v>
      </c>
      <c r="Z122" s="16">
        <v>1</v>
      </c>
      <c r="AA122" s="16">
        <f t="shared" si="66"/>
        <v>2475</v>
      </c>
      <c r="AB122" s="16">
        <f t="shared" si="67"/>
        <v>2475</v>
      </c>
      <c r="AC122" s="16">
        <f t="shared" si="68"/>
        <v>0</v>
      </c>
      <c r="AD122" s="16">
        <f t="shared" si="69"/>
        <v>2004.5</v>
      </c>
      <c r="AE122" s="16">
        <f t="shared" si="70"/>
        <v>2018</v>
      </c>
      <c r="AF122" s="16">
        <f t="shared" si="71"/>
        <v>2009.5</v>
      </c>
      <c r="AG122" s="16">
        <f t="shared" si="72"/>
        <v>2017</v>
      </c>
      <c r="AH122" s="16">
        <f t="shared" si="73"/>
        <v>-8.3333333333333329E-2</v>
      </c>
      <c r="AJ122" s="110"/>
      <c r="AK122" s="110"/>
      <c r="AL122" s="110"/>
      <c r="AM122" s="110"/>
      <c r="AN122" s="110"/>
      <c r="AO122" s="110"/>
      <c r="AP122" s="110"/>
      <c r="AQ122" s="110"/>
      <c r="AR122" s="110"/>
    </row>
    <row r="123" spans="2:44" s="6" customFormat="1">
      <c r="B123" s="6" t="s">
        <v>83</v>
      </c>
      <c r="C123" s="26">
        <v>668</v>
      </c>
      <c r="D123" s="27" t="s">
        <v>107</v>
      </c>
      <c r="E123" s="28">
        <v>2004</v>
      </c>
      <c r="F123" s="28">
        <v>8</v>
      </c>
      <c r="G123" s="89">
        <v>0.33</v>
      </c>
      <c r="I123" s="26" t="s">
        <v>51</v>
      </c>
      <c r="J123" s="26">
        <v>5</v>
      </c>
      <c r="K123" s="26">
        <f t="shared" si="57"/>
        <v>2009</v>
      </c>
      <c r="N123" s="29">
        <f>17088+40742.91</f>
        <v>57830.91</v>
      </c>
      <c r="O123" s="30"/>
      <c r="P123" s="16">
        <f t="shared" si="58"/>
        <v>38746.709700000007</v>
      </c>
      <c r="Q123" s="16">
        <f t="shared" si="59"/>
        <v>645.77849500000013</v>
      </c>
      <c r="R123" s="16">
        <f t="shared" si="60"/>
        <v>0</v>
      </c>
      <c r="S123" s="16">
        <f t="shared" si="61"/>
        <v>0</v>
      </c>
      <c r="T123" s="16">
        <f t="shared" si="62"/>
        <v>0</v>
      </c>
      <c r="U123" s="16">
        <v>1</v>
      </c>
      <c r="V123" s="16">
        <f t="shared" si="63"/>
        <v>0</v>
      </c>
      <c r="W123" s="16"/>
      <c r="X123" s="16">
        <f t="shared" si="64"/>
        <v>38746.709700000007</v>
      </c>
      <c r="Y123" s="16">
        <f t="shared" si="65"/>
        <v>38746.709700000007</v>
      </c>
      <c r="Z123" s="16">
        <v>1</v>
      </c>
      <c r="AA123" s="16">
        <f t="shared" si="66"/>
        <v>38746.709700000007</v>
      </c>
      <c r="AB123" s="16">
        <f t="shared" si="67"/>
        <v>38746.709700000007</v>
      </c>
      <c r="AC123" s="16">
        <f t="shared" si="68"/>
        <v>19084.200299999997</v>
      </c>
      <c r="AD123" s="16">
        <f t="shared" si="69"/>
        <v>2004.5833333333333</v>
      </c>
      <c r="AE123" s="16">
        <f t="shared" si="70"/>
        <v>2018</v>
      </c>
      <c r="AF123" s="16">
        <f t="shared" si="71"/>
        <v>2009.5833333333333</v>
      </c>
      <c r="AG123" s="16">
        <f t="shared" si="72"/>
        <v>2017</v>
      </c>
      <c r="AH123" s="16">
        <f t="shared" si="73"/>
        <v>-8.3333333333333329E-2</v>
      </c>
      <c r="AJ123" s="110"/>
      <c r="AK123" s="110"/>
      <c r="AL123" s="110"/>
      <c r="AM123" s="110"/>
      <c r="AN123" s="110"/>
      <c r="AO123" s="110"/>
      <c r="AP123" s="110"/>
      <c r="AQ123" s="110"/>
      <c r="AR123" s="110"/>
    </row>
    <row r="124" spans="2:44" s="6" customFormat="1">
      <c r="B124" s="6" t="s">
        <v>102</v>
      </c>
      <c r="C124" s="26">
        <v>915</v>
      </c>
      <c r="D124" s="27" t="s">
        <v>108</v>
      </c>
      <c r="E124" s="28">
        <v>2004</v>
      </c>
      <c r="F124" s="28">
        <v>12</v>
      </c>
      <c r="G124" s="89">
        <v>0.33</v>
      </c>
      <c r="I124" s="26" t="s">
        <v>51</v>
      </c>
      <c r="J124" s="26">
        <v>5</v>
      </c>
      <c r="K124" s="26">
        <f t="shared" si="57"/>
        <v>2009</v>
      </c>
      <c r="N124" s="29">
        <f>158575.78-117089.76</f>
        <v>41486.020000000004</v>
      </c>
      <c r="O124" s="30"/>
      <c r="P124" s="16">
        <f t="shared" si="58"/>
        <v>27795.633400000002</v>
      </c>
      <c r="Q124" s="16">
        <f t="shared" si="59"/>
        <v>463.26055666666667</v>
      </c>
      <c r="R124" s="16">
        <f t="shared" si="60"/>
        <v>0</v>
      </c>
      <c r="S124" s="16">
        <f t="shared" si="61"/>
        <v>0</v>
      </c>
      <c r="T124" s="16">
        <f t="shared" si="62"/>
        <v>0</v>
      </c>
      <c r="U124" s="16">
        <v>1</v>
      </c>
      <c r="V124" s="16">
        <f t="shared" si="63"/>
        <v>0</v>
      </c>
      <c r="W124" s="16"/>
      <c r="X124" s="16">
        <f t="shared" si="64"/>
        <v>27795.633400000002</v>
      </c>
      <c r="Y124" s="16">
        <f t="shared" si="65"/>
        <v>27795.633400000002</v>
      </c>
      <c r="Z124" s="16">
        <v>1</v>
      </c>
      <c r="AA124" s="16">
        <f t="shared" si="66"/>
        <v>27795.633400000002</v>
      </c>
      <c r="AB124" s="16">
        <f t="shared" si="67"/>
        <v>27795.633400000002</v>
      </c>
      <c r="AC124" s="16">
        <f t="shared" si="68"/>
        <v>13690.386600000002</v>
      </c>
      <c r="AD124" s="16">
        <f t="shared" si="69"/>
        <v>2004.9166666666667</v>
      </c>
      <c r="AE124" s="16">
        <f t="shared" si="70"/>
        <v>2018</v>
      </c>
      <c r="AF124" s="16">
        <f t="shared" si="71"/>
        <v>2009.9166666666667</v>
      </c>
      <c r="AG124" s="16">
        <f t="shared" si="72"/>
        <v>2017</v>
      </c>
      <c r="AH124" s="16">
        <f t="shared" si="73"/>
        <v>-8.3333333333333329E-2</v>
      </c>
      <c r="AJ124" s="110"/>
      <c r="AK124" s="110"/>
      <c r="AL124" s="110"/>
      <c r="AM124" s="110"/>
      <c r="AN124" s="110"/>
      <c r="AO124" s="110"/>
      <c r="AP124" s="110"/>
      <c r="AQ124" s="110"/>
      <c r="AR124" s="110"/>
    </row>
    <row r="125" spans="2:44" s="6" customFormat="1">
      <c r="C125" s="26"/>
      <c r="D125" s="27"/>
      <c r="E125" s="28"/>
      <c r="F125" s="28"/>
      <c r="G125" s="89"/>
      <c r="I125" s="49"/>
      <c r="J125" s="26"/>
      <c r="K125" s="26"/>
      <c r="N125" s="29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J125" s="110"/>
      <c r="AK125" s="110"/>
      <c r="AL125" s="110"/>
      <c r="AM125" s="110"/>
      <c r="AN125" s="110"/>
      <c r="AO125" s="110"/>
      <c r="AP125" s="110"/>
      <c r="AQ125" s="110"/>
      <c r="AR125" s="110"/>
    </row>
    <row r="126" spans="2:44" s="6" customFormat="1">
      <c r="B126" s="6" t="s">
        <v>83</v>
      </c>
      <c r="C126" s="26">
        <v>668</v>
      </c>
      <c r="D126" s="27" t="s">
        <v>67</v>
      </c>
      <c r="E126" s="28">
        <v>2005</v>
      </c>
      <c r="F126" s="28">
        <v>3</v>
      </c>
      <c r="G126" s="89"/>
      <c r="I126" s="26" t="s">
        <v>51</v>
      </c>
      <c r="J126" s="26">
        <v>3</v>
      </c>
      <c r="K126" s="26">
        <f>E126+J126</f>
        <v>2008</v>
      </c>
      <c r="N126" s="29">
        <f>13020.1+51.59-2611.2</f>
        <v>10460.490000000002</v>
      </c>
      <c r="P126" s="16">
        <f>N126-N126*G126</f>
        <v>10460.490000000002</v>
      </c>
      <c r="Q126" s="16">
        <f>P126/J126/12</f>
        <v>290.56916666666672</v>
      </c>
      <c r="R126" s="16">
        <f>IF(O126&gt;0,0,IF(OR(AD126&gt;AE126,AF126&lt;AG126),0,IF(AND(AF126&gt;=AG126,AF126&lt;=AE126),Q126*((AF126-AG126)*12),IF(AND(AG126&lt;=AD126,AE126&gt;=AD126),((AE126-AD126)*12)*Q126,IF(AF126&gt;AE126,12*Q126,0)))))</f>
        <v>0</v>
      </c>
      <c r="S126" s="16">
        <f>IF(O126=0,0,IF(AND(AH126&gt;=AG126,AH126&lt;=AF126),((AH126-AG126)*12)*Q126,0))</f>
        <v>0</v>
      </c>
      <c r="T126" s="16">
        <f>IF(S126&gt;0,S126,R126)</f>
        <v>0</v>
      </c>
      <c r="U126" s="16">
        <v>1</v>
      </c>
      <c r="V126" s="16">
        <f>U126*SUM(R126:S126)</f>
        <v>0</v>
      </c>
      <c r="W126" s="16"/>
      <c r="X126" s="16">
        <f>IF(AD126&gt;AE126,0,IF(AF126&lt;AG126,P126,IF(AND(AF126&gt;=AG126,AF126&lt;=AE126),(P126-T126),IF(AND(AG126&lt;=AD126,AE126&gt;=AD126),0,IF(AF126&gt;AE126,((AG126-AD126)*12)*Q126,0)))))</f>
        <v>10460.490000000002</v>
      </c>
      <c r="Y126" s="16">
        <f>X126*U126</f>
        <v>10460.490000000002</v>
      </c>
      <c r="Z126" s="16">
        <v>1</v>
      </c>
      <c r="AA126" s="16">
        <f>Y126*Z126</f>
        <v>10460.490000000002</v>
      </c>
      <c r="AB126" s="16">
        <f>IF(O126&gt;0,0,AA126+V126*Z126)*Z126</f>
        <v>10460.490000000002</v>
      </c>
      <c r="AC126" s="16">
        <f>IF(O126&gt;0,(N126-AA126)/2,IF(AD126&gt;=AG126,(((N126*U126)*Z126)-AB126)/2,((((N126*U126)*Z126)-AA126)+(((N126*U126)*Z126)-AB126))/2))</f>
        <v>0</v>
      </c>
      <c r="AD126" s="16">
        <f>$E126+(($F126-1)/12)</f>
        <v>2005.1666666666667</v>
      </c>
      <c r="AE126" s="16">
        <f>($P$5+1)-($P$2/12)</f>
        <v>2018</v>
      </c>
      <c r="AF126" s="16">
        <f>$K126+(($F126-1)/12)</f>
        <v>2008.1666666666667</v>
      </c>
      <c r="AG126" s="16">
        <f>$P$4+($P$3/12)</f>
        <v>2017</v>
      </c>
      <c r="AH126" s="16">
        <f>$L126+(($M126-1)/12)</f>
        <v>-8.3333333333333329E-2</v>
      </c>
      <c r="AJ126" s="110"/>
      <c r="AK126" s="110"/>
      <c r="AL126" s="110"/>
      <c r="AM126" s="110"/>
      <c r="AN126" s="110"/>
      <c r="AO126" s="110"/>
      <c r="AP126" s="110"/>
      <c r="AQ126" s="110"/>
      <c r="AR126" s="110"/>
    </row>
    <row r="127" spans="2:44" s="6" customFormat="1">
      <c r="C127" s="26"/>
      <c r="D127" s="27"/>
      <c r="E127" s="28"/>
      <c r="F127" s="28"/>
      <c r="G127" s="89"/>
      <c r="I127" s="26"/>
      <c r="J127" s="26"/>
      <c r="K127" s="26"/>
      <c r="N127" s="30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J127" s="110"/>
      <c r="AK127" s="110"/>
      <c r="AL127" s="110"/>
      <c r="AM127" s="110"/>
      <c r="AN127" s="110"/>
      <c r="AO127" s="110"/>
      <c r="AP127" s="110"/>
      <c r="AQ127" s="110"/>
      <c r="AR127" s="110"/>
    </row>
    <row r="128" spans="2:44" s="6" customFormat="1">
      <c r="B128" s="6" t="s">
        <v>83</v>
      </c>
      <c r="C128" s="26">
        <v>668</v>
      </c>
      <c r="D128" s="27" t="s">
        <v>233</v>
      </c>
      <c r="E128" s="28">
        <v>2008</v>
      </c>
      <c r="F128" s="28">
        <v>5</v>
      </c>
      <c r="G128" s="89"/>
      <c r="I128" s="26" t="s">
        <v>51</v>
      </c>
      <c r="J128" s="26">
        <v>3</v>
      </c>
      <c r="K128" s="26">
        <f>E128+J128</f>
        <v>2011</v>
      </c>
      <c r="N128" s="29">
        <v>9220.7199999999993</v>
      </c>
      <c r="P128" s="16">
        <f>N128-N128*G128</f>
        <v>9220.7199999999993</v>
      </c>
      <c r="Q128" s="16">
        <f>P128/J128/12</f>
        <v>256.13111111111112</v>
      </c>
      <c r="R128" s="16">
        <f>IF(O128&gt;0,0,IF(OR(AD128&gt;AE128,AF128&lt;AG128),0,IF(AND(AF128&gt;=AG128,AF128&lt;=AE128),Q128*((AF128-AG128)*12),IF(AND(AG128&lt;=AD128,AE128&gt;=AD128),((AE128-AD128)*12)*Q128,IF(AF128&gt;AE128,12*Q128,0)))))</f>
        <v>0</v>
      </c>
      <c r="S128" s="16">
        <f>IF(O128=0,0,IF(AND(AH128&gt;=AG128,AH128&lt;=AF128),((AH128-AG128)*12)*Q128,0))</f>
        <v>0</v>
      </c>
      <c r="T128" s="16">
        <f>IF(S128&gt;0,S128,R128)</f>
        <v>0</v>
      </c>
      <c r="U128" s="16">
        <v>1</v>
      </c>
      <c r="V128" s="16">
        <f>U128*SUM(R128:S128)</f>
        <v>0</v>
      </c>
      <c r="W128" s="16"/>
      <c r="X128" s="16">
        <f>IF(AD128&gt;AE128,0,IF(AF128&lt;AG128,P128,IF(AND(AF128&gt;=AG128,AF128&lt;=AE128),(P128-T128),IF(AND(AG128&lt;=AD128,AE128&gt;=AD128),0,IF(AF128&gt;AE128,((AG128-AD128)*12)*Q128,0)))))</f>
        <v>9220.7199999999993</v>
      </c>
      <c r="Y128" s="16">
        <f>X128*U128</f>
        <v>9220.7199999999993</v>
      </c>
      <c r="Z128" s="16">
        <v>1</v>
      </c>
      <c r="AA128" s="16">
        <f>Y128*Z128</f>
        <v>9220.7199999999993</v>
      </c>
      <c r="AB128" s="16">
        <f>IF(O128&gt;0,0,AA128+V128*Z128)*Z128</f>
        <v>9220.7199999999993</v>
      </c>
      <c r="AC128" s="16">
        <f>IF(O128&gt;0,(N128-AA128)/2,IF(AD128&gt;=AG128,(((N128*U128)*Z128)-AB128)/2,((((N128*U128)*Z128)-AA128)+(((N128*U128)*Z128)-AB128))/2))</f>
        <v>0</v>
      </c>
      <c r="AD128" s="16">
        <f>$E128+(($F128-1)/12)</f>
        <v>2008.3333333333333</v>
      </c>
      <c r="AE128" s="16">
        <f>($P$5+1)-($P$2/12)</f>
        <v>2018</v>
      </c>
      <c r="AF128" s="16">
        <f>$K128+(($F128-1)/12)</f>
        <v>2011.3333333333333</v>
      </c>
      <c r="AG128" s="16">
        <f>$P$4+($P$3/12)</f>
        <v>2017</v>
      </c>
      <c r="AH128" s="16">
        <f>$L128+(($M128-1)/12)</f>
        <v>-8.3333333333333329E-2</v>
      </c>
      <c r="AJ128" s="110"/>
      <c r="AK128" s="110"/>
      <c r="AL128" s="110"/>
      <c r="AM128" s="110"/>
      <c r="AN128" s="110"/>
      <c r="AO128" s="110"/>
      <c r="AP128" s="110"/>
      <c r="AQ128" s="110"/>
      <c r="AR128" s="110"/>
    </row>
    <row r="129" spans="1:44" s="6" customFormat="1">
      <c r="B129" s="6" t="s">
        <v>102</v>
      </c>
      <c r="C129" s="26">
        <v>915</v>
      </c>
      <c r="D129" s="27" t="s">
        <v>214</v>
      </c>
      <c r="E129" s="28">
        <v>2008</v>
      </c>
      <c r="F129" s="28">
        <v>7</v>
      </c>
      <c r="G129" s="89"/>
      <c r="I129" s="26" t="s">
        <v>51</v>
      </c>
      <c r="J129" s="26">
        <v>3</v>
      </c>
      <c r="K129" s="26">
        <f>E129+J129</f>
        <v>2011</v>
      </c>
      <c r="N129" s="29">
        <v>10731.6</v>
      </c>
      <c r="P129" s="16">
        <f>N129-N129*G129</f>
        <v>10731.6</v>
      </c>
      <c r="Q129" s="16">
        <f>P129/J129/12</f>
        <v>298.10000000000002</v>
      </c>
      <c r="R129" s="16">
        <f>IF(O129&gt;0,0,IF(OR(AD129&gt;AE129,AF129&lt;AG129),0,IF(AND(AF129&gt;=AG129,AF129&lt;=AE129),Q129*((AF129-AG129)*12),IF(AND(AG129&lt;=AD129,AE129&gt;=AD129),((AE129-AD129)*12)*Q129,IF(AF129&gt;AE129,12*Q129,0)))))</f>
        <v>0</v>
      </c>
      <c r="S129" s="16">
        <f>IF(O129=0,0,IF(AND(AH129&gt;=AG129,AH129&lt;=AF129),((AH129-AG129)*12)*Q129,0))</f>
        <v>0</v>
      </c>
      <c r="T129" s="16">
        <f>IF(S129&gt;0,S129,R129)</f>
        <v>0</v>
      </c>
      <c r="U129" s="16">
        <v>1</v>
      </c>
      <c r="V129" s="16">
        <f>U129*SUM(R129:S129)</f>
        <v>0</v>
      </c>
      <c r="W129" s="16"/>
      <c r="X129" s="16">
        <f>IF(AD129&gt;AE129,0,IF(AF129&lt;AG129,P129,IF(AND(AF129&gt;=AG129,AF129&lt;=AE129),(P129-T129),IF(AND(AG129&lt;=AD129,AE129&gt;=AD129),0,IF(AF129&gt;AE129,((AG129-AD129)*12)*Q129,0)))))</f>
        <v>10731.6</v>
      </c>
      <c r="Y129" s="16">
        <f>X129*U129</f>
        <v>10731.6</v>
      </c>
      <c r="Z129" s="16">
        <v>1</v>
      </c>
      <c r="AA129" s="16">
        <f>Y129*Z129</f>
        <v>10731.6</v>
      </c>
      <c r="AB129" s="16">
        <f>IF(O129&gt;0,0,AA129+V129*Z129)*Z129</f>
        <v>10731.6</v>
      </c>
      <c r="AC129" s="16">
        <f>IF(O129&gt;0,(N129-AA129)/2,IF(AD129&gt;=AG129,(((N129*U129)*Z129)-AB129)/2,((((N129*U129)*Z129)-AA129)+(((N129*U129)*Z129)-AB129))/2))</f>
        <v>0</v>
      </c>
      <c r="AD129" s="16">
        <f>$E129+(($F129-1)/12)</f>
        <v>2008.5</v>
      </c>
      <c r="AE129" s="16">
        <f>($P$5+1)-($P$2/12)</f>
        <v>2018</v>
      </c>
      <c r="AF129" s="16">
        <f>$K129+(($F129-1)/12)</f>
        <v>2011.5</v>
      </c>
      <c r="AG129" s="16">
        <f>$P$4+($P$3/12)</f>
        <v>2017</v>
      </c>
      <c r="AH129" s="16">
        <f>$L129+(($M129-1)/12)</f>
        <v>-8.3333333333333329E-2</v>
      </c>
      <c r="AJ129" s="110"/>
      <c r="AK129" s="110"/>
      <c r="AL129" s="110"/>
      <c r="AM129" s="110"/>
      <c r="AN129" s="110"/>
      <c r="AO129" s="110"/>
      <c r="AP129" s="110"/>
      <c r="AQ129" s="110"/>
      <c r="AR129" s="110"/>
    </row>
    <row r="130" spans="1:44" s="6" customFormat="1">
      <c r="C130" s="26"/>
      <c r="D130" s="27"/>
      <c r="E130" s="28"/>
      <c r="F130" s="28"/>
      <c r="G130" s="89"/>
      <c r="I130" s="26"/>
      <c r="J130" s="26"/>
      <c r="K130" s="26"/>
      <c r="N130" s="29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J130" s="110"/>
      <c r="AK130" s="110"/>
      <c r="AL130" s="110"/>
      <c r="AM130" s="110"/>
      <c r="AN130" s="110"/>
      <c r="AO130" s="110"/>
      <c r="AP130" s="110"/>
      <c r="AQ130" s="110"/>
      <c r="AR130" s="110"/>
    </row>
    <row r="131" spans="1:44" s="6" customFormat="1">
      <c r="B131" s="6" t="s">
        <v>83</v>
      </c>
      <c r="C131" s="26"/>
      <c r="D131" s="27" t="s">
        <v>213</v>
      </c>
      <c r="E131" s="28">
        <v>2009</v>
      </c>
      <c r="F131" s="28">
        <v>5</v>
      </c>
      <c r="G131" s="89"/>
      <c r="I131" s="26" t="s">
        <v>51</v>
      </c>
      <c r="J131" s="26">
        <v>3</v>
      </c>
      <c r="K131" s="26">
        <f t="shared" ref="K131:K136" si="74">E131+J131</f>
        <v>2012</v>
      </c>
      <c r="N131" s="29">
        <v>13302.3</v>
      </c>
      <c r="P131" s="16">
        <f>N131-N131*G131</f>
        <v>13302.3</v>
      </c>
      <c r="Q131" s="16">
        <f>P131/J131/12</f>
        <v>369.50833333333327</v>
      </c>
      <c r="R131" s="16">
        <f>IF(O131&gt;0,0,IF(OR(AD131&gt;AE131,AF131&lt;AG131),0,IF(AND(AF131&gt;=AG131,AF131&lt;=AE131),Q131*((AF131-AG131)*12),IF(AND(AG131&lt;=AD131,AE131&gt;=AD131),((AE131-AD131)*12)*Q131,IF(AF131&gt;AE131,12*Q131,0)))))</f>
        <v>0</v>
      </c>
      <c r="S131" s="16">
        <f>IF(O131=0,0,IF(AND(AH131&gt;=AG131,AH131&lt;=AF131),((AH131-AG131)*12)*Q131,0))</f>
        <v>0</v>
      </c>
      <c r="T131" s="16">
        <f>IF(S131&gt;0,S131,R131)</f>
        <v>0</v>
      </c>
      <c r="U131" s="16">
        <v>1</v>
      </c>
      <c r="V131" s="16">
        <f>U131*SUM(R131:S131)</f>
        <v>0</v>
      </c>
      <c r="W131" s="16"/>
      <c r="X131" s="16">
        <f>IF(AD131&gt;AE131,0,IF(AF131&lt;AG131,P131,IF(AND(AF131&gt;=AG131,AF131&lt;=AE131),(P131-T131),IF(AND(AG131&lt;=AD131,AE131&gt;=AD131),0,IF(AF131&gt;AE131,((AG131-AD131)*12)*Q131,0)))))</f>
        <v>13302.3</v>
      </c>
      <c r="Y131" s="16">
        <f>X131*U131</f>
        <v>13302.3</v>
      </c>
      <c r="Z131" s="16">
        <v>1</v>
      </c>
      <c r="AA131" s="16">
        <f>Y131*Z131</f>
        <v>13302.3</v>
      </c>
      <c r="AB131" s="16">
        <f>IF(O131&gt;0,0,AA131+V131*Z131)*Z131</f>
        <v>13302.3</v>
      </c>
      <c r="AC131" s="16">
        <f>IF(O131&gt;0,(N131-AA131)/2,IF(AD131&gt;=AG131,(((N131*U131)*Z131)-AB131)/2,((((N131*U131)*Z131)-AA131)+(((N131*U131)*Z131)-AB131))/2))</f>
        <v>0</v>
      </c>
      <c r="AD131" s="16">
        <f>$E131+(($F131-1)/12)</f>
        <v>2009.3333333333333</v>
      </c>
      <c r="AE131" s="16">
        <f>($P$5+1)-($P$2/12)</f>
        <v>2018</v>
      </c>
      <c r="AF131" s="16">
        <f>$K131+(($F131-1)/12)</f>
        <v>2012.3333333333333</v>
      </c>
      <c r="AG131" s="16">
        <f>$P$4+($P$3/12)</f>
        <v>2017</v>
      </c>
      <c r="AH131" s="16">
        <f>$L131+(($M131-1)/12)</f>
        <v>-8.3333333333333329E-2</v>
      </c>
      <c r="AJ131" s="110"/>
      <c r="AK131" s="110"/>
      <c r="AL131" s="110"/>
      <c r="AM131" s="110"/>
      <c r="AN131" s="110"/>
      <c r="AO131" s="110"/>
      <c r="AP131" s="110"/>
      <c r="AQ131" s="110"/>
      <c r="AR131" s="110"/>
    </row>
    <row r="132" spans="1:44" s="6" customFormat="1">
      <c r="C132" s="26" t="s">
        <v>190</v>
      </c>
      <c r="D132" s="27" t="s">
        <v>220</v>
      </c>
      <c r="E132" s="28">
        <v>2009</v>
      </c>
      <c r="F132" s="28">
        <v>8</v>
      </c>
      <c r="G132" s="89"/>
      <c r="I132" s="26" t="s">
        <v>51</v>
      </c>
      <c r="J132" s="26">
        <v>7</v>
      </c>
      <c r="K132" s="26">
        <f t="shared" si="74"/>
        <v>2016</v>
      </c>
      <c r="N132" s="29">
        <f>9*594.89+9*300</f>
        <v>8054.01</v>
      </c>
      <c r="P132" s="16">
        <f>N132-N132*G132</f>
        <v>8054.01</v>
      </c>
      <c r="Q132" s="16">
        <f>P132/J132/12</f>
        <v>95.881071428571431</v>
      </c>
      <c r="R132" s="16">
        <f>IF(O132&gt;0,0,IF(OR(AD132&gt;AE132,AF132&lt;AG132),0,IF(AND(AF132&gt;=AG132,AF132&lt;=AE132),Q132*((AF132-AG132)*12),IF(AND(AG132&lt;=AD132,AE132&gt;=AD132),((AE132-AD132)*12)*Q132,IF(AF132&gt;AE132,12*Q132,0)))))</f>
        <v>0</v>
      </c>
      <c r="S132" s="16">
        <f>IF(O132=0,0,IF(AND(AH132&gt;=AG132,AH132&lt;=AF132),((AH132-AG132)*12)*Q132,0))</f>
        <v>0</v>
      </c>
      <c r="T132" s="16">
        <f>IF(S132&gt;0,S132,R132)</f>
        <v>0</v>
      </c>
      <c r="U132" s="16">
        <v>1</v>
      </c>
      <c r="V132" s="16">
        <f>U132*SUM(R132:S132)</f>
        <v>0</v>
      </c>
      <c r="W132" s="16"/>
      <c r="X132" s="16">
        <f>IF(AD132&gt;AE132,0,IF(AF132&lt;AG132,P132,IF(AND(AF132&gt;=AG132,AF132&lt;=AE132),(P132-T132),IF(AND(AG132&lt;=AD132,AE132&gt;=AD132),0,IF(AF132&gt;AE132,((AG132-AD132)*12)*Q132,0)))))</f>
        <v>8054.01</v>
      </c>
      <c r="Y132" s="16">
        <f>X132*U132</f>
        <v>8054.01</v>
      </c>
      <c r="Z132" s="16">
        <v>1</v>
      </c>
      <c r="AA132" s="16">
        <f>Y132*Z132</f>
        <v>8054.01</v>
      </c>
      <c r="AB132" s="16">
        <f>IF(O132&gt;0,0,AA132+V132*Z132)*Z132</f>
        <v>8054.01</v>
      </c>
      <c r="AC132" s="16">
        <f>IF(O132&gt;0,(N132-AA132)/2,IF(AD132&gt;=AG132,(((N132*U132)*Z132)-AB132)/2,((((N132*U132)*Z132)-AA132)+(((N132*U132)*Z132)-AB132))/2))</f>
        <v>0</v>
      </c>
      <c r="AD132" s="16">
        <f>$E132+(($F132-1)/12)</f>
        <v>2009.5833333333333</v>
      </c>
      <c r="AE132" s="16">
        <f>($P$5+1)-($P$2/12)</f>
        <v>2018</v>
      </c>
      <c r="AF132" s="16">
        <f>$K132+(($F132-1)/12)</f>
        <v>2016.5833333333333</v>
      </c>
      <c r="AG132" s="16">
        <f>$P$4+($P$3/12)</f>
        <v>2017</v>
      </c>
      <c r="AH132" s="16">
        <f>$L132+(($M132-1)/12)</f>
        <v>-8.3333333333333329E-2</v>
      </c>
      <c r="AJ132" s="110"/>
      <c r="AK132" s="110"/>
      <c r="AL132" s="110"/>
      <c r="AM132" s="110"/>
      <c r="AN132" s="110"/>
      <c r="AO132" s="110"/>
      <c r="AP132" s="110"/>
      <c r="AQ132" s="110"/>
      <c r="AR132" s="110"/>
    </row>
    <row r="133" spans="1:44" s="6" customFormat="1">
      <c r="B133" s="6" t="s">
        <v>53</v>
      </c>
      <c r="C133" s="26">
        <v>710</v>
      </c>
      <c r="D133" s="27" t="s">
        <v>84</v>
      </c>
      <c r="E133" s="28">
        <v>1997</v>
      </c>
      <c r="F133" s="28">
        <v>12</v>
      </c>
      <c r="G133" s="89">
        <v>0.33</v>
      </c>
      <c r="H133" s="16"/>
      <c r="I133" s="26" t="s">
        <v>51</v>
      </c>
      <c r="J133" s="26">
        <v>5</v>
      </c>
      <c r="K133" s="26">
        <f t="shared" si="74"/>
        <v>2002</v>
      </c>
      <c r="N133" s="29">
        <v>54506.06</v>
      </c>
      <c r="O133" s="30"/>
      <c r="P133" s="16">
        <f>N133-N133*G133</f>
        <v>36519.060199999993</v>
      </c>
      <c r="Q133" s="16">
        <f>P133/J133/12</f>
        <v>608.65100333333328</v>
      </c>
      <c r="R133" s="16">
        <f>IF(O133&gt;0,0,IF(OR(AD133&gt;AE133,AF133&lt;AG133),0,IF(AND(AF133&gt;=AG133,AF133&lt;=AE133),Q133*((AF133-AG133)*12),IF(AND(AG133&lt;=AD133,AE133&gt;=AD133),((AE133-AD133)*12)*Q133,IF(AF133&gt;AE133,12*Q133,0)))))</f>
        <v>0</v>
      </c>
      <c r="S133" s="16">
        <f>IF(O133=0,0,IF(AND(AH133&gt;=AG133,AH133&lt;=AF133),((AH133-AG133)*12)*Q133,0))</f>
        <v>0</v>
      </c>
      <c r="T133" s="16">
        <f>IF(S133&gt;0,S133,R133)</f>
        <v>0</v>
      </c>
      <c r="U133" s="16">
        <v>1</v>
      </c>
      <c r="V133" s="16">
        <f>U133*SUM(R133:S133)</f>
        <v>0</v>
      </c>
      <c r="W133" s="16"/>
      <c r="X133" s="16">
        <f>IF(AD133&gt;AE133,0,IF(AF133&lt;AG133,P133,IF(AND(AF133&gt;=AG133,AF133&lt;=AE133),(P133-T133),IF(AND(AG133&lt;=AD133,AE133&gt;=AD133),0,IF(AF133&gt;AE133,((AG133-AD133)*12)*Q133,0)))))</f>
        <v>36519.060199999993</v>
      </c>
      <c r="Y133" s="16">
        <f>X133*U133</f>
        <v>36519.060199999993</v>
      </c>
      <c r="Z133" s="16">
        <v>1</v>
      </c>
      <c r="AA133" s="16">
        <f>Y133*Z133</f>
        <v>36519.060199999993</v>
      </c>
      <c r="AB133" s="16">
        <f>IF(O133&gt;0,0,AA133+V133*Z133)*Z133</f>
        <v>36519.060199999993</v>
      </c>
      <c r="AC133" s="16">
        <f>IF(O133&gt;0,(N133-AA133)/2,IF(AD133&gt;=AG133,(((N133*U133)*Z133)-AB133)/2,((((N133*U133)*Z133)-AA133)+(((N133*U133)*Z133)-AB133))/2))</f>
        <v>17986.999800000005</v>
      </c>
      <c r="AD133" s="16">
        <f>$E133+(($F133-1)/12)</f>
        <v>1997.9166666666667</v>
      </c>
      <c r="AE133" s="16">
        <f>($P$5+1)-($P$2/12)</f>
        <v>2018</v>
      </c>
      <c r="AF133" s="16">
        <f>$K133+(($F133-1)/12)</f>
        <v>2002.9166666666667</v>
      </c>
      <c r="AG133" s="16">
        <f>$P$4+($P$3/12)</f>
        <v>2017</v>
      </c>
      <c r="AH133" s="16">
        <f>$L133+(($M133-1)/12)</f>
        <v>-8.3333333333333329E-2</v>
      </c>
      <c r="AJ133" s="110"/>
      <c r="AK133" s="110"/>
      <c r="AL133" s="110"/>
      <c r="AM133" s="110"/>
      <c r="AN133" s="110"/>
      <c r="AO133" s="110"/>
      <c r="AP133" s="110"/>
      <c r="AQ133" s="110"/>
      <c r="AR133" s="110"/>
    </row>
    <row r="134" spans="1:44" s="6" customFormat="1">
      <c r="B134" s="6" t="s">
        <v>53</v>
      </c>
      <c r="C134" s="26" t="s">
        <v>92</v>
      </c>
      <c r="D134" s="27" t="s">
        <v>93</v>
      </c>
      <c r="E134" s="28">
        <v>2001</v>
      </c>
      <c r="F134" s="28">
        <v>6</v>
      </c>
      <c r="G134" s="89">
        <v>0.33</v>
      </c>
      <c r="H134" s="16"/>
      <c r="I134" s="26" t="s">
        <v>51</v>
      </c>
      <c r="J134" s="26">
        <v>5</v>
      </c>
      <c r="K134" s="26">
        <f t="shared" si="74"/>
        <v>2006</v>
      </c>
      <c r="N134" s="29">
        <v>10431.6</v>
      </c>
      <c r="O134" s="30"/>
      <c r="P134" s="16">
        <v>6989.1720000000005</v>
      </c>
      <c r="Q134" s="16">
        <v>116.48620000000001</v>
      </c>
      <c r="R134" s="16">
        <v>0</v>
      </c>
      <c r="S134" s="16">
        <v>0</v>
      </c>
      <c r="T134" s="16">
        <v>0</v>
      </c>
      <c r="U134" s="16">
        <v>1</v>
      </c>
      <c r="V134" s="16">
        <v>0</v>
      </c>
      <c r="W134" s="16"/>
      <c r="X134" s="16">
        <v>6989.1720000000005</v>
      </c>
      <c r="Y134" s="16">
        <v>6989.1720000000005</v>
      </c>
      <c r="Z134" s="16">
        <v>1</v>
      </c>
      <c r="AA134" s="16">
        <v>6989.1720000000005</v>
      </c>
      <c r="AB134" s="16">
        <v>6989.1720000000005</v>
      </c>
      <c r="AC134" s="16">
        <v>3442.4279999999999</v>
      </c>
      <c r="AD134" s="16">
        <v>2001.4166666666667</v>
      </c>
      <c r="AE134" s="16">
        <v>2008.75</v>
      </c>
      <c r="AF134" s="16">
        <v>2006.4166666666667</v>
      </c>
      <c r="AG134" s="16">
        <v>2007.75</v>
      </c>
      <c r="AH134" s="16">
        <v>-8.3333333333333329E-2</v>
      </c>
      <c r="AJ134" s="110"/>
      <c r="AK134" s="110"/>
      <c r="AL134" s="110"/>
      <c r="AM134" s="110"/>
      <c r="AN134" s="110"/>
      <c r="AO134" s="110"/>
      <c r="AP134" s="110"/>
      <c r="AQ134" s="110"/>
      <c r="AR134" s="110"/>
    </row>
    <row r="135" spans="1:44" s="6" customFormat="1">
      <c r="B135" s="6" t="s">
        <v>53</v>
      </c>
      <c r="C135" s="26">
        <v>710</v>
      </c>
      <c r="D135" s="27" t="s">
        <v>104</v>
      </c>
      <c r="E135" s="28">
        <v>2004</v>
      </c>
      <c r="F135" s="28">
        <v>3</v>
      </c>
      <c r="G135" s="89"/>
      <c r="I135" s="26" t="s">
        <v>51</v>
      </c>
      <c r="J135" s="26">
        <v>3</v>
      </c>
      <c r="K135" s="26">
        <f t="shared" si="74"/>
        <v>2007</v>
      </c>
      <c r="N135" s="29">
        <f>104.16+1082.55+2502.84+420+1650</f>
        <v>5759.55</v>
      </c>
      <c r="O135" s="30"/>
      <c r="P135" s="16">
        <f>N135-N135*G135</f>
        <v>5759.55</v>
      </c>
      <c r="Q135" s="16">
        <f>P135/J135/12</f>
        <v>159.98750000000001</v>
      </c>
      <c r="R135" s="16">
        <f>IF(O135&gt;0,0,IF(OR(AD135&gt;AE135,AF135&lt;AG135),0,IF(AND(AF135&gt;=AG135,AF135&lt;=AE135),Q135*((AF135-AG135)*12),IF(AND(AG135&lt;=AD135,AE135&gt;=AD135),((AE135-AD135)*12)*Q135,IF(AF135&gt;AE135,12*Q135,0)))))</f>
        <v>0</v>
      </c>
      <c r="S135" s="16">
        <f>IF(O135=0,0,IF(AND(AH135&gt;=AG135,AH135&lt;=AF135),((AH135-AG135)*12)*Q135,0))</f>
        <v>0</v>
      </c>
      <c r="T135" s="16">
        <f>IF(S135&gt;0,S135,R135)</f>
        <v>0</v>
      </c>
      <c r="U135" s="16">
        <v>1</v>
      </c>
      <c r="V135" s="16">
        <f>U135*SUM(R135:S135)</f>
        <v>0</v>
      </c>
      <c r="W135" s="16"/>
      <c r="X135" s="16">
        <f>IF(AD135&gt;AE135,0,IF(AF135&lt;AG135,P135,IF(AND(AF135&gt;=AG135,AF135&lt;=AE135),(P135-T135),IF(AND(AG135&lt;=AD135,AE135&gt;=AD135),0,IF(AF135&gt;AE135,((AG135-AD135)*12)*Q135,0)))))</f>
        <v>5759.55</v>
      </c>
      <c r="Y135" s="16">
        <f>X135*U135</f>
        <v>5759.55</v>
      </c>
      <c r="Z135" s="16">
        <v>1</v>
      </c>
      <c r="AA135" s="16">
        <f>Y135*Z135</f>
        <v>5759.55</v>
      </c>
      <c r="AB135" s="16">
        <f>IF(O135&gt;0,0,AA135+V135*Z135)*Z135</f>
        <v>5759.55</v>
      </c>
      <c r="AC135" s="16">
        <f>IF(O135&gt;0,(N135-AA135)/2,IF(AD135&gt;=AG135,(((N135*U135)*Z135)-AB135)/2,((((N135*U135)*Z135)-AA135)+(((N135*U135)*Z135)-AB135))/2))</f>
        <v>0</v>
      </c>
      <c r="AD135" s="16">
        <f>$E135+(($F135-1)/12)</f>
        <v>2004.1666666666667</v>
      </c>
      <c r="AE135" s="16">
        <f>($P$5+1)-($P$2/12)</f>
        <v>2018</v>
      </c>
      <c r="AF135" s="16">
        <f>$K135+(($F135-1)/12)</f>
        <v>2007.1666666666667</v>
      </c>
      <c r="AG135" s="16">
        <f>$P$4+($P$3/12)</f>
        <v>2017</v>
      </c>
      <c r="AH135" s="16">
        <f>$L135+(($M135-1)/12)</f>
        <v>-8.3333333333333329E-2</v>
      </c>
      <c r="AJ135" s="110"/>
      <c r="AK135" s="110"/>
      <c r="AL135" s="110"/>
      <c r="AM135" s="110"/>
      <c r="AN135" s="110"/>
      <c r="AO135" s="110"/>
      <c r="AP135" s="110"/>
      <c r="AQ135" s="110"/>
      <c r="AR135" s="110"/>
    </row>
    <row r="136" spans="1:44" s="6" customFormat="1">
      <c r="B136" s="6" t="s">
        <v>86</v>
      </c>
      <c r="C136" s="26">
        <v>702</v>
      </c>
      <c r="D136" s="27" t="s">
        <v>87</v>
      </c>
      <c r="E136" s="28">
        <v>1997</v>
      </c>
      <c r="F136" s="28">
        <v>12</v>
      </c>
      <c r="G136" s="89">
        <v>0.33</v>
      </c>
      <c r="I136" s="26" t="s">
        <v>51</v>
      </c>
      <c r="J136" s="26">
        <v>5</v>
      </c>
      <c r="K136" s="26">
        <f t="shared" si="74"/>
        <v>2002</v>
      </c>
      <c r="N136" s="29">
        <f>57210.56/2</f>
        <v>28605.279999999999</v>
      </c>
      <c r="P136" s="16">
        <f>N136-N136*G136</f>
        <v>19165.5376</v>
      </c>
      <c r="Q136" s="16">
        <f>P136/J136/12</f>
        <v>319.42562666666669</v>
      </c>
      <c r="R136" s="16">
        <f>IF(O136&gt;0,0,IF(OR(AD136&gt;AE136,AF136&lt;AG136),0,IF(AND(AF136&gt;=AG136,AF136&lt;=AE136),Q136*((AF136-AG136)*12),IF(AND(AG136&lt;=AD136,AE136&gt;=AD136),((AE136-AD136)*12)*Q136,IF(AF136&gt;AE136,12*Q136,0)))))</f>
        <v>0</v>
      </c>
      <c r="S136" s="16">
        <f>IF(O136=0,0,IF(AND(AH136&gt;=AG136,AH136&lt;=AF136),((AH136-AG136)*12)*Q136,0))</f>
        <v>0</v>
      </c>
      <c r="T136" s="16">
        <f>IF(S136&gt;0,S136,R136)</f>
        <v>0</v>
      </c>
      <c r="U136" s="16">
        <v>1</v>
      </c>
      <c r="V136" s="16">
        <f>U136*SUM(R136:S136)</f>
        <v>0</v>
      </c>
      <c r="W136" s="16"/>
      <c r="X136" s="16">
        <f>IF(AD136&gt;AE136,0,IF(AF136&lt;AG136,P136,IF(AND(AF136&gt;=AG136,AF136&lt;=AE136),(P136-T136),IF(AND(AG136&lt;=AD136,AE136&gt;=AD136),0,IF(AF136&gt;AE136,((AG136-AD136)*12)*Q136,0)))))</f>
        <v>19165.5376</v>
      </c>
      <c r="Y136" s="16">
        <f>X136*U136</f>
        <v>19165.5376</v>
      </c>
      <c r="Z136" s="16">
        <v>1</v>
      </c>
      <c r="AA136" s="16">
        <f>Y136*Z136</f>
        <v>19165.5376</v>
      </c>
      <c r="AB136" s="16">
        <f>IF(O136&gt;0,0,AA136+V136*Z136)*Z136</f>
        <v>19165.5376</v>
      </c>
      <c r="AC136" s="16">
        <f>IF(O136&gt;0,(N136-AA136)/2,IF(AD136&gt;=AG136,(((N136*U136)*Z136)-AB136)/2,((((N136*U136)*Z136)-AA136)+(((N136*U136)*Z136)-AB136))/2))</f>
        <v>9439.7423999999992</v>
      </c>
      <c r="AD136" s="16">
        <f>$E136+(($F136-1)/12)</f>
        <v>1997.9166666666667</v>
      </c>
      <c r="AE136" s="16">
        <f>($P$5+1)-($P$2/12)</f>
        <v>2018</v>
      </c>
      <c r="AF136" s="16">
        <f>$K136+(($F136-1)/12)</f>
        <v>2002.9166666666667</v>
      </c>
      <c r="AG136" s="16">
        <f>$P$4+($P$3/12)</f>
        <v>2017</v>
      </c>
      <c r="AH136" s="16">
        <f>$L136+(($M136-1)/12)</f>
        <v>-8.3333333333333329E-2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</row>
    <row r="137" spans="1:44" s="6" customFormat="1">
      <c r="A137" s="6">
        <v>49932</v>
      </c>
      <c r="B137" s="6" t="s">
        <v>285</v>
      </c>
      <c r="C137" s="26">
        <v>604</v>
      </c>
      <c r="D137" s="27" t="s">
        <v>201</v>
      </c>
      <c r="E137" s="28">
        <v>2007</v>
      </c>
      <c r="F137" s="28">
        <v>4</v>
      </c>
      <c r="G137" s="89">
        <v>0.2</v>
      </c>
      <c r="I137" s="26" t="s">
        <v>51</v>
      </c>
      <c r="J137" s="26">
        <v>7</v>
      </c>
      <c r="K137" s="26">
        <f>E137+J137</f>
        <v>2014</v>
      </c>
      <c r="N137" s="30">
        <v>166746.79999999999</v>
      </c>
      <c r="P137" s="16">
        <f>N137-N137*G137</f>
        <v>133397.44</v>
      </c>
      <c r="Q137" s="16">
        <f>P137/J137/12</f>
        <v>1588.064761904762</v>
      </c>
      <c r="R137" s="16">
        <f>IF(O137&gt;0,0,IF(OR(AD137&gt;AE137,AF137&lt;AG137),0,IF(AND(AF137&gt;=AG137,AF137&lt;=AE137),Q137*((AF137-AG137)*12),IF(AND(AG137&lt;=AD137,AE137&gt;=AD137),((AE137-AD137)*12)*Q137,IF(AF137&gt;AE137,12*Q137,0)))))</f>
        <v>0</v>
      </c>
      <c r="S137" s="16">
        <f>IF(O137=0,0,IF(AND(AH137&gt;=AG137,AH137&lt;=AF137),((AH137-AG137)*12)*Q137,0))</f>
        <v>0</v>
      </c>
      <c r="T137" s="16">
        <f>IF(S137&gt;0,S137,R137)</f>
        <v>0</v>
      </c>
      <c r="U137" s="16">
        <v>1</v>
      </c>
      <c r="V137" s="16">
        <f>U137*SUM(R137:S137)</f>
        <v>0</v>
      </c>
      <c r="W137" s="16"/>
      <c r="X137" s="16">
        <f>IF(AD137&gt;AE137,0,IF(AF137&lt;AG137,P137,IF(AND(AF137&gt;=AG137,AF137&lt;=AE137),(P137-T137),IF(AND(AG137&lt;=AD137,AE137&gt;=AD137),0,IF(AF137&gt;AE137,((AG137-AD137)*12)*Q137,0)))))</f>
        <v>133397.44</v>
      </c>
      <c r="Y137" s="16">
        <f>X137*U137</f>
        <v>133397.44</v>
      </c>
      <c r="Z137" s="16">
        <v>1</v>
      </c>
      <c r="AA137" s="16">
        <f>Y137*Z137</f>
        <v>133397.44</v>
      </c>
      <c r="AB137" s="16">
        <f>IF(O137&gt;0,0,AA137+V137*Z137)*Z137</f>
        <v>133397.44</v>
      </c>
      <c r="AC137" s="16">
        <f>IF(O137&gt;0,(N137-AA137)/2,IF(AD137&gt;=AG137,(((N137*U137)*Z137)-AB137)/2,((((N137*U137)*Z137)-AA137)+(((N137*U137)*Z137)-AB137))/2))</f>
        <v>33349.359999999986</v>
      </c>
      <c r="AD137" s="16">
        <f>$E137+(($F137-1)/12)</f>
        <v>2007.25</v>
      </c>
      <c r="AE137" s="16">
        <f>($P$5+1)-($P$2/12)</f>
        <v>2018</v>
      </c>
      <c r="AF137" s="16">
        <f>$K137+(($F137-1)/12)</f>
        <v>2014.25</v>
      </c>
      <c r="AG137" s="16">
        <f>$P$4+($P$3/12)</f>
        <v>2017</v>
      </c>
      <c r="AH137" s="16">
        <f>$L137+(($M137-1)/12)</f>
        <v>-8.3333333333333329E-2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</row>
    <row r="138" spans="1:44" s="6" customFormat="1">
      <c r="AJ138" s="110"/>
      <c r="AK138" s="110"/>
      <c r="AL138" s="110"/>
      <c r="AM138" s="110"/>
      <c r="AN138" s="110"/>
      <c r="AO138" s="110"/>
      <c r="AP138" s="110"/>
      <c r="AQ138" s="110"/>
      <c r="AR138" s="110"/>
    </row>
    <row r="139" spans="1:44" s="6" customFormat="1">
      <c r="AJ139" s="110"/>
      <c r="AK139" s="110"/>
      <c r="AL139" s="110"/>
      <c r="AM139" s="110"/>
      <c r="AN139" s="110"/>
      <c r="AO139" s="110"/>
      <c r="AP139" s="110"/>
      <c r="AQ139" s="110"/>
      <c r="AR139" s="110"/>
    </row>
    <row r="140" spans="1:44" s="6" customFormat="1">
      <c r="D140" s="113" t="s">
        <v>312</v>
      </c>
      <c r="AJ140" s="110"/>
      <c r="AK140" s="110"/>
      <c r="AL140" s="110"/>
      <c r="AM140" s="110"/>
      <c r="AN140" s="110"/>
      <c r="AO140" s="110"/>
      <c r="AP140" s="110"/>
      <c r="AQ140" s="110"/>
      <c r="AR140" s="110"/>
    </row>
    <row r="141" spans="1:44" s="6" customFormat="1">
      <c r="A141" s="6">
        <v>6867</v>
      </c>
      <c r="B141" s="6" t="s">
        <v>82</v>
      </c>
      <c r="C141" s="26">
        <v>709</v>
      </c>
      <c r="D141" s="27" t="s">
        <v>291</v>
      </c>
      <c r="E141" s="28">
        <v>1991</v>
      </c>
      <c r="F141" s="28">
        <v>7</v>
      </c>
      <c r="G141" s="89">
        <v>0.2</v>
      </c>
      <c r="I141" s="26" t="s">
        <v>51</v>
      </c>
      <c r="J141" s="26">
        <v>7</v>
      </c>
      <c r="K141" s="26">
        <f>E141+J141</f>
        <v>1998</v>
      </c>
      <c r="N141" s="29">
        <v>67672</v>
      </c>
      <c r="P141" s="16">
        <f>N141-N141*G141</f>
        <v>54137.599999999999</v>
      </c>
      <c r="Q141" s="16">
        <f>P141/J141/12</f>
        <v>644.49523809523805</v>
      </c>
      <c r="R141" s="16">
        <f>IF(O141&gt;0,0,IF(OR(AD141&gt;AE141,AF141&lt;AG141),0,IF(AND(AF141&gt;=AG141,AF141&lt;=AE141),Q141*((AF141-AG141)*12),IF(AND(AG141&lt;=AD141,AE141&gt;=AD141),((AE141-AD141)*12)*Q141,IF(AF141&gt;AE141,12*Q141,0)))))</f>
        <v>0</v>
      </c>
      <c r="S141" s="16">
        <f>IF(O141=0,0,IF(AND(AH141&gt;=AG141,AH141&lt;=AF141),((AH141-AG141)*12)*Q141,0))</f>
        <v>0</v>
      </c>
      <c r="T141" s="16">
        <f>IF(S141&gt;0,S141,R141)</f>
        <v>0</v>
      </c>
      <c r="U141" s="16">
        <v>1</v>
      </c>
      <c r="V141" s="16">
        <f>U141*SUM(R141:S141)</f>
        <v>0</v>
      </c>
      <c r="W141" s="16"/>
      <c r="X141" s="16">
        <f>IF(AD141&gt;AE141,0,IF(AF141&lt;AG141,P141,IF(AND(AF141&gt;=AG141,AF141&lt;=AE141),(P141-T141),IF(AND(AG141&lt;=AD141,AE141&gt;=AD141),0,IF(AF141&gt;AE141,((AG141-AD141)*12)*Q141,0)))))</f>
        <v>54137.599999999999</v>
      </c>
      <c r="Y141" s="16">
        <f>X141*U141</f>
        <v>54137.599999999999</v>
      </c>
      <c r="Z141" s="16">
        <v>1</v>
      </c>
      <c r="AA141" s="16">
        <f>Y141*Z141</f>
        <v>54137.599999999999</v>
      </c>
      <c r="AB141" s="16">
        <f>IF(O141&gt;0,0,AA141+V141*Z141)*Z141</f>
        <v>54137.599999999999</v>
      </c>
      <c r="AC141" s="16">
        <f>IF(O141&gt;0,(N141-AA141)/2,IF(AD141&gt;=AG141,(((N141*U141)*Z141)-AB141)/2,((((N141*U141)*Z141)-AA141)+(((N141*U141)*Z141)-AB141))/2))</f>
        <v>13534.400000000001</v>
      </c>
      <c r="AD141" s="16">
        <f>$E141+(($F141-1)/12)</f>
        <v>1991.5</v>
      </c>
      <c r="AE141" s="16">
        <f>($P$5+1)-($P$2/12)</f>
        <v>2018</v>
      </c>
      <c r="AF141" s="16">
        <f>$K141+(($F141-1)/12)</f>
        <v>1998.5</v>
      </c>
      <c r="AG141" s="16">
        <f>$P$4+($P$3/12)</f>
        <v>2017</v>
      </c>
      <c r="AH141" s="16">
        <f>$L141+(($M141-1)/12)</f>
        <v>-8.3333333333333329E-2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</row>
    <row r="147" spans="1:44">
      <c r="A147" s="6">
        <v>65444</v>
      </c>
      <c r="B147" s="6" t="s">
        <v>82</v>
      </c>
      <c r="C147" s="117">
        <v>228</v>
      </c>
      <c r="D147" s="27" t="s">
        <v>282</v>
      </c>
      <c r="E147" s="28">
        <v>1999</v>
      </c>
      <c r="F147" s="28">
        <v>1</v>
      </c>
      <c r="G147" s="89">
        <v>0.2</v>
      </c>
      <c r="H147" s="6"/>
      <c r="I147" s="26" t="s">
        <v>51</v>
      </c>
      <c r="J147" s="26">
        <v>7</v>
      </c>
      <c r="K147" s="26">
        <f>E147+J147</f>
        <v>2006</v>
      </c>
      <c r="L147" s="6"/>
      <c r="M147" s="6"/>
      <c r="N147" s="29">
        <f>99097+2372.92+3938.27</f>
        <v>105408.19</v>
      </c>
      <c r="O147" s="6"/>
      <c r="P147" s="16">
        <f>N147-N147*G147</f>
        <v>84326.551999999996</v>
      </c>
      <c r="Q147" s="16">
        <f>P147/J147/12</f>
        <v>1003.8875238095238</v>
      </c>
      <c r="R147" s="16">
        <f>IF(O147&gt;0,0,IF(OR(AD147&gt;AE147,AF147&lt;AG147),0,IF(AND(AF147&gt;=AG147,AF147&lt;=AE147),Q147*((AF147-AG147)*12),IF(AND(AG147&lt;=AD147,AE147&gt;=AD147),((AE147-AD147)*12)*Q147,IF(AF147&gt;AE147,12*Q147,0)))))</f>
        <v>0</v>
      </c>
      <c r="S147" s="16">
        <f>IF(O147=0,0,IF(AND(AH147&gt;=AG147,AH147&lt;=AF147),((AH147-AG147)*12)*Q147,0))</f>
        <v>0</v>
      </c>
      <c r="T147" s="16">
        <f>IF(S147&gt;0,S147,R147)</f>
        <v>0</v>
      </c>
      <c r="U147" s="16">
        <v>1</v>
      </c>
      <c r="V147" s="16">
        <f>U147*SUM(R147:S147)</f>
        <v>0</v>
      </c>
      <c r="W147" s="16"/>
      <c r="X147" s="16">
        <f>IF(AD147&gt;AE147,0,IF(AF147&lt;AG147,P147,IF(AND(AF147&gt;=AG147,AF147&lt;=AE147),(P147-T147),IF(AND(AG147&lt;=AD147,AE147&gt;=AD147),0,IF(AF147&gt;AE147,((AG147-AD147)*12)*Q147,0)))))</f>
        <v>84326.551999999996</v>
      </c>
      <c r="Y147" s="16">
        <f>X147*U147</f>
        <v>84326.551999999996</v>
      </c>
      <c r="Z147" s="16">
        <v>1</v>
      </c>
      <c r="AA147" s="16">
        <f>Y147*Z147</f>
        <v>84326.551999999996</v>
      </c>
      <c r="AB147" s="16">
        <f>IF(O147&gt;0,0,AA147+V147*Z147)*Z147</f>
        <v>84326.551999999996</v>
      </c>
      <c r="AC147" s="16">
        <f>IF(O147&gt;0,(N147-AA147)/2,IF(AD147&gt;=AG147,(((N147*U147)*Z147)-AB147)/2,((((N147*U147)*Z147)-AA147)+(((N147*U147)*Z147)-AB147))/2))</f>
        <v>21081.638000000006</v>
      </c>
      <c r="AD147" s="16">
        <f>$E147+(($F147-1)/12)</f>
        <v>1999</v>
      </c>
      <c r="AE147" s="16">
        <f>($P$5+1)-($P$2/12)</f>
        <v>2018</v>
      </c>
      <c r="AF147" s="16">
        <f>$K147+(($F147-1)/12)</f>
        <v>2006</v>
      </c>
      <c r="AG147" s="16">
        <f>$P$4+($P$3/12)</f>
        <v>2017</v>
      </c>
      <c r="AH147" s="16">
        <f>$L147+(($M147-1)/12)</f>
        <v>-8.3333333333333329E-2</v>
      </c>
    </row>
    <row r="148" spans="1:44">
      <c r="A148" s="6">
        <v>65447</v>
      </c>
      <c r="B148" s="6"/>
      <c r="C148" s="117">
        <v>228</v>
      </c>
      <c r="D148" s="27" t="s">
        <v>283</v>
      </c>
      <c r="E148" s="28">
        <v>2006</v>
      </c>
      <c r="F148" s="28">
        <v>5</v>
      </c>
      <c r="G148" s="89">
        <v>0</v>
      </c>
      <c r="H148" s="6"/>
      <c r="I148" s="26" t="s">
        <v>51</v>
      </c>
      <c r="J148" s="26">
        <v>3</v>
      </c>
      <c r="K148" s="26">
        <f>E148+J148</f>
        <v>2009</v>
      </c>
      <c r="L148" s="6"/>
      <c r="M148" s="6"/>
      <c r="N148" s="29">
        <v>6643.33</v>
      </c>
      <c r="O148" s="6"/>
      <c r="P148" s="16">
        <f>N148-N148*G148</f>
        <v>6643.33</v>
      </c>
      <c r="Q148" s="16">
        <f>P148/J148/12</f>
        <v>184.53694444444443</v>
      </c>
      <c r="R148" s="16">
        <f>IF(O148&gt;0,0,IF(OR(AD148&gt;AE148,AF148&lt;AG148),0,IF(AND(AF148&gt;=AG148,AF148&lt;=AE148),Q148*((AF148-AG148)*12),IF(AND(AG148&lt;=AD148,AE148&gt;=AD148),((AE148-AD148)*12)*Q148,IF(AF148&gt;AE148,12*Q148,0)))))</f>
        <v>0</v>
      </c>
      <c r="S148" s="16">
        <f>IF(O148=0,0,IF(AND(AH148&gt;=AG148,AH148&lt;=AF148),((AH148-AG148)*12)*Q148,0))</f>
        <v>0</v>
      </c>
      <c r="T148" s="16">
        <f>IF(S148&gt;0,S148,R148)</f>
        <v>0</v>
      </c>
      <c r="U148" s="16">
        <v>1</v>
      </c>
      <c r="V148" s="16">
        <f>U148*SUM(R148:S148)</f>
        <v>0</v>
      </c>
      <c r="W148" s="16"/>
      <c r="X148" s="16">
        <f>IF(AD148&gt;AE148,0,IF(AF148&lt;AG148,P148,IF(AND(AF148&gt;=AG148,AF148&lt;=AE148),(P148-T148),IF(AND(AG148&lt;=AD148,AE148&gt;=AD148),0,IF(AF148&gt;AE148,((AG148-AD148)*12)*Q148,0)))))</f>
        <v>6643.33</v>
      </c>
      <c r="Y148" s="16">
        <f>X148*U148</f>
        <v>6643.33</v>
      </c>
      <c r="Z148" s="16">
        <v>1</v>
      </c>
      <c r="AA148" s="16">
        <f>Y148*Z148</f>
        <v>6643.33</v>
      </c>
      <c r="AB148" s="16">
        <f>IF(O148&gt;0,0,AA148+V148*Z148)*Z148</f>
        <v>6643.33</v>
      </c>
      <c r="AC148" s="16">
        <f>IF(O148&gt;0,(N148-AA148)/2,IF(AD148&gt;=AG148,(((N148*U148)*Z148)-AB148)/2,((((N148*U148)*Z148)-AA148)+(((N148*U148)*Z148)-AB148))/2))</f>
        <v>0</v>
      </c>
      <c r="AD148" s="16">
        <f>$E148+(($F148-1)/12)</f>
        <v>2006.3333333333333</v>
      </c>
      <c r="AE148" s="16">
        <f>($P$5+1)-($P$2/12)</f>
        <v>2018</v>
      </c>
      <c r="AF148" s="16">
        <f>$K148+(($F148-1)/12)</f>
        <v>2009.3333333333333</v>
      </c>
      <c r="AG148" s="16">
        <f>$P$4+($P$3/12)</f>
        <v>2017</v>
      </c>
      <c r="AH148" s="16">
        <f>$L148+(($M148-1)/12)</f>
        <v>-8.3333333333333329E-2</v>
      </c>
    </row>
    <row r="151" spans="1:44">
      <c r="D151" s="38" t="s">
        <v>397</v>
      </c>
    </row>
    <row r="152" spans="1:44" s="6" customFormat="1">
      <c r="A152" s="6">
        <v>16062</v>
      </c>
      <c r="B152" s="6" t="s">
        <v>98</v>
      </c>
      <c r="C152" s="26">
        <v>7156</v>
      </c>
      <c r="D152" s="27" t="s">
        <v>99</v>
      </c>
      <c r="E152" s="28">
        <v>2002</v>
      </c>
      <c r="F152" s="28">
        <v>8</v>
      </c>
      <c r="G152" s="89">
        <v>0.33</v>
      </c>
      <c r="I152" s="26" t="s">
        <v>51</v>
      </c>
      <c r="J152" s="26">
        <v>5</v>
      </c>
      <c r="K152" s="26">
        <v>2007</v>
      </c>
      <c r="N152" s="29">
        <v>65000</v>
      </c>
      <c r="O152" s="30"/>
      <c r="P152" s="16">
        <v>43550</v>
      </c>
      <c r="Q152" s="16">
        <v>725.83333333333337</v>
      </c>
      <c r="R152" s="16">
        <v>0</v>
      </c>
      <c r="S152" s="16">
        <v>0</v>
      </c>
      <c r="T152" s="16">
        <v>0</v>
      </c>
      <c r="U152" s="16">
        <v>1</v>
      </c>
      <c r="V152" s="16">
        <v>0</v>
      </c>
      <c r="W152" s="16"/>
      <c r="X152" s="16">
        <v>43550</v>
      </c>
      <c r="Y152" s="16">
        <v>43550</v>
      </c>
      <c r="Z152" s="16">
        <v>1</v>
      </c>
      <c r="AA152" s="16">
        <v>43550</v>
      </c>
      <c r="AB152" s="16">
        <v>43550</v>
      </c>
      <c r="AC152" s="16">
        <v>21450</v>
      </c>
      <c r="AD152" s="16">
        <v>2002.5833333333333</v>
      </c>
      <c r="AE152" s="16">
        <v>2008.75</v>
      </c>
      <c r="AF152" s="16">
        <v>2007.5833333333333</v>
      </c>
      <c r="AG152" s="16">
        <v>2007.75</v>
      </c>
      <c r="AH152" s="16">
        <v>-8.3333333333333329E-2</v>
      </c>
      <c r="AJ152" s="110">
        <f t="shared" ref="AJ152:AJ158" si="75">+IF((AF152-AG152)&gt;3,((N152-P152)/(AF152-AG152)),(N152-P152)/3)</f>
        <v>7150</v>
      </c>
      <c r="AK152" s="110"/>
      <c r="AL152" s="110">
        <f t="shared" ref="AL152:AL158" si="76">+AJ152+V152</f>
        <v>7150</v>
      </c>
      <c r="AM152" s="110"/>
      <c r="AN152" s="110">
        <f t="shared" ref="AN152:AN158" si="77">+IF(AF152&lt;AG152,-AC152,0)</f>
        <v>-21450</v>
      </c>
      <c r="AO152" s="110"/>
      <c r="AP152" s="110">
        <f t="shared" ref="AP152:AP158" si="78">IF(AF152&gt;AG152,IF(AJ152&gt;0,IF(O152&gt;0,(N152-AA152)/2,IF(AD152&gt;=AG152,(((N152*U152)*Z152)-(AB152+AJ152))/2,((((N152*U152)*Z152)-AA152)+(((N152*U152)*Z152)-(AB152+AJ152)))/2)),0),0)</f>
        <v>0</v>
      </c>
      <c r="AQ152" s="110"/>
      <c r="AR152" s="110">
        <f t="shared" ref="AR152:AR158" si="79">+AC152+AN152+(IF(AP152&gt;0,(AP152-AC152),0))</f>
        <v>0</v>
      </c>
    </row>
    <row r="153" spans="1:44" s="6" customFormat="1">
      <c r="C153" s="26">
        <v>7156</v>
      </c>
      <c r="D153" s="27" t="s">
        <v>221</v>
      </c>
      <c r="E153" s="28">
        <v>2009</v>
      </c>
      <c r="F153" s="28">
        <v>8</v>
      </c>
      <c r="G153" s="89"/>
      <c r="I153" s="26" t="s">
        <v>51</v>
      </c>
      <c r="J153" s="26">
        <v>7</v>
      </c>
      <c r="K153" s="26">
        <f t="shared" ref="K153:K158" si="80">E153+J153</f>
        <v>2016</v>
      </c>
      <c r="N153" s="29">
        <f>584.89+300</f>
        <v>884.89</v>
      </c>
      <c r="P153" s="16">
        <f t="shared" ref="P153:P158" si="81">N153-N153*G153</f>
        <v>884.89</v>
      </c>
      <c r="Q153" s="16">
        <f t="shared" ref="Q153:Q158" si="82">P153/J153/12</f>
        <v>10.534404761904762</v>
      </c>
      <c r="R153" s="16">
        <f t="shared" ref="R153:R158" si="83">IF(O153&gt;0,0,IF(OR(AD153&gt;AE153,AF153&lt;AG153),0,IF(AND(AF153&gt;=AG153,AF153&lt;=AE153),Q153*((AF153-AG153)*12),IF(AND(AG153&lt;=AD153,AE153&gt;=AD153),((AE153-AD153)*12)*Q153,IF(AF153&gt;AE153,12*Q153,0)))))</f>
        <v>0</v>
      </c>
      <c r="S153" s="16">
        <f t="shared" ref="S153:S158" si="84">IF(O153=0,0,IF(AND(AH153&gt;=AG153,AH153&lt;=AF153),((AH153-AG153)*12)*Q153,0))</f>
        <v>0</v>
      </c>
      <c r="T153" s="16">
        <f t="shared" ref="T153:T158" si="85">IF(S153&gt;0,S153,R153)</f>
        <v>0</v>
      </c>
      <c r="U153" s="16">
        <v>1</v>
      </c>
      <c r="V153" s="16">
        <f t="shared" ref="V153:V158" si="86">U153*SUM(R153:S153)</f>
        <v>0</v>
      </c>
      <c r="W153" s="16"/>
      <c r="X153" s="16">
        <f t="shared" ref="X153:X158" si="87">IF(AD153&gt;AE153,0,IF(AF153&lt;AG153,P153,IF(AND(AF153&gt;=AG153,AF153&lt;=AE153),(P153-T153),IF(AND(AG153&lt;=AD153,AE153&gt;=AD153),0,IF(AF153&gt;AE153,((AG153-AD153)*12)*Q153,0)))))</f>
        <v>884.89</v>
      </c>
      <c r="Y153" s="16">
        <f t="shared" ref="Y153:Y158" si="88">X153*U153</f>
        <v>884.89</v>
      </c>
      <c r="Z153" s="16">
        <v>1</v>
      </c>
      <c r="AA153" s="16">
        <f t="shared" ref="AA153:AA158" si="89">Y153*Z153</f>
        <v>884.89</v>
      </c>
      <c r="AB153" s="16">
        <f t="shared" ref="AB153:AB158" si="90">IF(O153&gt;0,0,AA153+V153*Z153)*Z153</f>
        <v>884.89</v>
      </c>
      <c r="AC153" s="16">
        <f t="shared" ref="AC153:AC158" si="91">IF(O153&gt;0,(N153-AA153)/2,IF(AD153&gt;=AG153,(((N153*U153)*Z153)-AB153)/2,((((N153*U153)*Z153)-AA153)+(((N153*U153)*Z153)-AB153))/2))</f>
        <v>0</v>
      </c>
      <c r="AD153" s="16">
        <f t="shared" ref="AD153:AD158" si="92">$E153+(($F153-1)/12)</f>
        <v>2009.5833333333333</v>
      </c>
      <c r="AE153" s="16">
        <f t="shared" ref="AE153:AE158" si="93">($P$5+1)-($P$2/12)</f>
        <v>2018</v>
      </c>
      <c r="AF153" s="16">
        <f t="shared" ref="AF153:AF158" si="94">$K153+(($F153-1)/12)</f>
        <v>2016.5833333333333</v>
      </c>
      <c r="AG153" s="16">
        <f>$P$4+($P$3/12)</f>
        <v>2017</v>
      </c>
      <c r="AH153" s="16">
        <f>$L153+(($M153-1)/12)</f>
        <v>-8.3333333333333329E-2</v>
      </c>
      <c r="AJ153" s="110">
        <f t="shared" si="75"/>
        <v>0</v>
      </c>
      <c r="AK153" s="110"/>
      <c r="AL153" s="110">
        <f t="shared" si="76"/>
        <v>0</v>
      </c>
      <c r="AM153" s="110"/>
      <c r="AN153" s="110">
        <f t="shared" si="77"/>
        <v>0</v>
      </c>
      <c r="AO153" s="110"/>
      <c r="AP153" s="110">
        <f t="shared" si="78"/>
        <v>0</v>
      </c>
      <c r="AQ153" s="110"/>
      <c r="AR153" s="110">
        <f t="shared" si="79"/>
        <v>0</v>
      </c>
    </row>
    <row r="154" spans="1:44" s="6" customFormat="1">
      <c r="B154" s="6" t="s">
        <v>98</v>
      </c>
      <c r="C154" s="26">
        <v>7156</v>
      </c>
      <c r="D154" s="27" t="s">
        <v>232</v>
      </c>
      <c r="E154" s="28">
        <v>2010</v>
      </c>
      <c r="F154" s="28">
        <v>6</v>
      </c>
      <c r="G154" s="89"/>
      <c r="I154" s="26" t="s">
        <v>51</v>
      </c>
      <c r="J154" s="26">
        <v>3</v>
      </c>
      <c r="K154" s="26">
        <f t="shared" si="80"/>
        <v>2013</v>
      </c>
      <c r="N154" s="29">
        <v>5033.67</v>
      </c>
      <c r="P154" s="16">
        <f t="shared" si="81"/>
        <v>5033.67</v>
      </c>
      <c r="Q154" s="16">
        <f t="shared" si="82"/>
        <v>139.82416666666668</v>
      </c>
      <c r="R154" s="16">
        <f t="shared" si="83"/>
        <v>0</v>
      </c>
      <c r="S154" s="16">
        <f t="shared" si="84"/>
        <v>0</v>
      </c>
      <c r="T154" s="16">
        <f t="shared" si="85"/>
        <v>0</v>
      </c>
      <c r="U154" s="16">
        <v>1</v>
      </c>
      <c r="V154" s="16">
        <f t="shared" si="86"/>
        <v>0</v>
      </c>
      <c r="W154" s="16"/>
      <c r="X154" s="16">
        <f t="shared" si="87"/>
        <v>5033.67</v>
      </c>
      <c r="Y154" s="16">
        <f t="shared" si="88"/>
        <v>5033.67</v>
      </c>
      <c r="Z154" s="16">
        <v>1</v>
      </c>
      <c r="AA154" s="16">
        <f t="shared" si="89"/>
        <v>5033.67</v>
      </c>
      <c r="AB154" s="16">
        <f t="shared" si="90"/>
        <v>5033.67</v>
      </c>
      <c r="AC154" s="16">
        <f t="shared" si="91"/>
        <v>0</v>
      </c>
      <c r="AD154" s="16">
        <f t="shared" si="92"/>
        <v>2010.4166666666667</v>
      </c>
      <c r="AE154" s="16">
        <f t="shared" si="93"/>
        <v>2018</v>
      </c>
      <c r="AF154" s="16">
        <f t="shared" si="94"/>
        <v>2013.4166666666667</v>
      </c>
      <c r="AG154" s="16">
        <f>$P$4+($P$3/12)</f>
        <v>2017</v>
      </c>
      <c r="AH154" s="16">
        <f>$L154+(($M154-1)/12)</f>
        <v>-8.3333333333333329E-2</v>
      </c>
      <c r="AJ154" s="110">
        <f t="shared" si="75"/>
        <v>0</v>
      </c>
      <c r="AK154" s="110"/>
      <c r="AL154" s="110">
        <f t="shared" si="76"/>
        <v>0</v>
      </c>
      <c r="AM154" s="110"/>
      <c r="AN154" s="110">
        <f t="shared" si="77"/>
        <v>0</v>
      </c>
      <c r="AO154" s="110"/>
      <c r="AP154" s="110">
        <f t="shared" si="78"/>
        <v>0</v>
      </c>
      <c r="AQ154" s="110"/>
      <c r="AR154" s="110">
        <f t="shared" si="79"/>
        <v>0</v>
      </c>
    </row>
    <row r="155" spans="1:44" s="6" customFormat="1">
      <c r="A155" s="6">
        <v>109828</v>
      </c>
      <c r="C155" s="26">
        <v>7156</v>
      </c>
      <c r="D155" s="27" t="s">
        <v>277</v>
      </c>
      <c r="E155" s="28">
        <v>2013</v>
      </c>
      <c r="F155" s="28">
        <v>12</v>
      </c>
      <c r="G155" s="89">
        <v>0</v>
      </c>
      <c r="H155" s="16"/>
      <c r="I155" s="26" t="s">
        <v>51</v>
      </c>
      <c r="J155" s="26">
        <v>7</v>
      </c>
      <c r="K155" s="26">
        <f t="shared" si="80"/>
        <v>2020</v>
      </c>
      <c r="N155" s="29">
        <f>1404.28</f>
        <v>1404.28</v>
      </c>
      <c r="O155" s="30"/>
      <c r="P155" s="16">
        <f t="shared" si="81"/>
        <v>1404.28</v>
      </c>
      <c r="Q155" s="16">
        <f t="shared" si="82"/>
        <v>16.717619047619049</v>
      </c>
      <c r="R155" s="16">
        <f t="shared" si="83"/>
        <v>200.61142857142858</v>
      </c>
      <c r="S155" s="16">
        <f t="shared" si="84"/>
        <v>0</v>
      </c>
      <c r="T155" s="16">
        <f t="shared" si="85"/>
        <v>200.61142857142858</v>
      </c>
      <c r="U155" s="16">
        <v>1</v>
      </c>
      <c r="V155" s="16">
        <f t="shared" si="86"/>
        <v>200.61142857142858</v>
      </c>
      <c r="W155" s="16"/>
      <c r="X155" s="16">
        <f t="shared" si="87"/>
        <v>618.55190476188966</v>
      </c>
      <c r="Y155" s="16">
        <f t="shared" si="88"/>
        <v>618.55190476188966</v>
      </c>
      <c r="Z155" s="16">
        <v>1</v>
      </c>
      <c r="AA155" s="16">
        <f t="shared" si="89"/>
        <v>618.55190476188966</v>
      </c>
      <c r="AB155" s="16">
        <f t="shared" si="90"/>
        <v>819.16333333331818</v>
      </c>
      <c r="AC155" s="16">
        <f t="shared" si="91"/>
        <v>685.422380952396</v>
      </c>
      <c r="AD155" s="16">
        <f t="shared" si="92"/>
        <v>2013.9166666666667</v>
      </c>
      <c r="AE155" s="16">
        <f t="shared" si="93"/>
        <v>2018</v>
      </c>
      <c r="AF155" s="16">
        <f t="shared" si="94"/>
        <v>2020.9166666666667</v>
      </c>
      <c r="AG155" s="16">
        <f>$P$4+($P$3/12)</f>
        <v>2017</v>
      </c>
      <c r="AH155" s="16">
        <f>$L155+(($M155-1)/12)</f>
        <v>-8.3333333333333329E-2</v>
      </c>
      <c r="AJ155" s="110">
        <f t="shared" si="75"/>
        <v>0</v>
      </c>
      <c r="AK155" s="110"/>
      <c r="AL155" s="110">
        <f t="shared" si="76"/>
        <v>200.61142857142858</v>
      </c>
      <c r="AM155" s="110"/>
      <c r="AN155" s="110">
        <f t="shared" si="77"/>
        <v>0</v>
      </c>
      <c r="AO155" s="110"/>
      <c r="AP155" s="110">
        <f t="shared" si="78"/>
        <v>0</v>
      </c>
      <c r="AQ155" s="110"/>
      <c r="AR155" s="110">
        <f t="shared" si="79"/>
        <v>685.422380952396</v>
      </c>
    </row>
    <row r="156" spans="1:44" s="6" customFormat="1">
      <c r="A156" s="6">
        <v>85908</v>
      </c>
      <c r="B156" s="6" t="s">
        <v>113</v>
      </c>
      <c r="C156" s="26">
        <v>158</v>
      </c>
      <c r="D156" s="27" t="s">
        <v>246</v>
      </c>
      <c r="E156" s="28">
        <v>2011</v>
      </c>
      <c r="F156" s="28">
        <v>8</v>
      </c>
      <c r="G156" s="89">
        <v>0.33</v>
      </c>
      <c r="I156" s="26" t="s">
        <v>51</v>
      </c>
      <c r="J156" s="26">
        <v>5</v>
      </c>
      <c r="K156" s="26">
        <f t="shared" si="80"/>
        <v>2016</v>
      </c>
      <c r="N156" s="29">
        <v>92612</v>
      </c>
      <c r="P156" s="16">
        <f t="shared" si="81"/>
        <v>62050.039999999994</v>
      </c>
      <c r="Q156" s="16">
        <f t="shared" si="82"/>
        <v>1034.1673333333331</v>
      </c>
      <c r="R156" s="16">
        <f t="shared" si="83"/>
        <v>0</v>
      </c>
      <c r="S156" s="16">
        <f t="shared" si="84"/>
        <v>0</v>
      </c>
      <c r="T156" s="16">
        <f t="shared" si="85"/>
        <v>0</v>
      </c>
      <c r="U156" s="16">
        <v>1</v>
      </c>
      <c r="V156" s="16">
        <f t="shared" si="86"/>
        <v>0</v>
      </c>
      <c r="W156" s="16"/>
      <c r="X156" s="16">
        <f t="shared" si="87"/>
        <v>62050.039999999994</v>
      </c>
      <c r="Y156" s="16">
        <f t="shared" si="88"/>
        <v>62050.039999999994</v>
      </c>
      <c r="Z156" s="16">
        <v>1</v>
      </c>
      <c r="AA156" s="16">
        <f t="shared" si="89"/>
        <v>62050.039999999994</v>
      </c>
      <c r="AB156" s="16">
        <f t="shared" si="90"/>
        <v>62050.039999999994</v>
      </c>
      <c r="AC156" s="16">
        <f t="shared" si="91"/>
        <v>30561.960000000006</v>
      </c>
      <c r="AD156" s="16">
        <f t="shared" si="92"/>
        <v>2011.5833333333333</v>
      </c>
      <c r="AE156" s="16">
        <f t="shared" si="93"/>
        <v>2018</v>
      </c>
      <c r="AF156" s="16">
        <f t="shared" si="94"/>
        <v>2016.5833333333333</v>
      </c>
      <c r="AG156" s="16">
        <f>$P$4+($P$3/12)</f>
        <v>2017</v>
      </c>
      <c r="AH156" s="16">
        <f>$L156+(($M156-1)/12)</f>
        <v>-8.3333333333333329E-2</v>
      </c>
      <c r="AJ156" s="110">
        <f t="shared" si="75"/>
        <v>10187.320000000002</v>
      </c>
      <c r="AK156" s="110"/>
      <c r="AL156" s="110">
        <f t="shared" si="76"/>
        <v>10187.320000000002</v>
      </c>
      <c r="AM156" s="110"/>
      <c r="AN156" s="110">
        <f t="shared" si="77"/>
        <v>-30561.960000000006</v>
      </c>
      <c r="AO156" s="110"/>
      <c r="AP156" s="110">
        <f t="shared" si="78"/>
        <v>0</v>
      </c>
      <c r="AQ156" s="110"/>
      <c r="AR156" s="110">
        <f t="shared" si="79"/>
        <v>0</v>
      </c>
    </row>
    <row r="157" spans="1:44" s="6" customFormat="1">
      <c r="A157" s="6">
        <v>109828</v>
      </c>
      <c r="C157" s="26">
        <v>158</v>
      </c>
      <c r="D157" s="27" t="s">
        <v>278</v>
      </c>
      <c r="E157" s="28">
        <v>2013</v>
      </c>
      <c r="F157" s="28">
        <v>12</v>
      </c>
      <c r="G157" s="89">
        <v>0</v>
      </c>
      <c r="H157" s="16"/>
      <c r="I157" s="26" t="s">
        <v>51</v>
      </c>
      <c r="J157" s="26">
        <v>7</v>
      </c>
      <c r="K157" s="26">
        <f t="shared" si="80"/>
        <v>2020</v>
      </c>
      <c r="N157" s="29">
        <f>1404.28*2</f>
        <v>2808.56</v>
      </c>
      <c r="O157" s="30"/>
      <c r="P157" s="16">
        <f t="shared" si="81"/>
        <v>2808.56</v>
      </c>
      <c r="Q157" s="16">
        <f t="shared" si="82"/>
        <v>33.435238095238098</v>
      </c>
      <c r="R157" s="16">
        <f t="shared" si="83"/>
        <v>1638.3266666666364</v>
      </c>
      <c r="S157" s="16">
        <f t="shared" si="84"/>
        <v>0</v>
      </c>
      <c r="T157" s="16">
        <f t="shared" si="85"/>
        <v>1638.3266666666364</v>
      </c>
      <c r="U157" s="16">
        <v>1</v>
      </c>
      <c r="V157" s="16">
        <f t="shared" si="86"/>
        <v>1638.3266666666364</v>
      </c>
      <c r="W157" s="16"/>
      <c r="X157" s="16">
        <f t="shared" si="87"/>
        <v>0</v>
      </c>
      <c r="Y157" s="16">
        <f t="shared" si="88"/>
        <v>0</v>
      </c>
      <c r="Z157" s="16">
        <v>1</v>
      </c>
      <c r="AA157" s="16">
        <f t="shared" si="89"/>
        <v>0</v>
      </c>
      <c r="AB157" s="16">
        <f t="shared" si="90"/>
        <v>1638.3266666666364</v>
      </c>
      <c r="AC157" s="16">
        <f t="shared" si="91"/>
        <v>585.11666666668179</v>
      </c>
      <c r="AD157" s="16">
        <f t="shared" si="92"/>
        <v>2013.9166666666667</v>
      </c>
      <c r="AE157" s="16">
        <f t="shared" si="93"/>
        <v>2018</v>
      </c>
      <c r="AF157" s="16">
        <f t="shared" si="94"/>
        <v>2020.9166666666667</v>
      </c>
      <c r="AG157" s="16"/>
      <c r="AH157" s="16"/>
      <c r="AJ157" s="110">
        <f t="shared" si="75"/>
        <v>0</v>
      </c>
      <c r="AK157" s="110"/>
      <c r="AL157" s="110">
        <f t="shared" si="76"/>
        <v>1638.3266666666364</v>
      </c>
      <c r="AM157" s="110"/>
      <c r="AN157" s="110">
        <f t="shared" si="77"/>
        <v>0</v>
      </c>
      <c r="AO157" s="110"/>
      <c r="AP157" s="110">
        <f t="shared" si="78"/>
        <v>0</v>
      </c>
      <c r="AQ157" s="110"/>
      <c r="AR157" s="110">
        <f t="shared" si="79"/>
        <v>585.11666666668179</v>
      </c>
    </row>
    <row r="158" spans="1:44" s="6" customFormat="1">
      <c r="A158" s="6">
        <v>132130</v>
      </c>
      <c r="B158" s="6" t="s">
        <v>322</v>
      </c>
      <c r="C158" s="26">
        <v>440</v>
      </c>
      <c r="D158" s="27" t="s">
        <v>323</v>
      </c>
      <c r="E158" s="28">
        <v>2016</v>
      </c>
      <c r="F158" s="28">
        <v>3</v>
      </c>
      <c r="G158" s="89">
        <v>0</v>
      </c>
      <c r="H158" s="16"/>
      <c r="I158" s="26" t="s">
        <v>51</v>
      </c>
      <c r="J158" s="26">
        <v>7</v>
      </c>
      <c r="K158" s="26">
        <f t="shared" si="80"/>
        <v>2023</v>
      </c>
      <c r="N158" s="29">
        <v>302267.46999999997</v>
      </c>
      <c r="O158" s="30"/>
      <c r="P158" s="16">
        <f t="shared" si="81"/>
        <v>302267.46999999997</v>
      </c>
      <c r="Q158" s="16">
        <f t="shared" si="82"/>
        <v>3598.4222619047614</v>
      </c>
      <c r="R158" s="16">
        <f t="shared" si="83"/>
        <v>43181.067142857137</v>
      </c>
      <c r="S158" s="16">
        <f t="shared" si="84"/>
        <v>0</v>
      </c>
      <c r="T158" s="16">
        <f t="shared" si="85"/>
        <v>43181.067142857137</v>
      </c>
      <c r="U158" s="16">
        <v>1</v>
      </c>
      <c r="V158" s="16">
        <f t="shared" si="86"/>
        <v>43181.067142857137</v>
      </c>
      <c r="W158" s="16"/>
      <c r="X158" s="16">
        <f t="shared" si="87"/>
        <v>35984.22261904434</v>
      </c>
      <c r="Y158" s="16">
        <f t="shared" si="88"/>
        <v>35984.22261904434</v>
      </c>
      <c r="Z158" s="16">
        <v>1</v>
      </c>
      <c r="AA158" s="16">
        <f t="shared" si="89"/>
        <v>35984.22261904434</v>
      </c>
      <c r="AB158" s="16">
        <f t="shared" si="90"/>
        <v>79165.289761901484</v>
      </c>
      <c r="AC158" s="16">
        <f t="shared" si="91"/>
        <v>244692.71380952705</v>
      </c>
      <c r="AD158" s="16">
        <f t="shared" si="92"/>
        <v>2016.1666666666667</v>
      </c>
      <c r="AE158" s="16">
        <f t="shared" si="93"/>
        <v>2018</v>
      </c>
      <c r="AF158" s="16">
        <f t="shared" si="94"/>
        <v>2023.1666666666667</v>
      </c>
      <c r="AG158" s="16">
        <f>$P$4+($P$3/12)</f>
        <v>2017</v>
      </c>
      <c r="AH158" s="16">
        <f>$L158+(($M158-1)/12)</f>
        <v>-8.3333333333333329E-2</v>
      </c>
      <c r="AJ158" s="110">
        <f t="shared" si="75"/>
        <v>0</v>
      </c>
      <c r="AK158" s="110"/>
      <c r="AL158" s="110">
        <f t="shared" si="76"/>
        <v>43181.067142857137</v>
      </c>
      <c r="AM158" s="110"/>
      <c r="AN158" s="110">
        <f t="shared" si="77"/>
        <v>0</v>
      </c>
      <c r="AO158" s="110"/>
      <c r="AP158" s="110">
        <f t="shared" si="78"/>
        <v>0</v>
      </c>
      <c r="AQ158" s="110"/>
      <c r="AR158" s="110">
        <f t="shared" si="79"/>
        <v>244692.71380952705</v>
      </c>
    </row>
  </sheetData>
  <mergeCells count="1">
    <mergeCell ref="AJ5:AR6"/>
  </mergeCells>
  <pageMargins left="0.75" right="0.75" top="1" bottom="1" header="0.5" footer="0.5"/>
  <pageSetup scale="64" orientation="landscape" r:id="rId1"/>
  <headerFooter alignWithMargins="0"/>
  <rowBreaks count="1" manualBreakCount="1">
    <brk id="54" min="3" max="28" man="1"/>
  </rowBreaks>
  <colBreaks count="1" manualBreakCount="1">
    <brk id="3" max="7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D7C5AAE2B224EAEF1415CA9012F4E" ma:contentTypeVersion="16" ma:contentTypeDescription="" ma:contentTypeScope="" ma:versionID="8103def9333c4da9f5a27e8a22c1d2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Formal</CaseStatus>
    <OpenedDate xmlns="dc463f71-b30c-4ab2-9473-d307f9d35888">2023-09-15T07:00:00+00:00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Nickname xmlns="http://schemas.microsoft.com/sharepoint/v3" xsi:nil="true"/>
    <DocketNumber xmlns="dc463f71-b30c-4ab2-9473-d307f9d35888">230778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2BDBCB-15B0-4990-ADBB-67FC2ED618CD}"/>
</file>

<file path=customXml/itemProps2.xml><?xml version="1.0" encoding="utf-8"?>
<ds:datastoreItem xmlns:ds="http://schemas.openxmlformats.org/officeDocument/2006/customXml" ds:itemID="{A4E74674-BA04-4E36-8307-D0B9632DD27C}"/>
</file>

<file path=customXml/itemProps3.xml><?xml version="1.0" encoding="utf-8"?>
<ds:datastoreItem xmlns:ds="http://schemas.openxmlformats.org/officeDocument/2006/customXml" ds:itemID="{DB64C36B-4B97-49EA-9F73-7C8FFF786C6A}"/>
</file>

<file path=customXml/itemProps4.xml><?xml version="1.0" encoding="utf-8"?>
<ds:datastoreItem xmlns:ds="http://schemas.openxmlformats.org/officeDocument/2006/customXml" ds:itemID="{A1721899-198E-4AA4-A5A4-63C39250E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Summary</vt:lpstr>
      <vt:lpstr>FAR Dep Summary</vt:lpstr>
      <vt:lpstr>FAR 7.31.23</vt:lpstr>
      <vt:lpstr>MRF Capital Repairs</vt:lpstr>
      <vt:lpstr>Bud Capital Input</vt:lpstr>
      <vt:lpstr>2112 Trks</vt:lpstr>
      <vt:lpstr>2112 Cont</vt:lpstr>
      <vt:lpstr>2112 Other</vt:lpstr>
      <vt:lpstr>2112 Trks - Orig.</vt:lpstr>
      <vt:lpstr>2112 Cont- Orig.</vt:lpstr>
      <vt:lpstr>2112 Other - Orig.</vt:lpstr>
      <vt:lpstr>DetailBudYear</vt:lpstr>
      <vt:lpstr>DetailDistrict</vt:lpstr>
      <vt:lpstr>'2112 Cont- Orig.'!PAGE_1</vt:lpstr>
      <vt:lpstr>PAGE_1</vt:lpstr>
      <vt:lpstr>'2112 Cont'!Print_Area</vt:lpstr>
      <vt:lpstr>'2112 Cont- Orig.'!Print_Area</vt:lpstr>
      <vt:lpstr>'2112 Other'!Print_Area</vt:lpstr>
      <vt:lpstr>'2112 Other - Orig.'!Print_Area</vt:lpstr>
      <vt:lpstr>'2112 Trks'!Print_Area</vt:lpstr>
      <vt:lpstr>'2112 Trks - Orig.'!Print_Area</vt:lpstr>
      <vt:lpstr>'Bud Capital Input'!Print_Area</vt:lpstr>
      <vt:lpstr>'2112 Cont'!Print_Area_MI</vt:lpstr>
      <vt:lpstr>'2112 Cont- Orig.'!Print_Area_MI</vt:lpstr>
      <vt:lpstr>variable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LDemas</dc:creator>
  <cp:lastModifiedBy>Brian Vandenburg</cp:lastModifiedBy>
  <cp:lastPrinted>2023-09-15T21:13:48Z</cp:lastPrinted>
  <dcterms:created xsi:type="dcterms:W3CDTF">2002-08-20T15:57:59Z</dcterms:created>
  <dcterms:modified xsi:type="dcterms:W3CDTF">2023-09-15T21:14:03Z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0x0101006E56B4D1795A2E4DB2F0B01679ED314A009C7D7C5AAE2B224EAEF1415CA9012F4E</vt:lpwstr>
  </property>
  <property fmtid="{D5CDD505-2E9C-101B-9397-08002B2CF9AE}" pid="3" name="_docset_NoMedatataSyncRequired">
    <vt:lpwstr>False</vt:lpwstr>
  </property>
</Properties>
</file>