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ob.betterbed\Desktop\Everything being filed 09-29\WA CRM Filing 09-29-2023\"/>
    </mc:Choice>
  </mc:AlternateContent>
  <xr:revisionPtr revIDLastSave="6" documentId="13_ncr:1_{504F2244-8013-4C20-B3C0-7F8DFCC01CE1}" xr6:coauthVersionLast="47" xr6:coauthVersionMax="47" xr10:uidLastSave="{702668D2-BD61-4F26-9B84-7CA289A4ECC6}"/>
  <bookViews>
    <workbookView xWindow="-120" yWindow="-120" windowWidth="29040" windowHeight="15840" xr2:uid="{00000000-000D-0000-FFFF-FFFF00000000}"/>
  </bookViews>
  <sheets>
    <sheet name="2023 Rate Calculation" sheetId="7" r:id="rId1"/>
    <sheet name="UG-220403" sheetId="3" r:id="rId2"/>
    <sheet name="UG-210408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" l="1"/>
  <c r="J32" i="3"/>
  <c r="K32" i="3"/>
  <c r="L32" i="3"/>
  <c r="M32" i="3"/>
  <c r="H32" i="3"/>
  <c r="F31" i="3" l="1"/>
  <c r="F26" i="7"/>
  <c r="K27" i="7" s="1"/>
  <c r="H27" i="7" l="1"/>
  <c r="I27" i="7"/>
  <c r="L27" i="7"/>
  <c r="M27" i="7"/>
  <c r="J27" i="7"/>
  <c r="F27" i="7" l="1"/>
  <c r="F26" i="3" l="1"/>
  <c r="F35" i="3" s="1"/>
  <c r="M31" i="6"/>
  <c r="L31" i="6"/>
  <c r="K31" i="6"/>
  <c r="J31" i="6"/>
  <c r="I31" i="6"/>
  <c r="H31" i="6"/>
  <c r="F31" i="6" s="1"/>
  <c r="F30" i="6"/>
  <c r="F21" i="7" l="1"/>
  <c r="H68" i="3"/>
  <c r="I68" i="3" s="1"/>
  <c r="F37" i="3"/>
  <c r="H69" i="3"/>
  <c r="I69" i="3" s="1"/>
  <c r="F40" i="3" s="1"/>
  <c r="F25" i="6"/>
  <c r="F34" i="6" s="1"/>
  <c r="H69" i="6" s="1"/>
  <c r="I69" i="6" s="1"/>
  <c r="F30" i="7" l="1"/>
  <c r="I71" i="3"/>
  <c r="F39" i="3" s="1"/>
  <c r="F32" i="3"/>
  <c r="F38" i="3"/>
  <c r="H37" i="3"/>
  <c r="H42" i="3" s="1"/>
  <c r="H68" i="6"/>
  <c r="I68" i="6" s="1"/>
  <c r="H67" i="6"/>
  <c r="I67" i="6" s="1"/>
  <c r="F36" i="6"/>
  <c r="F37" i="6" s="1"/>
  <c r="F34" i="7" l="1"/>
  <c r="F32" i="7"/>
  <c r="I70" i="6"/>
  <c r="F38" i="6" s="1"/>
  <c r="F40" i="6" s="1"/>
  <c r="F43" i="6" s="1"/>
  <c r="F41" i="3"/>
  <c r="F44" i="3" s="1"/>
  <c r="F39" i="6"/>
  <c r="H36" i="6"/>
  <c r="F33" i="7" l="1"/>
  <c r="H32" i="7"/>
  <c r="H37" i="7" s="1"/>
  <c r="F35" i="7"/>
  <c r="F36" i="7" s="1"/>
  <c r="H43" i="3"/>
  <c r="H47" i="3" s="1"/>
  <c r="F47" i="3"/>
  <c r="H42" i="6"/>
  <c r="F46" i="6"/>
  <c r="H41" i="6"/>
  <c r="F39" i="7" l="1"/>
  <c r="F42" i="7" s="1"/>
  <c r="F48" i="3"/>
  <c r="F50" i="3" s="1"/>
  <c r="F53" i="3" s="1"/>
  <c r="F56" i="3" s="1"/>
  <c r="H46" i="6"/>
  <c r="F47" i="6" s="1"/>
  <c r="F49" i="6" s="1"/>
  <c r="F52" i="6" s="1"/>
  <c r="F47" i="7" s="1"/>
  <c r="H38" i="7" l="1"/>
  <c r="H42" i="7" s="1"/>
  <c r="F43" i="7" s="1"/>
  <c r="F45" i="7" s="1"/>
  <c r="F46" i="7"/>
  <c r="F55" i="6"/>
  <c r="F49" i="7" l="1"/>
  <c r="M54" i="7" s="1"/>
  <c r="M58" i="7" s="1"/>
  <c r="L54" i="7" l="1"/>
  <c r="L58" i="7" s="1"/>
  <c r="J54" i="7"/>
  <c r="J58" i="7" s="1"/>
  <c r="H54" i="7"/>
  <c r="H58" i="7" s="1"/>
  <c r="F52" i="7"/>
  <c r="H61" i="7" s="1"/>
  <c r="I54" i="7"/>
  <c r="I58" i="7" s="1"/>
  <c r="K54" i="7"/>
  <c r="K58" i="7" s="1"/>
  <c r="H21" i="7" l="1"/>
</calcChain>
</file>

<file path=xl/sharedStrings.xml><?xml version="1.0" encoding="utf-8"?>
<sst xmlns="http://schemas.openxmlformats.org/spreadsheetml/2006/main" count="303" uniqueCount="155">
  <si>
    <t>Cascade Natural Gas Corp.</t>
  </si>
  <si>
    <t>Replacement Projects 11-1-22 to 10-31-23</t>
  </si>
  <si>
    <t>Actual costs thru</t>
  </si>
  <si>
    <t>August with</t>
  </si>
  <si>
    <t>Estimated Cost</t>
  </si>
  <si>
    <t>Project</t>
  </si>
  <si>
    <t>Location</t>
  </si>
  <si>
    <t>Funding Projects-Work Orders</t>
  </si>
  <si>
    <t>thru October</t>
  </si>
  <si>
    <t>Actual Cost</t>
  </si>
  <si>
    <t>TYPE OF PIPE TO BE REPLACED</t>
  </si>
  <si>
    <t>C/M SHELTON SSIP REPLACEMENT</t>
  </si>
  <si>
    <t>SHELTON</t>
  </si>
  <si>
    <t>FP-318186-WO #284792, FP-318187-WO #284794</t>
  </si>
  <si>
    <t>EVSP (PRE-CNG, PRE-1970)</t>
  </si>
  <si>
    <t>KELSO SSIP REPLACEMENT</t>
  </si>
  <si>
    <t>FP-318186-WO #297029, FP-318187-WO #297030</t>
  </si>
  <si>
    <t>C/M 12” LONGVIEW KELSO HP DISTRIBUTION EVSP REPLACEMENT, PHASE 7</t>
  </si>
  <si>
    <t>LONGVIEW</t>
  </si>
  <si>
    <t>FP-320486-WO #285217, FP-322127-WO #292376</t>
  </si>
  <si>
    <t>EVSP (PRE-CNG)</t>
  </si>
  <si>
    <t>C/M RPL; 8" HP; WALLA WALLA</t>
  </si>
  <si>
    <t>WALLA WALLA</t>
  </si>
  <si>
    <t>FP_321243-WO# 292003</t>
  </si>
  <si>
    <t>EVSP (FISH)</t>
  </si>
  <si>
    <t>C/M RPL; 8" HP; BREMERTON; 4,510'</t>
  </si>
  <si>
    <t>BREMERTON</t>
  </si>
  <si>
    <t>FP-316044-WO# 291429</t>
  </si>
  <si>
    <t>EVSP (PRE-1970)</t>
  </si>
  <si>
    <t>C/M RPL; 3" HP; S TOPPENISH; 6,161'</t>
  </si>
  <si>
    <t>TOPPENISH</t>
  </si>
  <si>
    <t>FP-316031-WO #292522</t>
  </si>
  <si>
    <t>C/M; TOPPENISH-ZILLAH HP REPLACEMENT SECTION 1</t>
  </si>
  <si>
    <t>YAKIMA</t>
  </si>
  <si>
    <t>FP-321470-WO #292524</t>
  </si>
  <si>
    <t>C/M RPL; 3" HP; SUNNYSIDE; 4,594'</t>
  </si>
  <si>
    <t>SUNNYSIDE</t>
  </si>
  <si>
    <t>FP-316032, FP-323746-WO #292980</t>
  </si>
  <si>
    <t>C/M; TOPPENISH-ZILLAH HP REPLACEMENT SECTION 2</t>
  </si>
  <si>
    <t>FP-321468-WO #292533</t>
  </si>
  <si>
    <t>C/M RPL; 12" STL HP, LONG/KELSO PH6 R-53 (R-18) KELS;</t>
  </si>
  <si>
    <t>LONGVIEW/KELSO</t>
  </si>
  <si>
    <t>FP-316897-WO#291428, FP-322126-WO#292375</t>
  </si>
  <si>
    <t>Total Estimated Replacement Cost</t>
  </si>
  <si>
    <t>Schedule</t>
  </si>
  <si>
    <t>503</t>
  </si>
  <si>
    <t>505</t>
  </si>
  <si>
    <t>570</t>
  </si>
  <si>
    <t xml:space="preserve"> </t>
  </si>
  <si>
    <t>Rate Base Allocation from UG-170929 Company COS</t>
  </si>
  <si>
    <t>Percentage</t>
  </si>
  <si>
    <t>Total Investment</t>
  </si>
  <si>
    <t>Ln 15</t>
  </si>
  <si>
    <t>Depreciation Expense  -  Rate 2.63%</t>
  </si>
  <si>
    <t>Ln 24* 2.63%</t>
  </si>
  <si>
    <t xml:space="preserve">   Accumulated Depr. (Avg)</t>
  </si>
  <si>
    <t>Ln 26 / 2</t>
  </si>
  <si>
    <t>Accum Tax depreciation</t>
  </si>
  <si>
    <t>Ln 24 *3.75%</t>
  </si>
  <si>
    <t>Deferred Tax</t>
  </si>
  <si>
    <t>(Ln 28 - Ln 26) * .21</t>
  </si>
  <si>
    <t xml:space="preserve">   Accum Def Tax (Avg)</t>
  </si>
  <si>
    <t>Ln 29 / 2</t>
  </si>
  <si>
    <t>FIT</t>
  </si>
  <si>
    <t>Ln 26* .21</t>
  </si>
  <si>
    <t>Interest Coordination Adj (Rate Base x Weighted Cost of Debt (2.336%) x 21% FIT)</t>
  </si>
  <si>
    <t>Rate Base</t>
  </si>
  <si>
    <t>Ln 15 - Ln 30 - Ln 27</t>
  </si>
  <si>
    <t>Authorized ROR from UG-210755</t>
  </si>
  <si>
    <t>NOI</t>
  </si>
  <si>
    <t xml:space="preserve">((Ln 33 * Ln 34)  </t>
  </si>
  <si>
    <t>Total NOI</t>
  </si>
  <si>
    <t>Sum Ln 36</t>
  </si>
  <si>
    <t>Conversion Factor in UG-210755</t>
  </si>
  <si>
    <t>Revenue Requirement (Current Year Investment)</t>
  </si>
  <si>
    <t>Ln 37 / Ln 38</t>
  </si>
  <si>
    <t>2023 Current Revenue Requirement of 2021 Investments</t>
  </si>
  <si>
    <t>2023 Current Revenue Requirement of 2020 Investments</t>
  </si>
  <si>
    <t>Total Revenue Requirement</t>
  </si>
  <si>
    <t>Ln 45 + Ln 46</t>
  </si>
  <si>
    <t>Less UG-220664 Revenue Requirement</t>
  </si>
  <si>
    <t>Increase in Revenue Requirement</t>
  </si>
  <si>
    <t>Allocation Rev Req to Schedules</t>
  </si>
  <si>
    <t>Ln 42 * Ln 21</t>
  </si>
  <si>
    <t xml:space="preserve">Weather Normalized 2021 Volumes </t>
  </si>
  <si>
    <t>Rate Charge</t>
  </si>
  <si>
    <t>Ln 47 / Ln 48</t>
  </si>
  <si>
    <t>2022 Commission Basis Total Revenue</t>
  </si>
  <si>
    <t>Percentage Increase in Revenue</t>
  </si>
  <si>
    <t>Ln 45 / Ln 53</t>
  </si>
  <si>
    <t>Replacement Projects 11-1-20 to 10-31-21</t>
  </si>
  <si>
    <t>September with</t>
  </si>
  <si>
    <t>Estimtimated Cost</t>
  </si>
  <si>
    <t>C/M ANACORTES SSIP REPLACEMENT; PH8</t>
  </si>
  <si>
    <t>ANACORTES</t>
  </si>
  <si>
    <t>FP-318186-WO #274769, FP-318187-WO #274770</t>
  </si>
  <si>
    <t>C/M SHELTON SSIP REPLACEMENT; PH4</t>
  </si>
  <si>
    <t>CRM, ANACORTES/SHELTON EVSP REPLACEMENT</t>
  </si>
  <si>
    <t>Anacortes/Shelton</t>
  </si>
  <si>
    <t xml:space="preserve"> FP-318186, FP-318187 WO-TBD</t>
  </si>
  <si>
    <t>CRM SHELTON PIPE REPLACEMENT</t>
  </si>
  <si>
    <t>FP-317528-WO #266102</t>
  </si>
  <si>
    <t>CRM RPL; 3" HP; Zilliah; 873'</t>
  </si>
  <si>
    <t>ZILLIAH</t>
  </si>
  <si>
    <t>FP-316033-WO #282253</t>
  </si>
  <si>
    <t>12” LONGVIEW KELSO HP DISTRIBUTION EVSP REPLACEMENT, PHASE 5</t>
  </si>
  <si>
    <t>FP-316571-WO #284449</t>
  </si>
  <si>
    <t>C/M; RPL 8" MARCH POINT PH 2</t>
  </si>
  <si>
    <t>FP-316923-WO #280309</t>
  </si>
  <si>
    <t>8” CENTRAL WHATCOM TRANSMISSION EVSP REPLACEMENT</t>
  </si>
  <si>
    <t>FERNDALE</t>
  </si>
  <si>
    <t>FP-319502-WO #278429</t>
  </si>
  <si>
    <t>FP-319503-WO #278431</t>
  </si>
  <si>
    <t>C/M RPL; 6" HP; ANACORTES; PH3</t>
  </si>
  <si>
    <t>FP-316580-WO #283405, FP-320458-WO #284821</t>
  </si>
  <si>
    <t>C/M RPL; 8" HP; WALLA WALLA; 4,595'</t>
  </si>
  <si>
    <t>C/M RPL; 8" HP; YAKIMA; PH1</t>
  </si>
  <si>
    <t>FP-316046-WO #268461, FP-322165-WO #292701, FP-322173-WO #292715</t>
  </si>
  <si>
    <t>C/M RPL; 2/4" HP; WHEELER; 6,675'</t>
  </si>
  <si>
    <t>WHEELER</t>
  </si>
  <si>
    <t>FP-316018</t>
  </si>
  <si>
    <t>FP-316032-WO #2292980</t>
  </si>
  <si>
    <t>C/M RPL; 4" HP; ARLINGTON; 4,700'/STATION 1 (R-95)</t>
  </si>
  <si>
    <t>ARLINGTON</t>
  </si>
  <si>
    <t>FP-316035-WO #285585, FP-321832-WO #289530</t>
  </si>
  <si>
    <t>Ln 20</t>
  </si>
  <si>
    <t>Ln 40* 2.63%</t>
  </si>
  <si>
    <t>Ln 41 / 2 + 1st yr depr</t>
  </si>
  <si>
    <t>See Calc Below</t>
  </si>
  <si>
    <t>(Ln 43 - Ln 41) * .21</t>
  </si>
  <si>
    <t>Ln 44 / 2</t>
  </si>
  <si>
    <t>Ln 41* .21</t>
  </si>
  <si>
    <t>Ln 20 - Ln 42 - Ln 45</t>
  </si>
  <si>
    <t>((Ln 48 * Ln 49)  and  (Ln 41 - Ln 46-Ln 47)</t>
  </si>
  <si>
    <t>Sum Ln 50</t>
  </si>
  <si>
    <t>Ln 51 / Ln 52</t>
  </si>
  <si>
    <t>2022 Current Revenue Requirement</t>
  </si>
  <si>
    <t>Ln 53</t>
  </si>
  <si>
    <t>Accum</t>
  </si>
  <si>
    <t>Tax Depreciation</t>
  </si>
  <si>
    <t>Year 1</t>
  </si>
  <si>
    <t>Year 2</t>
  </si>
  <si>
    <t>Funding Projects</t>
  </si>
  <si>
    <t>CRM RPL; 12" STL HP, LONG/KELSO PH4</t>
  </si>
  <si>
    <t>FP-316570-WO #276206</t>
  </si>
  <si>
    <t>FP-317519-WO #266054, FP-317528-WO #266102</t>
  </si>
  <si>
    <t>FP-316033-WO #282253, FP-319112-WO #282316</t>
  </si>
  <si>
    <t>FP-316923-WO #280309, FP-320458-WO #284821, FP-320485-WO #285218</t>
  </si>
  <si>
    <t>4” OTHELLO HP EVSP REPLACEMENT</t>
  </si>
  <si>
    <t>OTHELLO</t>
  </si>
  <si>
    <t>FP-316034-WO #266858</t>
  </si>
  <si>
    <t>BELLINGHAM</t>
  </si>
  <si>
    <t>Ln 41 / 2 + 1st yr depr+2nd yr depr</t>
  </si>
  <si>
    <t>2021 Current Revenue Requirement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</si>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</sst>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166" fontId="0" fillId="0" borderId="0" xfId="0" applyNumberFormat="1"/>
    <xf numFmtId="43" fontId="2" fillId="0" borderId="0" xfId="3" applyNumberFormat="1" applyFont="1" applyFill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0" fontId="1" fillId="0" borderId="0" xfId="0" applyFont="1"/>
    <xf numFmtId="44" fontId="2" fillId="0" borderId="0" xfId="3" applyFont="1" applyFill="1" applyBorder="1" applyAlignment="1">
      <alignment vertical="center"/>
    </xf>
    <xf numFmtId="166" fontId="2" fillId="0" borderId="0" xfId="1" applyNumberFormat="1" applyFont="1" applyFill="1"/>
    <xf numFmtId="37" fontId="0" fillId="0" borderId="0" xfId="0" applyNumberFormat="1"/>
    <xf numFmtId="3" fontId="0" fillId="0" borderId="0" xfId="0" applyNumberFormat="1"/>
    <xf numFmtId="10" fontId="0" fillId="0" borderId="0" xfId="0" applyNumberFormat="1"/>
    <xf numFmtId="166" fontId="1" fillId="0" borderId="0" xfId="0" applyNumberFormat="1" applyFont="1"/>
    <xf numFmtId="166" fontId="1" fillId="0" borderId="1" xfId="0" applyNumberFormat="1" applyFont="1" applyBorder="1"/>
    <xf numFmtId="164" fontId="0" fillId="0" borderId="0" xfId="0" applyNumberFormat="1"/>
    <xf numFmtId="10" fontId="0" fillId="0" borderId="0" xfId="2" applyNumberFormat="1" applyFont="1" applyFill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0" fillId="0" borderId="0" xfId="0" applyNumberFormat="1"/>
    <xf numFmtId="43" fontId="0" fillId="0" borderId="0" xfId="0" applyNumberFormat="1" applyAlignment="1">
      <alignment vertical="center"/>
    </xf>
    <xf numFmtId="39" fontId="0" fillId="0" borderId="0" xfId="0" applyNumberFormat="1"/>
    <xf numFmtId="39" fontId="1" fillId="0" borderId="0" xfId="0" applyNumberFormat="1" applyFont="1"/>
    <xf numFmtId="0" fontId="1" fillId="0" borderId="0" xfId="0" applyFont="1" applyAlignment="1">
      <alignment vertical="center"/>
    </xf>
    <xf numFmtId="167" fontId="0" fillId="0" borderId="0" xfId="0" applyNumberFormat="1"/>
    <xf numFmtId="43" fontId="2" fillId="2" borderId="0" xfId="3" applyNumberFormat="1" applyFont="1" applyFill="1" applyBorder="1" applyAlignment="1">
      <alignment vertical="center"/>
    </xf>
    <xf numFmtId="43" fontId="0" fillId="2" borderId="0" xfId="0" applyNumberFormat="1" applyFill="1"/>
    <xf numFmtId="0" fontId="0" fillId="2" borderId="0" xfId="0" applyFill="1"/>
    <xf numFmtId="10" fontId="0" fillId="2" borderId="0" xfId="0" applyNumberFormat="1" applyFill="1"/>
    <xf numFmtId="166" fontId="1" fillId="2" borderId="0" xfId="0" applyNumberFormat="1" applyFont="1" applyFill="1"/>
    <xf numFmtId="166" fontId="0" fillId="2" borderId="0" xfId="0" applyNumberFormat="1" applyFill="1"/>
    <xf numFmtId="0" fontId="0" fillId="0" borderId="0" xfId="0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C5E5-8438-47F2-A268-5C685BE1F76B}">
  <dimension ref="A1:M63"/>
  <sheetViews>
    <sheetView tabSelected="1" topLeftCell="A30" workbookViewId="0">
      <selection activeCell="M56" sqref="M56"/>
    </sheetView>
  </sheetViews>
  <sheetFormatPr defaultRowHeight="15"/>
  <cols>
    <col min="1" max="1" width="3" bestFit="1" customWidth="1"/>
    <col min="2" max="2" width="3" customWidth="1"/>
    <col min="3" max="3" width="61.7109375" bestFit="1" customWidth="1"/>
    <col min="4" max="4" width="17.5703125" customWidth="1"/>
    <col min="5" max="5" width="43.5703125" customWidth="1"/>
    <col min="6" max="6" width="16.42578125" bestFit="1" customWidth="1"/>
    <col min="8" max="8" width="14" customWidth="1"/>
    <col min="9" max="9" width="13.28515625" customWidth="1"/>
    <col min="10" max="10" width="14.140625" customWidth="1"/>
    <col min="11" max="13" width="13.42578125" bestFit="1" customWidth="1"/>
  </cols>
  <sheetData>
    <row r="1" spans="1:13" ht="18.75">
      <c r="C1" s="11" t="s">
        <v>0</v>
      </c>
    </row>
    <row r="2" spans="1:13">
      <c r="C2" t="s">
        <v>1</v>
      </c>
      <c r="F2" s="51" t="s">
        <v>2</v>
      </c>
    </row>
    <row r="3" spans="1:13">
      <c r="F3" s="20" t="s">
        <v>3</v>
      </c>
    </row>
    <row r="4" spans="1:13">
      <c r="C4" s="35"/>
      <c r="D4" s="35"/>
      <c r="E4" s="35"/>
      <c r="F4" s="20" t="s">
        <v>4</v>
      </c>
      <c r="G4" s="35"/>
      <c r="H4" s="36">
        <v>45168</v>
      </c>
      <c r="I4" s="35"/>
      <c r="J4" s="35"/>
      <c r="K4" s="35"/>
      <c r="L4" s="35"/>
      <c r="M4" s="35"/>
    </row>
    <row r="5" spans="1:13">
      <c r="C5" s="20" t="s">
        <v>5</v>
      </c>
      <c r="D5" s="20" t="s">
        <v>6</v>
      </c>
      <c r="E5" s="20" t="s">
        <v>7</v>
      </c>
      <c r="F5" s="20" t="s">
        <v>8</v>
      </c>
      <c r="G5" s="35"/>
      <c r="H5" s="20" t="s">
        <v>9</v>
      </c>
      <c r="I5" s="37" t="s">
        <v>10</v>
      </c>
      <c r="K5" s="35"/>
      <c r="L5" s="35"/>
      <c r="M5" s="35"/>
    </row>
    <row r="6" spans="1:13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</row>
    <row r="7" spans="1:13">
      <c r="A7">
        <v>1</v>
      </c>
      <c r="C7" t="s">
        <v>11</v>
      </c>
      <c r="D7" s="6" t="s">
        <v>12</v>
      </c>
      <c r="E7" s="49" t="s">
        <v>13</v>
      </c>
      <c r="F7" s="22">
        <v>2248360.1999999997</v>
      </c>
      <c r="H7" s="23">
        <v>1365596.0699999998</v>
      </c>
      <c r="I7" s="5" t="s">
        <v>14</v>
      </c>
      <c r="L7" s="27"/>
      <c r="M7" s="5"/>
    </row>
    <row r="8" spans="1:13">
      <c r="A8">
        <v>2</v>
      </c>
      <c r="C8" t="s">
        <v>15</v>
      </c>
      <c r="D8" s="6" t="s">
        <v>12</v>
      </c>
      <c r="E8" s="49" t="s">
        <v>16</v>
      </c>
      <c r="F8" s="22">
        <v>2352338.9000000004</v>
      </c>
      <c r="H8" s="23">
        <v>1008070.68</v>
      </c>
      <c r="I8" s="5" t="s">
        <v>14</v>
      </c>
      <c r="L8" s="27"/>
      <c r="M8" s="5"/>
    </row>
    <row r="9" spans="1:13">
      <c r="A9">
        <v>3</v>
      </c>
      <c r="C9" s="5" t="s">
        <v>17</v>
      </c>
      <c r="D9" s="6" t="s">
        <v>18</v>
      </c>
      <c r="E9" s="49" t="s">
        <v>19</v>
      </c>
      <c r="F9" s="22">
        <v>2359267.9299999997</v>
      </c>
      <c r="H9" s="23">
        <v>2359267.9299999997</v>
      </c>
      <c r="I9" s="5" t="s">
        <v>20</v>
      </c>
      <c r="L9" s="27"/>
      <c r="M9" s="5"/>
    </row>
    <row r="10" spans="1:13">
      <c r="A10">
        <v>4</v>
      </c>
      <c r="C10" t="s">
        <v>21</v>
      </c>
      <c r="D10" s="6" t="s">
        <v>22</v>
      </c>
      <c r="E10" s="49" t="s">
        <v>23</v>
      </c>
      <c r="F10" s="23">
        <v>3840994.9499999997</v>
      </c>
      <c r="H10" s="23">
        <v>3830994.9499999997</v>
      </c>
      <c r="I10" s="5" t="s">
        <v>24</v>
      </c>
      <c r="L10" s="27"/>
      <c r="M10" s="5"/>
    </row>
    <row r="11" spans="1:13">
      <c r="A11">
        <v>5</v>
      </c>
      <c r="B11" s="25"/>
      <c r="C11" t="s">
        <v>25</v>
      </c>
      <c r="D11" s="6" t="s">
        <v>26</v>
      </c>
      <c r="E11" s="49" t="s">
        <v>27</v>
      </c>
      <c r="F11" s="23">
        <v>5342941.5699999994</v>
      </c>
      <c r="H11" s="23">
        <v>5342941.5699999994</v>
      </c>
      <c r="I11" s="5" t="s">
        <v>28</v>
      </c>
      <c r="L11" s="27"/>
      <c r="M11" s="5"/>
    </row>
    <row r="12" spans="1:13">
      <c r="A12" s="25">
        <v>6</v>
      </c>
      <c r="B12" s="25"/>
      <c r="C12" t="s">
        <v>29</v>
      </c>
      <c r="D12" s="6" t="s">
        <v>30</v>
      </c>
      <c r="E12" s="49" t="s">
        <v>31</v>
      </c>
      <c r="F12" s="23">
        <v>3742455.1199999996</v>
      </c>
      <c r="H12" s="23">
        <v>3742455.1199999996</v>
      </c>
      <c r="I12" s="5" t="s">
        <v>24</v>
      </c>
      <c r="L12" s="27"/>
      <c r="M12" s="5"/>
    </row>
    <row r="13" spans="1:13">
      <c r="A13" s="25">
        <v>7</v>
      </c>
      <c r="C13" s="5" t="s">
        <v>32</v>
      </c>
      <c r="D13" s="6" t="s">
        <v>33</v>
      </c>
      <c r="E13" s="50" t="s">
        <v>34</v>
      </c>
      <c r="F13" s="22">
        <v>1645900.13</v>
      </c>
      <c r="H13" s="23">
        <v>1645900.13</v>
      </c>
      <c r="I13" s="5" t="s">
        <v>24</v>
      </c>
      <c r="L13" s="27"/>
      <c r="M13" s="5"/>
    </row>
    <row r="14" spans="1:13">
      <c r="A14">
        <v>8</v>
      </c>
      <c r="C14" t="s">
        <v>35</v>
      </c>
      <c r="D14" s="6" t="s">
        <v>36</v>
      </c>
      <c r="E14" s="49" t="s">
        <v>37</v>
      </c>
      <c r="F14" s="23">
        <v>2417948.7200000002</v>
      </c>
      <c r="H14" s="23">
        <v>428549.35000000003</v>
      </c>
      <c r="I14" s="5" t="s">
        <v>24</v>
      </c>
      <c r="L14" s="27"/>
      <c r="M14" s="5"/>
    </row>
    <row r="15" spans="1:13">
      <c r="A15">
        <v>9</v>
      </c>
      <c r="C15" s="5" t="s">
        <v>38</v>
      </c>
      <c r="D15" s="6" t="s">
        <v>33</v>
      </c>
      <c r="E15" s="50" t="s">
        <v>39</v>
      </c>
      <c r="F15" s="22">
        <v>930905.32000000007</v>
      </c>
      <c r="H15" s="23">
        <v>41130.839999999997</v>
      </c>
      <c r="I15" s="5" t="s">
        <v>24</v>
      </c>
      <c r="L15" s="27"/>
      <c r="M15" s="5"/>
    </row>
    <row r="16" spans="1:13" ht="15" customHeight="1">
      <c r="A16">
        <v>10</v>
      </c>
      <c r="C16" s="5" t="s">
        <v>40</v>
      </c>
      <c r="D16" s="6" t="s">
        <v>41</v>
      </c>
      <c r="E16" s="50" t="s">
        <v>42</v>
      </c>
      <c r="F16" s="58">
        <v>996608.15999999992</v>
      </c>
      <c r="H16" s="23">
        <v>996608.15999999992</v>
      </c>
      <c r="I16" s="5" t="s">
        <v>24</v>
      </c>
      <c r="L16" s="27"/>
      <c r="M16" s="5"/>
    </row>
    <row r="17" spans="1:13">
      <c r="A17">
        <v>11</v>
      </c>
      <c r="D17" s="6"/>
      <c r="F17" s="23"/>
      <c r="H17" s="23"/>
      <c r="I17" s="5"/>
      <c r="L17" s="27"/>
      <c r="M17" s="5"/>
    </row>
    <row r="18" spans="1:13">
      <c r="A18">
        <v>12</v>
      </c>
      <c r="D18" s="6"/>
      <c r="E18" s="49"/>
      <c r="F18" s="23"/>
      <c r="H18" s="23"/>
      <c r="I18" s="5"/>
      <c r="L18" s="27"/>
      <c r="M18" s="5"/>
    </row>
    <row r="19" spans="1:13">
      <c r="A19">
        <v>13</v>
      </c>
      <c r="C19" s="5"/>
      <c r="D19" s="6"/>
      <c r="E19" s="49"/>
      <c r="F19" s="22"/>
      <c r="H19" s="23"/>
      <c r="I19" s="5"/>
      <c r="L19" s="27"/>
      <c r="M19" s="5"/>
    </row>
    <row r="20" spans="1:13" ht="15.75" thickBot="1">
      <c r="A20">
        <v>14</v>
      </c>
      <c r="C20" s="5"/>
      <c r="D20" s="6"/>
      <c r="E20" s="8"/>
      <c r="F20" s="17"/>
      <c r="G20" s="12"/>
      <c r="H20" s="13"/>
      <c r="I20" s="7"/>
      <c r="J20" s="7"/>
      <c r="K20" s="7"/>
      <c r="L20" s="1"/>
      <c r="M20" s="1"/>
    </row>
    <row r="21" spans="1:13" ht="15.75" thickTop="1">
      <c r="A21">
        <v>15</v>
      </c>
      <c r="C21" s="1" t="s">
        <v>43</v>
      </c>
      <c r="D21" s="1"/>
      <c r="E21" s="1"/>
      <c r="F21" s="18">
        <f>SUM(F7:F20)</f>
        <v>25877720.999999996</v>
      </c>
      <c r="G21" s="9"/>
      <c r="H21" s="14">
        <f>SUM(H7:H20)</f>
        <v>20761514.800000001</v>
      </c>
      <c r="I21" s="4"/>
      <c r="J21" s="1"/>
      <c r="K21" s="1"/>
      <c r="L21" s="1"/>
      <c r="M21" s="1"/>
    </row>
    <row r="22" spans="1:13">
      <c r="A22">
        <v>16</v>
      </c>
      <c r="C22" s="1"/>
      <c r="D22" s="1"/>
      <c r="E22" s="1"/>
      <c r="F22" s="19"/>
      <c r="G22" s="1"/>
      <c r="H22" s="4"/>
      <c r="I22" s="1"/>
      <c r="J22" s="1"/>
      <c r="K22" s="1"/>
      <c r="L22" s="1"/>
      <c r="M22" s="1"/>
    </row>
    <row r="23" spans="1:13" ht="18.75">
      <c r="A23">
        <v>17</v>
      </c>
      <c r="C23" s="1"/>
      <c r="D23" s="1"/>
      <c r="E23" s="1"/>
      <c r="F23" s="1">
        <v>24047903.77</v>
      </c>
      <c r="G23" s="1"/>
      <c r="H23" s="3" t="s">
        <v>44</v>
      </c>
      <c r="I23" s="3" t="s">
        <v>44</v>
      </c>
      <c r="J23" s="3" t="s">
        <v>44</v>
      </c>
      <c r="K23" s="3" t="s">
        <v>44</v>
      </c>
      <c r="L23" s="3" t="s">
        <v>44</v>
      </c>
      <c r="M23" s="3" t="s">
        <v>44</v>
      </c>
    </row>
    <row r="24" spans="1:13" ht="18.75">
      <c r="A24">
        <v>18</v>
      </c>
      <c r="C24" s="1"/>
      <c r="D24" s="1"/>
      <c r="E24" s="1"/>
      <c r="F24" s="1"/>
      <c r="G24" s="1"/>
      <c r="H24" s="10" t="s">
        <v>45</v>
      </c>
      <c r="I24" s="2">
        <v>504</v>
      </c>
      <c r="J24" s="10" t="s">
        <v>46</v>
      </c>
      <c r="K24" s="2">
        <v>511</v>
      </c>
      <c r="L24" s="10" t="s">
        <v>47</v>
      </c>
      <c r="M24" s="2">
        <v>663</v>
      </c>
    </row>
    <row r="25" spans="1:13">
      <c r="A25">
        <v>19</v>
      </c>
      <c r="C25" s="1"/>
      <c r="D25" s="1"/>
      <c r="E25" s="1"/>
      <c r="F25" s="1"/>
      <c r="G25" s="1"/>
      <c r="H25" s="1" t="s">
        <v>48</v>
      </c>
      <c r="I25" s="1"/>
      <c r="J25" s="1"/>
      <c r="K25" s="1"/>
      <c r="L25" s="1"/>
      <c r="M25" s="1"/>
    </row>
    <row r="26" spans="1:13">
      <c r="A26">
        <v>20</v>
      </c>
      <c r="C26" s="48" t="s">
        <v>49</v>
      </c>
      <c r="D26" s="48"/>
      <c r="E26" s="35"/>
      <c r="F26" s="19">
        <f>SUM(H26:Q26)</f>
        <v>279938461</v>
      </c>
      <c r="G26" s="19"/>
      <c r="H26" s="19">
        <v>139245995</v>
      </c>
      <c r="I26" s="19">
        <v>64103014</v>
      </c>
      <c r="J26" s="19">
        <v>7030783</v>
      </c>
      <c r="K26" s="19">
        <v>5473765</v>
      </c>
      <c r="L26" s="19">
        <v>806645</v>
      </c>
      <c r="M26" s="19">
        <v>63278259</v>
      </c>
    </row>
    <row r="27" spans="1:13">
      <c r="A27">
        <v>21</v>
      </c>
      <c r="C27" t="s">
        <v>50</v>
      </c>
      <c r="F27" s="34">
        <f>SUM(H27:Q27)</f>
        <v>1</v>
      </c>
      <c r="H27" s="34">
        <f t="shared" ref="H27:M27" si="0">+H26/$F$26</f>
        <v>0.49741644825288939</v>
      </c>
      <c r="I27" s="34">
        <f t="shared" si="0"/>
        <v>0.22898966355323358</v>
      </c>
      <c r="J27" s="34">
        <f t="shared" si="0"/>
        <v>2.5115459215159435E-2</v>
      </c>
      <c r="K27" s="34">
        <f t="shared" si="0"/>
        <v>1.9553458215232526E-2</v>
      </c>
      <c r="L27" s="34">
        <f t="shared" si="0"/>
        <v>2.8815083040697291E-3</v>
      </c>
      <c r="M27" s="34">
        <f t="shared" si="0"/>
        <v>0.22604346245941531</v>
      </c>
    </row>
    <row r="28" spans="1:13">
      <c r="A28">
        <v>22</v>
      </c>
    </row>
    <row r="29" spans="1:13">
      <c r="A29">
        <v>23</v>
      </c>
    </row>
    <row r="30" spans="1:13">
      <c r="A30">
        <v>24</v>
      </c>
      <c r="C30" t="s">
        <v>51</v>
      </c>
      <c r="E30" t="s">
        <v>52</v>
      </c>
      <c r="F30" s="28">
        <f>+F21</f>
        <v>25877720.999999996</v>
      </c>
    </row>
    <row r="31" spans="1:13">
      <c r="A31">
        <v>25</v>
      </c>
    </row>
    <row r="32" spans="1:13">
      <c r="A32">
        <v>26</v>
      </c>
      <c r="C32" t="s">
        <v>53</v>
      </c>
      <c r="E32" t="s">
        <v>54</v>
      </c>
      <c r="F32" s="29">
        <f>+F30*0.0263</f>
        <v>680584.06229999987</v>
      </c>
      <c r="G32" s="29"/>
      <c r="H32" s="29">
        <f>+F32</f>
        <v>680584.06229999987</v>
      </c>
    </row>
    <row r="33" spans="1:13">
      <c r="A33">
        <v>27</v>
      </c>
      <c r="C33" t="s">
        <v>55</v>
      </c>
      <c r="E33" t="s">
        <v>56</v>
      </c>
      <c r="F33" s="29">
        <f>+F32/2</f>
        <v>340292.03114999994</v>
      </c>
      <c r="G33" s="29"/>
      <c r="H33" s="29"/>
    </row>
    <row r="34" spans="1:13">
      <c r="A34">
        <v>28</v>
      </c>
      <c r="C34" t="s">
        <v>57</v>
      </c>
      <c r="E34" t="s">
        <v>58</v>
      </c>
      <c r="F34" s="29">
        <f>+F30*0.0375</f>
        <v>970414.53749999986</v>
      </c>
      <c r="G34" s="29"/>
      <c r="H34" s="29"/>
    </row>
    <row r="35" spans="1:13">
      <c r="A35">
        <v>29</v>
      </c>
      <c r="C35" t="s">
        <v>59</v>
      </c>
      <c r="E35" t="s">
        <v>60</v>
      </c>
      <c r="F35" s="29">
        <f>(+F34-F32)*0.21</f>
        <v>60864.399791999997</v>
      </c>
      <c r="G35" s="29"/>
      <c r="H35" s="29"/>
    </row>
    <row r="36" spans="1:13">
      <c r="A36">
        <v>30</v>
      </c>
      <c r="C36" t="s">
        <v>61</v>
      </c>
      <c r="E36" t="s">
        <v>62</v>
      </c>
      <c r="F36" s="29">
        <f>+F35/2</f>
        <v>30432.199895999998</v>
      </c>
      <c r="G36" s="29"/>
      <c r="H36" s="29"/>
    </row>
    <row r="37" spans="1:13">
      <c r="A37">
        <v>31</v>
      </c>
      <c r="C37" t="s">
        <v>63</v>
      </c>
      <c r="E37" t="s">
        <v>64</v>
      </c>
      <c r="F37" s="29"/>
      <c r="G37" s="29"/>
      <c r="H37" s="29">
        <f>+H32*0.21</f>
        <v>142922.65308299995</v>
      </c>
    </row>
    <row r="38" spans="1:13">
      <c r="A38">
        <v>32</v>
      </c>
      <c r="B38" s="52"/>
      <c r="C38" t="s">
        <v>65</v>
      </c>
      <c r="F38" s="29"/>
      <c r="G38" s="29"/>
      <c r="H38" s="29">
        <f>+F39*0.02336*0.21</f>
        <v>125127.12334978071</v>
      </c>
    </row>
    <row r="39" spans="1:13">
      <c r="A39">
        <v>33</v>
      </c>
      <c r="C39" t="s">
        <v>66</v>
      </c>
      <c r="E39" t="s">
        <v>67</v>
      </c>
      <c r="F39" s="29">
        <f>+F21-F36-F33</f>
        <v>25506996.768953998</v>
      </c>
      <c r="G39" s="29"/>
      <c r="H39" s="29"/>
    </row>
    <row r="40" spans="1:13">
      <c r="A40">
        <v>34</v>
      </c>
      <c r="C40" s="60" t="s">
        <v>68</v>
      </c>
      <c r="F40" s="61">
        <v>6.8500000000000005E-2</v>
      </c>
    </row>
    <row r="41" spans="1:13">
      <c r="A41">
        <v>35</v>
      </c>
    </row>
    <row r="42" spans="1:13">
      <c r="A42">
        <v>36</v>
      </c>
      <c r="C42" t="s">
        <v>69</v>
      </c>
      <c r="E42" t="s">
        <v>70</v>
      </c>
      <c r="F42" s="21">
        <f>+F39*F40</f>
        <v>1747229.2786733489</v>
      </c>
      <c r="G42" s="21"/>
      <c r="H42" s="21">
        <f>+H32-H37-H38</f>
        <v>412534.28586721921</v>
      </c>
    </row>
    <row r="43" spans="1:13">
      <c r="A43">
        <v>37</v>
      </c>
      <c r="C43" t="s">
        <v>71</v>
      </c>
      <c r="E43" t="s">
        <v>72</v>
      </c>
      <c r="F43" s="21">
        <f>+F42+H42</f>
        <v>2159763.5645405683</v>
      </c>
      <c r="G43" s="21"/>
      <c r="H43" s="21"/>
    </row>
    <row r="44" spans="1:13">
      <c r="A44">
        <v>38</v>
      </c>
      <c r="C44" s="60" t="s">
        <v>73</v>
      </c>
      <c r="F44" s="60">
        <v>0.75505999999999995</v>
      </c>
    </row>
    <row r="45" spans="1:13">
      <c r="A45">
        <v>39</v>
      </c>
      <c r="C45" t="s">
        <v>74</v>
      </c>
      <c r="E45" t="s">
        <v>75</v>
      </c>
      <c r="F45" s="31">
        <f>+F43/F44</f>
        <v>2860386.6772714332</v>
      </c>
      <c r="H45" s="31"/>
      <c r="I45" s="21"/>
      <c r="J45" s="21"/>
      <c r="K45" s="21"/>
      <c r="L45" s="21"/>
      <c r="M45" s="21"/>
    </row>
    <row r="46" spans="1:13">
      <c r="A46">
        <v>40</v>
      </c>
      <c r="C46" t="s">
        <v>76</v>
      </c>
      <c r="F46" s="31">
        <f>+'UG-220403'!F53</f>
        <v>1213510.7496281299</v>
      </c>
      <c r="H46" s="31"/>
      <c r="I46" s="21"/>
      <c r="J46" s="21"/>
      <c r="K46" s="21"/>
      <c r="L46" s="21"/>
      <c r="M46" s="21"/>
    </row>
    <row r="47" spans="1:13">
      <c r="C47" t="s">
        <v>77</v>
      </c>
      <c r="F47" s="31">
        <f>+'UG-210408'!F52</f>
        <v>946363.72849758342</v>
      </c>
      <c r="H47" s="31"/>
      <c r="I47" s="21"/>
      <c r="J47" s="21"/>
      <c r="K47" s="21"/>
      <c r="L47" s="21"/>
      <c r="M47" s="21"/>
    </row>
    <row r="48" spans="1:13">
      <c r="A48">
        <v>41</v>
      </c>
      <c r="H48" s="31"/>
      <c r="I48" s="21"/>
      <c r="J48" s="21"/>
      <c r="K48" s="21"/>
      <c r="L48" s="21"/>
      <c r="M48" s="21"/>
    </row>
    <row r="49" spans="1:13" ht="15.75" thickBot="1">
      <c r="A49">
        <v>42</v>
      </c>
      <c r="C49" t="s">
        <v>78</v>
      </c>
      <c r="E49" t="s">
        <v>79</v>
      </c>
      <c r="F49" s="32">
        <f>+F45+F46+F47</f>
        <v>5020261.1553971469</v>
      </c>
      <c r="H49" s="31"/>
      <c r="I49" s="21"/>
      <c r="J49" s="21"/>
      <c r="K49" s="21"/>
      <c r="L49" s="21"/>
      <c r="M49" s="21"/>
    </row>
    <row r="50" spans="1:13" ht="15.75" thickTop="1">
      <c r="A50">
        <v>43</v>
      </c>
      <c r="C50" s="60" t="s">
        <v>80</v>
      </c>
      <c r="F50" s="62">
        <v>2217371</v>
      </c>
      <c r="H50" s="21"/>
      <c r="I50" s="21"/>
      <c r="J50" s="21"/>
      <c r="K50" s="21"/>
      <c r="L50" s="21"/>
      <c r="M50" s="21"/>
    </row>
    <row r="51" spans="1:13">
      <c r="A51">
        <v>44</v>
      </c>
      <c r="F51" s="31"/>
      <c r="H51" s="31"/>
      <c r="I51" s="21"/>
      <c r="J51" s="21"/>
      <c r="K51" s="21"/>
      <c r="L51" s="21"/>
      <c r="M51" s="21"/>
    </row>
    <row r="52" spans="1:13">
      <c r="A52">
        <v>45</v>
      </c>
      <c r="C52" t="s">
        <v>81</v>
      </c>
      <c r="F52" s="31">
        <f>+F49-F50</f>
        <v>2802890.1553971469</v>
      </c>
      <c r="H52" s="31"/>
      <c r="I52" s="21"/>
      <c r="J52" s="21"/>
      <c r="K52" s="21"/>
      <c r="L52" s="21"/>
      <c r="M52" s="21"/>
    </row>
    <row r="53" spans="1:13">
      <c r="A53">
        <v>46</v>
      </c>
      <c r="H53" s="21"/>
      <c r="I53" s="21"/>
      <c r="J53" s="21"/>
      <c r="K53" s="21"/>
      <c r="L53" s="21"/>
      <c r="M53" s="21"/>
    </row>
    <row r="54" spans="1:13">
      <c r="A54">
        <v>47</v>
      </c>
      <c r="C54" t="s">
        <v>82</v>
      </c>
      <c r="E54" t="s">
        <v>83</v>
      </c>
      <c r="H54" s="21">
        <f t="shared" ref="H54:M54" si="1">+$F$49*H27</f>
        <v>2497160.4732195958</v>
      </c>
      <c r="I54" s="21">
        <f t="shared" si="1"/>
        <v>1149587.9129237602</v>
      </c>
      <c r="J54" s="21">
        <f t="shared" si="1"/>
        <v>126086.16429782622</v>
      </c>
      <c r="K54" s="21">
        <f t="shared" si="1"/>
        <v>98163.46673161308</v>
      </c>
      <c r="L54" s="21">
        <f t="shared" si="1"/>
        <v>14465.924207875572</v>
      </c>
      <c r="M54" s="21">
        <f t="shared" si="1"/>
        <v>1134797.2140164759</v>
      </c>
    </row>
    <row r="55" spans="1:13">
      <c r="A55">
        <v>48</v>
      </c>
      <c r="C55" t="s">
        <v>84</v>
      </c>
      <c r="F55" s="29"/>
      <c r="H55" s="29">
        <v>130555024</v>
      </c>
      <c r="I55" s="29">
        <v>97016893</v>
      </c>
      <c r="J55" s="29">
        <v>12744910</v>
      </c>
      <c r="K55" s="29">
        <v>16795288</v>
      </c>
      <c r="L55" s="29">
        <v>2183028</v>
      </c>
      <c r="M55" s="29">
        <v>755075944</v>
      </c>
    </row>
    <row r="56" spans="1:13">
      <c r="A56">
        <v>49</v>
      </c>
      <c r="H56" s="29"/>
      <c r="I56" s="29"/>
      <c r="J56" s="29"/>
      <c r="K56" s="29"/>
      <c r="L56" s="29"/>
      <c r="M56" s="29"/>
    </row>
    <row r="57" spans="1:13">
      <c r="A57">
        <v>50</v>
      </c>
      <c r="H57" s="29"/>
      <c r="I57" s="29"/>
      <c r="J57" s="29"/>
      <c r="K57" s="29"/>
      <c r="L57" s="29"/>
      <c r="M57" s="29"/>
    </row>
    <row r="58" spans="1:13">
      <c r="A58">
        <v>51</v>
      </c>
      <c r="C58" t="s">
        <v>85</v>
      </c>
      <c r="E58" t="s">
        <v>86</v>
      </c>
      <c r="H58" s="33">
        <f t="shared" ref="H58:M58" si="2">+H54/H55</f>
        <v>1.9127264479837987E-2</v>
      </c>
      <c r="I58" s="33">
        <f t="shared" si="2"/>
        <v>1.1849358162024011E-2</v>
      </c>
      <c r="J58" s="33">
        <f t="shared" si="2"/>
        <v>9.8930603902127375E-3</v>
      </c>
      <c r="K58" s="33">
        <f t="shared" si="2"/>
        <v>5.8447027959040105E-3</v>
      </c>
      <c r="L58" s="33">
        <f t="shared" si="2"/>
        <v>6.6265408450443932E-3</v>
      </c>
      <c r="M58" s="33">
        <f t="shared" si="2"/>
        <v>1.5028914946023971E-3</v>
      </c>
    </row>
    <row r="59" spans="1:13">
      <c r="A59">
        <v>52</v>
      </c>
    </row>
    <row r="60" spans="1:13">
      <c r="A60">
        <v>53</v>
      </c>
      <c r="C60" t="s">
        <v>87</v>
      </c>
      <c r="H60" s="63">
        <v>343815508</v>
      </c>
    </row>
    <row r="61" spans="1:13">
      <c r="A61">
        <v>54</v>
      </c>
      <c r="C61" t="s">
        <v>88</v>
      </c>
      <c r="E61" t="s">
        <v>89</v>
      </c>
      <c r="H61" s="30">
        <f>(+F52)/H60</f>
        <v>8.1523086951538759E-3</v>
      </c>
    </row>
    <row r="62" spans="1:13">
      <c r="H62" s="34"/>
    </row>
    <row r="63" spans="1:13">
      <c r="H63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opLeftCell="B1" zoomScaleNormal="100" workbookViewId="0">
      <selection activeCell="F32" sqref="F32"/>
    </sheetView>
  </sheetViews>
  <sheetFormatPr defaultRowHeight="15"/>
  <cols>
    <col min="1" max="1" width="3" bestFit="1" customWidth="1"/>
    <col min="2" max="2" width="2.7109375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>
      <c r="C1" s="11" t="s">
        <v>0</v>
      </c>
    </row>
    <row r="2" spans="1:16">
      <c r="C2" t="s">
        <v>90</v>
      </c>
      <c r="F2" s="51" t="s">
        <v>2</v>
      </c>
    </row>
    <row r="3" spans="1:16">
      <c r="F3" s="20" t="s">
        <v>91</v>
      </c>
    </row>
    <row r="4" spans="1:16">
      <c r="C4" s="35"/>
      <c r="D4" s="35"/>
      <c r="E4" s="35"/>
      <c r="F4" s="20" t="s">
        <v>92</v>
      </c>
      <c r="G4" s="35"/>
      <c r="H4" s="36"/>
      <c r="I4" s="35"/>
      <c r="J4" s="35"/>
      <c r="K4" s="35"/>
      <c r="L4" s="35"/>
      <c r="M4" s="35"/>
      <c r="N4" s="35"/>
      <c r="O4" s="35"/>
    </row>
    <row r="5" spans="1:16">
      <c r="C5" s="20" t="s">
        <v>5</v>
      </c>
      <c r="D5" s="20" t="s">
        <v>6</v>
      </c>
      <c r="E5" s="20" t="s">
        <v>7</v>
      </c>
      <c r="F5" s="20" t="s">
        <v>8</v>
      </c>
      <c r="G5" s="35"/>
      <c r="H5" s="20"/>
      <c r="I5" s="35"/>
      <c r="J5" s="37"/>
      <c r="K5" s="35"/>
      <c r="L5" s="35"/>
      <c r="M5" s="35"/>
      <c r="N5" s="37"/>
      <c r="O5" s="35"/>
    </row>
    <row r="6" spans="1:16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  <c r="N6" s="35"/>
      <c r="O6" s="35"/>
    </row>
    <row r="7" spans="1:16">
      <c r="A7">
        <v>1</v>
      </c>
      <c r="C7" t="s">
        <v>93</v>
      </c>
      <c r="D7" s="6" t="s">
        <v>94</v>
      </c>
      <c r="E7" s="49" t="s">
        <v>95</v>
      </c>
      <c r="F7" s="58">
        <v>19327.28</v>
      </c>
      <c r="H7" s="23"/>
      <c r="I7" s="5"/>
      <c r="L7" s="27"/>
      <c r="M7" s="5"/>
      <c r="N7" s="24"/>
      <c r="O7" s="24"/>
      <c r="P7" s="24"/>
    </row>
    <row r="8" spans="1:16">
      <c r="A8">
        <v>2</v>
      </c>
      <c r="C8" t="s">
        <v>96</v>
      </c>
      <c r="D8" s="6" t="s">
        <v>12</v>
      </c>
      <c r="E8" s="49" t="s">
        <v>13</v>
      </c>
      <c r="F8" s="58">
        <v>2522339.7000000002</v>
      </c>
      <c r="H8" s="23"/>
      <c r="I8" s="5"/>
      <c r="L8" s="27"/>
      <c r="M8" s="5"/>
      <c r="N8" s="24"/>
      <c r="O8" s="24"/>
      <c r="P8" s="24"/>
    </row>
    <row r="9" spans="1:16">
      <c r="A9">
        <v>3</v>
      </c>
      <c r="C9" t="s">
        <v>97</v>
      </c>
      <c r="D9" s="6" t="s">
        <v>98</v>
      </c>
      <c r="E9" s="50" t="s">
        <v>99</v>
      </c>
      <c r="F9" s="58">
        <v>-781023.89999999991</v>
      </c>
      <c r="H9" s="23"/>
      <c r="I9" s="5"/>
      <c r="L9" s="27"/>
      <c r="M9" s="5"/>
      <c r="N9" s="24"/>
      <c r="O9" s="24"/>
      <c r="P9" s="24"/>
    </row>
    <row r="10" spans="1:16">
      <c r="A10">
        <v>5</v>
      </c>
      <c r="C10" s="5" t="s">
        <v>100</v>
      </c>
      <c r="D10" s="6" t="s">
        <v>12</v>
      </c>
      <c r="E10" s="49" t="s">
        <v>101</v>
      </c>
      <c r="F10" s="58">
        <v>41.96</v>
      </c>
      <c r="H10" s="23"/>
      <c r="I10" s="5"/>
      <c r="L10" s="27"/>
      <c r="M10" s="5"/>
      <c r="N10" s="24"/>
      <c r="O10" s="24"/>
      <c r="P10" s="24"/>
    </row>
    <row r="11" spans="1:16">
      <c r="A11">
        <v>6</v>
      </c>
      <c r="C11" s="5" t="s">
        <v>102</v>
      </c>
      <c r="D11" s="6" t="s">
        <v>103</v>
      </c>
      <c r="E11" s="49" t="s">
        <v>104</v>
      </c>
      <c r="F11" s="58">
        <v>7576.58</v>
      </c>
      <c r="H11" s="23"/>
      <c r="I11" s="5"/>
      <c r="L11" s="27"/>
      <c r="M11" s="5"/>
      <c r="N11" s="24"/>
      <c r="O11" s="24"/>
      <c r="P11" s="24"/>
    </row>
    <row r="12" spans="1:16">
      <c r="A12" s="25">
        <v>7</v>
      </c>
      <c r="B12" s="25"/>
      <c r="C12" s="5" t="s">
        <v>105</v>
      </c>
      <c r="D12" s="6" t="s">
        <v>18</v>
      </c>
      <c r="E12" s="49" t="s">
        <v>106</v>
      </c>
      <c r="F12" s="58">
        <v>2057876.34</v>
      </c>
      <c r="H12" s="23"/>
      <c r="I12" s="5"/>
      <c r="L12" s="27"/>
      <c r="M12" s="5"/>
      <c r="N12" s="24"/>
      <c r="O12" s="24"/>
      <c r="P12" s="24"/>
    </row>
    <row r="13" spans="1:16">
      <c r="A13" s="25">
        <v>8</v>
      </c>
      <c r="B13" s="25"/>
      <c r="C13" s="5" t="s">
        <v>107</v>
      </c>
      <c r="D13" s="6" t="s">
        <v>94</v>
      </c>
      <c r="E13" s="49" t="s">
        <v>108</v>
      </c>
      <c r="F13" s="58">
        <v>271663.14</v>
      </c>
      <c r="H13" s="23"/>
      <c r="I13" s="5"/>
      <c r="L13" s="27"/>
      <c r="M13" s="5"/>
      <c r="N13" s="24"/>
      <c r="O13" s="24"/>
      <c r="P13" s="24"/>
    </row>
    <row r="14" spans="1:16">
      <c r="A14">
        <v>9</v>
      </c>
      <c r="C14" s="5" t="s">
        <v>40</v>
      </c>
      <c r="D14" s="6" t="s">
        <v>41</v>
      </c>
      <c r="E14" s="50" t="s">
        <v>42</v>
      </c>
      <c r="F14" s="58">
        <v>3350263.94</v>
      </c>
      <c r="H14" s="23"/>
      <c r="I14" s="5"/>
      <c r="L14" s="27"/>
      <c r="M14" s="5"/>
      <c r="N14" s="24"/>
      <c r="O14" s="24"/>
      <c r="P14" s="24"/>
    </row>
    <row r="15" spans="1:16">
      <c r="C15" s="5" t="s">
        <v>109</v>
      </c>
      <c r="D15" s="6" t="s">
        <v>110</v>
      </c>
      <c r="E15" s="49" t="s">
        <v>111</v>
      </c>
      <c r="F15" s="58">
        <v>13253.72</v>
      </c>
      <c r="H15" s="23"/>
      <c r="I15" s="5"/>
      <c r="L15" s="27"/>
      <c r="M15" s="5"/>
      <c r="N15" s="24"/>
      <c r="O15" s="24"/>
      <c r="P15" s="24"/>
    </row>
    <row r="16" spans="1:16">
      <c r="A16">
        <v>11</v>
      </c>
      <c r="C16" t="s">
        <v>109</v>
      </c>
      <c r="D16" s="6" t="s">
        <v>110</v>
      </c>
      <c r="E16" s="49" t="s">
        <v>112</v>
      </c>
      <c r="F16" s="58">
        <v>693.5</v>
      </c>
      <c r="H16" s="23"/>
      <c r="I16" s="5"/>
      <c r="L16" s="27"/>
      <c r="M16" s="5"/>
      <c r="N16" s="24"/>
      <c r="O16" s="24"/>
      <c r="P16" s="24"/>
    </row>
    <row r="17" spans="1:16">
      <c r="A17">
        <v>12</v>
      </c>
      <c r="C17" t="s">
        <v>113</v>
      </c>
      <c r="D17" s="6" t="s">
        <v>94</v>
      </c>
      <c r="E17" s="49" t="s">
        <v>114</v>
      </c>
      <c r="F17" s="58">
        <v>14142.27</v>
      </c>
      <c r="H17" s="23"/>
      <c r="I17" s="5"/>
      <c r="L17" s="27"/>
      <c r="M17" s="5"/>
      <c r="N17" s="24"/>
      <c r="O17" s="24"/>
      <c r="P17" s="24"/>
    </row>
    <row r="18" spans="1:16">
      <c r="C18" t="s">
        <v>115</v>
      </c>
      <c r="D18" s="6" t="s">
        <v>22</v>
      </c>
      <c r="E18" t="s">
        <v>23</v>
      </c>
      <c r="F18" s="59">
        <v>0</v>
      </c>
      <c r="H18" s="23"/>
      <c r="I18" s="5"/>
      <c r="L18" s="27"/>
      <c r="M18" s="5"/>
      <c r="N18" s="24"/>
      <c r="O18" s="24"/>
      <c r="P18" s="24"/>
    </row>
    <row r="19" spans="1:16">
      <c r="C19" t="s">
        <v>25</v>
      </c>
      <c r="D19" s="6" t="s">
        <v>26</v>
      </c>
      <c r="E19" t="s">
        <v>27</v>
      </c>
      <c r="F19" s="59">
        <v>0</v>
      </c>
      <c r="H19" s="23"/>
      <c r="I19" s="5"/>
      <c r="L19" s="27"/>
      <c r="M19" s="5"/>
      <c r="N19" s="24"/>
      <c r="O19" s="24"/>
      <c r="P19" s="24"/>
    </row>
    <row r="20" spans="1:16">
      <c r="C20" t="s">
        <v>116</v>
      </c>
      <c r="D20" s="6" t="s">
        <v>33</v>
      </c>
      <c r="E20" t="s">
        <v>117</v>
      </c>
      <c r="F20" s="59">
        <v>0</v>
      </c>
      <c r="H20" s="23"/>
      <c r="I20" s="5"/>
      <c r="L20" s="27"/>
      <c r="M20" s="5"/>
      <c r="N20" s="24"/>
      <c r="O20" s="24"/>
      <c r="P20" s="24"/>
    </row>
    <row r="21" spans="1:16">
      <c r="C21" t="s">
        <v>118</v>
      </c>
      <c r="D21" s="6" t="s">
        <v>119</v>
      </c>
      <c r="E21" t="s">
        <v>120</v>
      </c>
      <c r="F21" s="59">
        <v>0</v>
      </c>
      <c r="H21" s="23"/>
      <c r="I21" s="5"/>
      <c r="L21" s="27"/>
      <c r="M21" s="5"/>
      <c r="N21" s="24"/>
      <c r="O21" s="24"/>
      <c r="P21" s="24"/>
    </row>
    <row r="22" spans="1:16">
      <c r="C22" t="s">
        <v>29</v>
      </c>
      <c r="D22" s="6" t="s">
        <v>30</v>
      </c>
      <c r="E22" t="s">
        <v>31</v>
      </c>
      <c r="F22" s="59">
        <v>0</v>
      </c>
      <c r="H22" s="23"/>
      <c r="I22" s="5"/>
      <c r="L22" s="27"/>
      <c r="M22" s="5"/>
      <c r="N22" s="24"/>
      <c r="O22" s="24"/>
      <c r="P22" s="24"/>
    </row>
    <row r="23" spans="1:16">
      <c r="C23" t="s">
        <v>35</v>
      </c>
      <c r="D23" s="6" t="s">
        <v>36</v>
      </c>
      <c r="E23" t="s">
        <v>121</v>
      </c>
      <c r="F23" s="59">
        <v>0</v>
      </c>
      <c r="H23" s="23"/>
      <c r="I23" s="5"/>
      <c r="L23" s="27"/>
      <c r="M23" s="5"/>
      <c r="N23" s="24"/>
      <c r="O23" s="24"/>
      <c r="P23" s="24"/>
    </row>
    <row r="24" spans="1:16">
      <c r="C24" s="5" t="s">
        <v>122</v>
      </c>
      <c r="D24" s="6" t="s">
        <v>123</v>
      </c>
      <c r="E24" s="49" t="s">
        <v>124</v>
      </c>
      <c r="F24" s="22">
        <v>3779363.1</v>
      </c>
      <c r="H24" s="23"/>
      <c r="I24" s="5"/>
      <c r="L24" s="27"/>
      <c r="M24" s="5"/>
      <c r="N24" s="24"/>
      <c r="O24" s="24"/>
      <c r="P24" s="24"/>
    </row>
    <row r="25" spans="1:16" ht="15.75" thickBot="1">
      <c r="A25">
        <v>14</v>
      </c>
      <c r="C25" s="5"/>
      <c r="D25" s="6"/>
      <c r="E25" s="8"/>
      <c r="F25" s="17"/>
      <c r="G25" s="12"/>
      <c r="H25" s="13"/>
      <c r="I25" s="7"/>
      <c r="J25" s="7"/>
      <c r="K25" s="7"/>
      <c r="L25" s="1"/>
      <c r="M25" s="1"/>
      <c r="N25" s="1"/>
      <c r="O25" s="1"/>
    </row>
    <row r="26" spans="1:16" ht="15.75" thickTop="1">
      <c r="A26">
        <v>15</v>
      </c>
      <c r="C26" s="35" t="s">
        <v>43</v>
      </c>
      <c r="D26" s="35"/>
      <c r="E26" s="35"/>
      <c r="F26" s="18">
        <f>SUM(F3:F25)</f>
        <v>11255517.629999999</v>
      </c>
      <c r="G26" s="43"/>
      <c r="H26" s="44"/>
      <c r="I26" s="19"/>
      <c r="J26" s="35"/>
      <c r="K26" s="35"/>
      <c r="L26" s="35"/>
      <c r="M26" s="35"/>
      <c r="N26" s="1"/>
      <c r="O26" s="1"/>
    </row>
    <row r="27" spans="1:16">
      <c r="A27">
        <v>16</v>
      </c>
      <c r="C27" s="35"/>
      <c r="D27" s="35"/>
      <c r="E27" s="35"/>
      <c r="F27" s="19"/>
      <c r="G27" s="35"/>
      <c r="H27" s="19"/>
      <c r="I27" s="35"/>
      <c r="J27" s="35"/>
      <c r="K27" s="35"/>
      <c r="L27" s="35"/>
      <c r="M27" s="35"/>
      <c r="N27" s="1"/>
      <c r="O27" s="1"/>
    </row>
    <row r="28" spans="1:16" ht="18.75">
      <c r="A28">
        <v>17</v>
      </c>
      <c r="C28" s="35"/>
      <c r="D28" s="35"/>
      <c r="E28" s="35"/>
      <c r="F28" s="35"/>
      <c r="G28" s="35"/>
      <c r="H28" s="45" t="s">
        <v>44</v>
      </c>
      <c r="I28" s="45" t="s">
        <v>44</v>
      </c>
      <c r="J28" s="45" t="s">
        <v>44</v>
      </c>
      <c r="K28" s="45" t="s">
        <v>44</v>
      </c>
      <c r="L28" s="45" t="s">
        <v>44</v>
      </c>
      <c r="M28" s="45" t="s">
        <v>44</v>
      </c>
      <c r="N28" s="3"/>
      <c r="O28" s="3"/>
    </row>
    <row r="29" spans="1:16" ht="18.75">
      <c r="A29">
        <v>18</v>
      </c>
      <c r="C29" s="35"/>
      <c r="D29" s="35"/>
      <c r="E29" s="35"/>
      <c r="F29" s="35"/>
      <c r="G29" s="35"/>
      <c r="H29" s="46" t="s">
        <v>45</v>
      </c>
      <c r="I29" s="47">
        <v>504</v>
      </c>
      <c r="J29" s="46" t="s">
        <v>46</v>
      </c>
      <c r="K29" s="47">
        <v>511</v>
      </c>
      <c r="L29" s="46" t="s">
        <v>47</v>
      </c>
      <c r="M29" s="47">
        <v>663</v>
      </c>
      <c r="N29" s="2"/>
      <c r="O29" s="2"/>
    </row>
    <row r="30" spans="1:16">
      <c r="A30">
        <v>19</v>
      </c>
      <c r="C30" s="35"/>
      <c r="D30" s="35"/>
      <c r="E30" s="35"/>
      <c r="F30" s="35"/>
      <c r="G30" s="35"/>
      <c r="H30" s="35" t="s">
        <v>48</v>
      </c>
      <c r="I30" s="35"/>
      <c r="J30" s="35"/>
      <c r="K30" s="35"/>
      <c r="L30" s="35"/>
      <c r="M30" s="35"/>
      <c r="N30" s="1"/>
      <c r="O30" s="1"/>
    </row>
    <row r="31" spans="1:16">
      <c r="A31">
        <v>20</v>
      </c>
      <c r="C31" s="48" t="s">
        <v>49</v>
      </c>
      <c r="D31" s="48"/>
      <c r="E31" s="35"/>
      <c r="F31" s="19">
        <f>SUM(H31:Q31)</f>
        <v>279938461</v>
      </c>
      <c r="G31" s="19"/>
      <c r="H31" s="19">
        <v>139245995</v>
      </c>
      <c r="I31" s="19">
        <v>64103014</v>
      </c>
      <c r="J31" s="19">
        <v>7030783</v>
      </c>
      <c r="K31" s="19">
        <v>5473765</v>
      </c>
      <c r="L31" s="19">
        <v>806645</v>
      </c>
      <c r="M31" s="19">
        <v>63278259</v>
      </c>
      <c r="N31" s="19"/>
      <c r="O31" s="19"/>
    </row>
    <row r="32" spans="1:16">
      <c r="A32">
        <v>21</v>
      </c>
      <c r="C32" t="s">
        <v>50</v>
      </c>
      <c r="F32" s="34">
        <f>SUM(H32:Q32)</f>
        <v>1</v>
      </c>
      <c r="H32" s="34">
        <f>+H31/$F$31</f>
        <v>0.49741644825288939</v>
      </c>
      <c r="I32" s="34">
        <f t="shared" ref="I32:M32" si="0">+I31/$F$31</f>
        <v>0.22898966355323358</v>
      </c>
      <c r="J32" s="34">
        <f t="shared" si="0"/>
        <v>2.5115459215159435E-2</v>
      </c>
      <c r="K32" s="34">
        <f t="shared" si="0"/>
        <v>1.9553458215232526E-2</v>
      </c>
      <c r="L32" s="34">
        <f t="shared" si="0"/>
        <v>2.8815083040697291E-3</v>
      </c>
      <c r="M32" s="34">
        <f t="shared" si="0"/>
        <v>0.22604346245941531</v>
      </c>
      <c r="N32" s="34"/>
      <c r="O32" s="34"/>
    </row>
    <row r="33" spans="1:8">
      <c r="A33">
        <v>22</v>
      </c>
    </row>
    <row r="34" spans="1:8">
      <c r="A34">
        <v>23</v>
      </c>
    </row>
    <row r="35" spans="1:8">
      <c r="A35">
        <v>24</v>
      </c>
      <c r="C35" t="s">
        <v>51</v>
      </c>
      <c r="E35" t="s">
        <v>125</v>
      </c>
      <c r="F35" s="28">
        <f>+F26</f>
        <v>11255517.629999999</v>
      </c>
    </row>
    <row r="36" spans="1:8">
      <c r="A36">
        <v>25</v>
      </c>
    </row>
    <row r="37" spans="1:8">
      <c r="A37">
        <v>26</v>
      </c>
      <c r="C37" t="s">
        <v>53</v>
      </c>
      <c r="E37" t="s">
        <v>126</v>
      </c>
      <c r="F37" s="29">
        <f>+F35*0.0263</f>
        <v>296020.11366899998</v>
      </c>
      <c r="G37" s="29"/>
      <c r="H37" s="29">
        <f>+F37</f>
        <v>296020.11366899998</v>
      </c>
    </row>
    <row r="38" spans="1:8">
      <c r="A38">
        <v>27</v>
      </c>
      <c r="C38" t="s">
        <v>55</v>
      </c>
      <c r="E38" t="s">
        <v>127</v>
      </c>
      <c r="F38" s="29">
        <f>+F37/2+F37</f>
        <v>444030.17050349998</v>
      </c>
      <c r="G38" s="29"/>
      <c r="H38" s="29"/>
    </row>
    <row r="39" spans="1:8">
      <c r="A39">
        <v>28</v>
      </c>
      <c r="C39" t="s">
        <v>57</v>
      </c>
      <c r="E39" t="s">
        <v>128</v>
      </c>
      <c r="F39" s="29">
        <f>+I71</f>
        <v>828349.81997984997</v>
      </c>
      <c r="G39" s="29"/>
      <c r="H39" s="29"/>
    </row>
    <row r="40" spans="1:8">
      <c r="A40">
        <v>29</v>
      </c>
      <c r="C40" t="s">
        <v>59</v>
      </c>
      <c r="E40" t="s">
        <v>129</v>
      </c>
      <c r="F40" s="29">
        <f>(+I69-F37)*0.21</f>
        <v>23152.0369890285</v>
      </c>
      <c r="G40" s="29"/>
      <c r="H40" s="29"/>
    </row>
    <row r="41" spans="1:8">
      <c r="A41">
        <v>30</v>
      </c>
      <c r="C41" t="s">
        <v>61</v>
      </c>
      <c r="E41" t="s">
        <v>130</v>
      </c>
      <c r="F41" s="29">
        <f>+(F39-F38)*0.21</f>
        <v>80707.126390033489</v>
      </c>
      <c r="G41" s="29"/>
      <c r="H41" s="29"/>
    </row>
    <row r="42" spans="1:8">
      <c r="A42">
        <v>31</v>
      </c>
      <c r="C42" t="s">
        <v>63</v>
      </c>
      <c r="E42" t="s">
        <v>131</v>
      </c>
      <c r="F42" s="29"/>
      <c r="G42" s="29"/>
      <c r="H42" s="29">
        <f>+H37*0.21</f>
        <v>62164.223870489994</v>
      </c>
    </row>
    <row r="43" spans="1:8">
      <c r="A43">
        <v>32</v>
      </c>
      <c r="B43" s="52"/>
      <c r="C43" t="s">
        <v>65</v>
      </c>
      <c r="F43" s="29"/>
      <c r="G43" s="29"/>
      <c r="H43" s="29">
        <f>+F44*0.02336*0.21</f>
        <v>52640.91600208707</v>
      </c>
    </row>
    <row r="44" spans="1:8">
      <c r="A44">
        <v>33</v>
      </c>
      <c r="C44" t="s">
        <v>66</v>
      </c>
      <c r="E44" t="s">
        <v>132</v>
      </c>
      <c r="F44" s="29">
        <f>+F26-F41-F38</f>
        <v>10730780.333106464</v>
      </c>
      <c r="G44" s="29"/>
      <c r="H44" s="29"/>
    </row>
    <row r="45" spans="1:8">
      <c r="A45">
        <v>34</v>
      </c>
      <c r="C45" s="60" t="s">
        <v>68</v>
      </c>
      <c r="F45" s="61">
        <v>6.8500000000000005E-2</v>
      </c>
    </row>
    <row r="46" spans="1:8">
      <c r="A46">
        <v>35</v>
      </c>
    </row>
    <row r="47" spans="1:8">
      <c r="A47">
        <v>36</v>
      </c>
      <c r="C47" t="s">
        <v>69</v>
      </c>
      <c r="E47" t="s">
        <v>133</v>
      </c>
      <c r="F47" s="21">
        <f>+F44*F45</f>
        <v>735058.45281779277</v>
      </c>
      <c r="G47" s="21"/>
      <c r="H47" s="21">
        <f>+H37-H42-H43</f>
        <v>181214.97379642294</v>
      </c>
    </row>
    <row r="48" spans="1:8">
      <c r="A48">
        <v>37</v>
      </c>
      <c r="C48" t="s">
        <v>71</v>
      </c>
      <c r="E48" t="s">
        <v>134</v>
      </c>
      <c r="F48" s="21">
        <f>+F47+H47</f>
        <v>916273.42661421571</v>
      </c>
      <c r="G48" s="21"/>
      <c r="H48" s="21"/>
    </row>
    <row r="49" spans="1:16">
      <c r="A49">
        <v>38</v>
      </c>
      <c r="C49" s="60" t="s">
        <v>73</v>
      </c>
      <c r="F49" s="60">
        <v>0.75505999999999995</v>
      </c>
    </row>
    <row r="50" spans="1:16">
      <c r="A50">
        <v>39</v>
      </c>
      <c r="C50" t="s">
        <v>74</v>
      </c>
      <c r="E50" t="s">
        <v>135</v>
      </c>
      <c r="F50" s="31">
        <f>+F48/F49</f>
        <v>1213510.7496281299</v>
      </c>
      <c r="H50" s="31"/>
      <c r="I50" s="21"/>
      <c r="J50" s="21"/>
      <c r="K50" s="21"/>
      <c r="L50" s="21"/>
      <c r="M50" s="21"/>
      <c r="N50" s="21"/>
      <c r="O50" s="21"/>
    </row>
    <row r="51" spans="1:16">
      <c r="A51">
        <v>40</v>
      </c>
      <c r="C51" t="s">
        <v>136</v>
      </c>
      <c r="F51" s="31"/>
      <c r="H51" s="31"/>
      <c r="I51" s="21"/>
      <c r="J51" s="21"/>
      <c r="K51" s="21"/>
      <c r="L51" s="21"/>
      <c r="M51" s="21"/>
      <c r="N51" s="21"/>
      <c r="O51" s="21"/>
    </row>
    <row r="52" spans="1:16">
      <c r="A52">
        <v>41</v>
      </c>
      <c r="H52" s="31"/>
      <c r="I52" s="21"/>
      <c r="J52" s="21"/>
      <c r="K52" s="21"/>
      <c r="L52" s="21"/>
      <c r="M52" s="21"/>
      <c r="N52" s="21"/>
      <c r="O52" s="21"/>
    </row>
    <row r="53" spans="1:16" ht="15.75" thickBot="1">
      <c r="A53">
        <v>42</v>
      </c>
      <c r="C53" t="s">
        <v>78</v>
      </c>
      <c r="E53" t="s">
        <v>137</v>
      </c>
      <c r="F53" s="32">
        <f>+F50+F51</f>
        <v>1213510.7496281299</v>
      </c>
      <c r="H53" s="31"/>
      <c r="I53" s="21"/>
      <c r="J53" s="21"/>
      <c r="K53" s="21"/>
      <c r="L53" s="21"/>
      <c r="M53" s="21"/>
      <c r="N53" s="21"/>
      <c r="O53" s="21"/>
    </row>
    <row r="54" spans="1:16" ht="15.75" thickTop="1">
      <c r="A54">
        <v>43</v>
      </c>
      <c r="F54" s="31"/>
      <c r="H54" s="21"/>
      <c r="I54" s="21"/>
      <c r="J54" s="21"/>
      <c r="K54" s="21"/>
      <c r="L54" s="21"/>
      <c r="M54" s="21"/>
      <c r="N54" s="21"/>
      <c r="O54" s="21"/>
      <c r="P54" s="21"/>
    </row>
    <row r="55" spans="1:16">
      <c r="A55">
        <v>44</v>
      </c>
      <c r="F55" s="31"/>
      <c r="H55" s="31"/>
      <c r="I55" s="21"/>
      <c r="J55" s="21"/>
      <c r="K55" s="21"/>
      <c r="L55" s="21"/>
      <c r="M55" s="21"/>
      <c r="N55" s="21"/>
      <c r="O55" s="21"/>
    </row>
    <row r="56" spans="1:16">
      <c r="A56">
        <v>45</v>
      </c>
      <c r="C56" t="s">
        <v>81</v>
      </c>
      <c r="F56" s="31">
        <f>+F53-F54</f>
        <v>1213510.7496281299</v>
      </c>
      <c r="H56" s="31"/>
      <c r="I56" s="21"/>
      <c r="J56" s="21"/>
      <c r="K56" s="21"/>
      <c r="L56" s="21"/>
      <c r="M56" s="21"/>
      <c r="N56" s="21"/>
      <c r="O56" s="21"/>
    </row>
    <row r="57" spans="1:16" ht="15.75" thickTop="1">
      <c r="A57">
        <v>46</v>
      </c>
      <c r="H57" s="21"/>
      <c r="I57" s="21"/>
      <c r="J57" s="21"/>
      <c r="K57" s="21"/>
      <c r="L57" s="21"/>
      <c r="M57" s="21"/>
      <c r="N57" s="21"/>
      <c r="O57" s="21"/>
    </row>
    <row r="58" spans="1:16">
      <c r="A58">
        <v>47</v>
      </c>
      <c r="H58" s="21"/>
      <c r="I58" s="21"/>
      <c r="J58" s="21"/>
      <c r="K58" s="21"/>
      <c r="L58" s="21"/>
      <c r="M58" s="21"/>
      <c r="N58" s="21"/>
      <c r="O58" s="21"/>
    </row>
    <row r="59" spans="1:16">
      <c r="A59">
        <v>48</v>
      </c>
      <c r="F59" s="29"/>
      <c r="H59" s="29"/>
      <c r="I59" s="29"/>
      <c r="J59" s="29"/>
      <c r="K59" s="29"/>
      <c r="L59" s="29"/>
      <c r="M59" s="29"/>
      <c r="N59" s="29"/>
      <c r="O59" s="29"/>
    </row>
    <row r="60" spans="1:16">
      <c r="A60">
        <v>49</v>
      </c>
      <c r="H60" s="29"/>
      <c r="I60" s="29"/>
      <c r="J60" s="29"/>
      <c r="K60" s="29"/>
      <c r="L60" s="29"/>
      <c r="M60" s="29"/>
      <c r="N60" s="29"/>
      <c r="O60" s="29"/>
    </row>
    <row r="61" spans="1:16">
      <c r="A61">
        <v>50</v>
      </c>
      <c r="H61" s="29"/>
      <c r="I61" s="29"/>
      <c r="J61" s="29"/>
      <c r="K61" s="29"/>
      <c r="L61" s="29"/>
      <c r="M61" s="29"/>
      <c r="N61" s="29"/>
      <c r="O61" s="29"/>
    </row>
    <row r="62" spans="1:16">
      <c r="A62">
        <v>51</v>
      </c>
      <c r="H62" s="33"/>
      <c r="I62" s="33"/>
      <c r="J62" s="33"/>
      <c r="K62" s="33"/>
      <c r="L62" s="33"/>
      <c r="M62" s="33"/>
      <c r="N62" s="33"/>
      <c r="O62" s="33"/>
    </row>
    <row r="63" spans="1:16">
      <c r="A63">
        <v>52</v>
      </c>
    </row>
    <row r="64" spans="1:16">
      <c r="A64">
        <v>53</v>
      </c>
      <c r="H64" s="21"/>
    </row>
    <row r="65" spans="1:13">
      <c r="A65">
        <v>54</v>
      </c>
      <c r="H65" s="30"/>
    </row>
    <row r="66" spans="1:13">
      <c r="H66" s="34"/>
    </row>
    <row r="67" spans="1:13">
      <c r="H67" s="64" t="s">
        <v>138</v>
      </c>
      <c r="I67" s="64"/>
    </row>
    <row r="68" spans="1:13">
      <c r="C68" t="s">
        <v>139</v>
      </c>
      <c r="D68" t="s">
        <v>140</v>
      </c>
      <c r="F68" s="57">
        <v>3.7499999999999999E-2</v>
      </c>
      <c r="H68" s="29">
        <f>+F68*F35</f>
        <v>422081.91112499993</v>
      </c>
      <c r="I68" s="29">
        <f>+H68</f>
        <v>422081.91112499993</v>
      </c>
    </row>
    <row r="69" spans="1:13">
      <c r="D69" t="s">
        <v>141</v>
      </c>
      <c r="F69" s="57">
        <v>7.2190000000000004E-2</v>
      </c>
      <c r="H69" s="29">
        <f>+F35*F69</f>
        <v>812535.81770969997</v>
      </c>
      <c r="I69" s="29">
        <f>+H69/2</f>
        <v>406267.90885484999</v>
      </c>
    </row>
    <row r="70" spans="1:13">
      <c r="H70" s="29"/>
      <c r="I70" s="29"/>
    </row>
    <row r="71" spans="1:13">
      <c r="H71" s="29"/>
      <c r="I71" s="29">
        <f>+I68+I69</f>
        <v>828349.81997984997</v>
      </c>
    </row>
    <row r="72" spans="1:13">
      <c r="H72" s="29"/>
      <c r="I72" s="29"/>
      <c r="J72" s="29"/>
      <c r="K72" s="29"/>
      <c r="L72" s="29"/>
      <c r="M72" s="29"/>
    </row>
    <row r="73" spans="1:13">
      <c r="H73" s="29"/>
      <c r="I73" s="29"/>
      <c r="J73" s="29"/>
      <c r="K73" s="29"/>
      <c r="L73" s="29"/>
      <c r="M73" s="29"/>
    </row>
  </sheetData>
  <mergeCells count="1">
    <mergeCell ref="H67:I67"/>
  </mergeCells>
  <phoneticPr fontId="4" type="noConversion"/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14" zoomScaleNormal="100" workbookViewId="0">
      <selection activeCell="H31" sqref="H31"/>
    </sheetView>
  </sheetViews>
  <sheetFormatPr defaultRowHeight="15"/>
  <cols>
    <col min="1" max="1" width="3" bestFit="1" customWidth="1"/>
    <col min="2" max="2" width="2.7109375" customWidth="1"/>
    <col min="3" max="3" width="75.42578125" bestFit="1" customWidth="1"/>
    <col min="4" max="4" width="17.28515625" bestFit="1" customWidth="1"/>
    <col min="5" max="5" width="41.7109375" customWidth="1"/>
    <col min="6" max="6" width="18.85546875" bestFit="1" customWidth="1"/>
    <col min="8" max="8" width="17.570312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>
      <c r="C1" s="11" t="s">
        <v>0</v>
      </c>
    </row>
    <row r="2" spans="1:16">
      <c r="C2">
        <v>0</v>
      </c>
      <c r="F2" s="51" t="s">
        <v>2</v>
      </c>
    </row>
    <row r="3" spans="1:16">
      <c r="F3" s="20" t="s">
        <v>91</v>
      </c>
    </row>
    <row r="4" spans="1:16">
      <c r="C4" s="35"/>
      <c r="D4" s="35"/>
      <c r="E4" s="35"/>
      <c r="F4" s="20" t="s">
        <v>92</v>
      </c>
      <c r="G4" s="35"/>
      <c r="H4" s="36"/>
      <c r="I4" s="35"/>
      <c r="J4" s="35"/>
      <c r="K4" s="35"/>
      <c r="L4" s="35"/>
      <c r="M4" s="35"/>
      <c r="N4" s="35"/>
      <c r="O4" s="35"/>
    </row>
    <row r="5" spans="1:16">
      <c r="C5" s="20" t="s">
        <v>5</v>
      </c>
      <c r="D5" s="20" t="s">
        <v>6</v>
      </c>
      <c r="E5" s="20" t="s">
        <v>142</v>
      </c>
      <c r="F5" s="20" t="s">
        <v>8</v>
      </c>
      <c r="G5" s="35"/>
      <c r="H5" s="20"/>
      <c r="I5" s="35"/>
      <c r="J5" s="37"/>
      <c r="K5" s="35"/>
      <c r="L5" s="35"/>
      <c r="M5" s="35"/>
      <c r="N5" s="37"/>
      <c r="O5" s="35"/>
    </row>
    <row r="6" spans="1:16">
      <c r="C6" s="20"/>
      <c r="D6" s="20"/>
      <c r="E6" s="35"/>
      <c r="F6" s="37"/>
      <c r="G6" s="35"/>
      <c r="H6" s="37"/>
      <c r="I6" s="35"/>
      <c r="J6" s="35"/>
      <c r="K6" s="35"/>
      <c r="L6" s="35"/>
      <c r="M6" s="35"/>
      <c r="N6" s="35"/>
      <c r="O6" s="35"/>
    </row>
    <row r="7" spans="1:16">
      <c r="A7">
        <v>1</v>
      </c>
      <c r="C7" t="s">
        <v>93</v>
      </c>
      <c r="D7" s="6" t="s">
        <v>94</v>
      </c>
      <c r="E7" s="49" t="s">
        <v>95</v>
      </c>
      <c r="F7" s="58">
        <v>616531.15</v>
      </c>
      <c r="H7" s="23"/>
      <c r="I7" s="5"/>
      <c r="L7" s="27"/>
      <c r="M7" s="5"/>
      <c r="N7" s="24"/>
      <c r="O7" s="24"/>
      <c r="P7" s="24"/>
    </row>
    <row r="8" spans="1:16">
      <c r="A8">
        <v>2</v>
      </c>
      <c r="C8" t="s">
        <v>96</v>
      </c>
      <c r="D8" s="6" t="s">
        <v>12</v>
      </c>
      <c r="E8" s="49" t="s">
        <v>13</v>
      </c>
      <c r="F8" s="58">
        <v>1501775.8900000001</v>
      </c>
      <c r="H8" s="53"/>
      <c r="I8" s="5"/>
      <c r="L8" s="27"/>
      <c r="M8" s="5"/>
      <c r="N8" s="24"/>
      <c r="O8" s="24"/>
      <c r="P8" s="24"/>
    </row>
    <row r="9" spans="1:16">
      <c r="A9">
        <v>3</v>
      </c>
      <c r="C9" t="s">
        <v>97</v>
      </c>
      <c r="D9" s="6" t="s">
        <v>98</v>
      </c>
      <c r="E9" s="50" t="s">
        <v>99</v>
      </c>
      <c r="F9" s="58">
        <v>1104864.48</v>
      </c>
      <c r="H9" s="23"/>
      <c r="I9" s="5"/>
      <c r="L9" s="27"/>
      <c r="M9" s="5"/>
      <c r="N9" s="24"/>
      <c r="O9" s="24"/>
      <c r="P9" s="24"/>
    </row>
    <row r="10" spans="1:16">
      <c r="A10">
        <v>4</v>
      </c>
      <c r="C10" s="5" t="s">
        <v>143</v>
      </c>
      <c r="D10" s="6" t="s">
        <v>41</v>
      </c>
      <c r="E10" s="49" t="s">
        <v>144</v>
      </c>
      <c r="F10" s="58">
        <v>99274.859999999986</v>
      </c>
      <c r="H10" s="23"/>
      <c r="I10" s="5"/>
      <c r="L10" s="27"/>
      <c r="M10" s="5"/>
      <c r="N10" s="24"/>
      <c r="O10" s="24"/>
      <c r="P10" s="24"/>
    </row>
    <row r="11" spans="1:16">
      <c r="A11">
        <v>5</v>
      </c>
      <c r="C11" s="5" t="s">
        <v>100</v>
      </c>
      <c r="D11" s="6" t="s">
        <v>12</v>
      </c>
      <c r="E11" s="49" t="s">
        <v>145</v>
      </c>
      <c r="F11" s="58">
        <v>7088.5300000000007</v>
      </c>
      <c r="H11" s="23"/>
      <c r="I11" s="5"/>
      <c r="L11" s="27"/>
      <c r="M11" s="5"/>
      <c r="N11" s="24"/>
      <c r="O11" s="24"/>
      <c r="P11" s="24"/>
    </row>
    <row r="12" spans="1:16">
      <c r="A12" s="25">
        <v>6</v>
      </c>
      <c r="B12" s="25"/>
      <c r="C12" s="5" t="s">
        <v>102</v>
      </c>
      <c r="D12" s="6" t="s">
        <v>103</v>
      </c>
      <c r="E12" s="49" t="s">
        <v>146</v>
      </c>
      <c r="F12" s="58">
        <v>240391.47</v>
      </c>
      <c r="H12" s="23"/>
      <c r="I12" s="5"/>
      <c r="L12" s="27"/>
      <c r="M12" s="5"/>
      <c r="N12" s="24"/>
      <c r="O12" s="24"/>
      <c r="P12" s="24"/>
    </row>
    <row r="13" spans="1:16">
      <c r="A13" s="25">
        <v>7</v>
      </c>
      <c r="B13" s="25"/>
      <c r="C13" s="5" t="s">
        <v>105</v>
      </c>
      <c r="D13" s="6" t="s">
        <v>18</v>
      </c>
      <c r="E13" s="49" t="s">
        <v>106</v>
      </c>
      <c r="F13" s="58">
        <v>2074013.9000000001</v>
      </c>
      <c r="H13" s="23"/>
      <c r="I13" s="5"/>
      <c r="L13" s="27"/>
      <c r="M13" s="5"/>
      <c r="N13" s="24"/>
      <c r="O13" s="24"/>
      <c r="P13" s="24"/>
    </row>
    <row r="14" spans="1:16" ht="30">
      <c r="A14">
        <v>8</v>
      </c>
      <c r="C14" s="5" t="s">
        <v>107</v>
      </c>
      <c r="D14" s="6" t="s">
        <v>94</v>
      </c>
      <c r="E14" s="50" t="s">
        <v>147</v>
      </c>
      <c r="F14" s="58">
        <v>2073928.19</v>
      </c>
      <c r="H14" s="23"/>
      <c r="I14" s="5"/>
      <c r="L14" s="27"/>
      <c r="M14" s="5"/>
      <c r="N14" s="24"/>
      <c r="O14" s="24"/>
      <c r="P14" s="24"/>
    </row>
    <row r="15" spans="1:16">
      <c r="A15">
        <v>9</v>
      </c>
      <c r="C15" s="5" t="s">
        <v>148</v>
      </c>
      <c r="D15" s="6" t="s">
        <v>149</v>
      </c>
      <c r="E15" s="49" t="s">
        <v>150</v>
      </c>
      <c r="F15" s="58">
        <v>-7891.41</v>
      </c>
      <c r="H15" s="23"/>
      <c r="I15" s="5"/>
      <c r="L15" s="27"/>
      <c r="M15" s="5"/>
      <c r="N15" s="24"/>
      <c r="O15" s="24"/>
      <c r="P15" s="24"/>
    </row>
    <row r="16" spans="1:16">
      <c r="A16">
        <v>10</v>
      </c>
      <c r="C16" t="s">
        <v>109</v>
      </c>
      <c r="D16" s="6" t="s">
        <v>151</v>
      </c>
      <c r="E16" s="49" t="s">
        <v>111</v>
      </c>
      <c r="F16" s="58">
        <v>419004.75</v>
      </c>
      <c r="H16" s="23"/>
      <c r="I16" s="5"/>
      <c r="L16" s="27"/>
      <c r="M16" s="5"/>
      <c r="N16" s="24"/>
      <c r="O16" s="24"/>
      <c r="P16" s="24"/>
    </row>
    <row r="17" spans="1:16">
      <c r="A17">
        <v>11</v>
      </c>
      <c r="C17" t="s">
        <v>109</v>
      </c>
      <c r="D17" s="6" t="s">
        <v>151</v>
      </c>
      <c r="E17" s="49" t="s">
        <v>112</v>
      </c>
      <c r="F17" s="58">
        <v>59490.9</v>
      </c>
      <c r="H17" s="23"/>
      <c r="I17" s="5"/>
      <c r="L17" s="27"/>
      <c r="M17" s="5"/>
      <c r="N17" s="24"/>
      <c r="O17" s="24"/>
      <c r="P17" s="24"/>
    </row>
    <row r="18" spans="1:16">
      <c r="A18">
        <v>12</v>
      </c>
      <c r="C18" t="s">
        <v>113</v>
      </c>
      <c r="D18" s="6" t="s">
        <v>94</v>
      </c>
      <c r="E18" t="s">
        <v>114</v>
      </c>
      <c r="F18" s="59">
        <v>838545.75000000012</v>
      </c>
      <c r="G18" s="54"/>
      <c r="H18" s="54"/>
      <c r="I18" s="5"/>
      <c r="L18" s="27"/>
      <c r="M18" s="5"/>
    </row>
    <row r="19" spans="1:16">
      <c r="A19">
        <v>13</v>
      </c>
      <c r="C19" s="5"/>
      <c r="D19" s="6"/>
      <c r="E19" s="26"/>
      <c r="F19" s="15"/>
      <c r="G19" s="54"/>
      <c r="H19" s="54"/>
      <c r="I19" s="5"/>
      <c r="L19" s="27"/>
      <c r="M19" s="5"/>
    </row>
    <row r="20" spans="1:16">
      <c r="A20">
        <v>14</v>
      </c>
      <c r="C20" s="5"/>
      <c r="D20" s="6"/>
      <c r="E20" s="38"/>
      <c r="F20" s="15"/>
      <c r="G20" s="55"/>
      <c r="H20" s="54"/>
      <c r="I20" s="56"/>
      <c r="J20" s="25"/>
      <c r="K20" s="25"/>
      <c r="L20" s="39"/>
      <c r="M20" s="5"/>
    </row>
    <row r="21" spans="1:16">
      <c r="A21">
        <v>15</v>
      </c>
      <c r="C21" s="5"/>
      <c r="D21" s="6"/>
      <c r="E21" s="38"/>
      <c r="F21" s="15"/>
      <c r="G21" s="55"/>
      <c r="H21" s="54"/>
      <c r="I21" s="56"/>
      <c r="J21" s="25"/>
      <c r="K21" s="25"/>
      <c r="L21" s="39"/>
      <c r="M21" s="5"/>
    </row>
    <row r="22" spans="1:16">
      <c r="A22">
        <v>16</v>
      </c>
      <c r="C22" s="5"/>
      <c r="D22" s="6"/>
      <c r="E22" s="38"/>
      <c r="F22" s="15"/>
      <c r="G22" s="55"/>
      <c r="H22" s="54"/>
      <c r="I22" s="56"/>
      <c r="J22" s="25"/>
      <c r="K22" s="25"/>
      <c r="L22" s="39"/>
      <c r="M22" s="5"/>
    </row>
    <row r="23" spans="1:16">
      <c r="A23">
        <v>17</v>
      </c>
      <c r="C23" s="5"/>
      <c r="D23" s="6"/>
      <c r="E23" s="40"/>
      <c r="F23" s="16"/>
      <c r="G23" s="54"/>
      <c r="H23" s="54"/>
      <c r="I23" s="5"/>
      <c r="L23" s="19"/>
      <c r="M23" s="5"/>
    </row>
    <row r="24" spans="1:16" ht="15.75" thickBot="1">
      <c r="A24">
        <v>18</v>
      </c>
      <c r="C24" s="5"/>
      <c r="D24" s="6"/>
      <c r="E24" s="38"/>
      <c r="F24" s="17"/>
      <c r="G24" s="12"/>
      <c r="H24" s="41"/>
      <c r="I24" s="42"/>
      <c r="J24" s="42"/>
      <c r="K24" s="42"/>
      <c r="L24" s="35"/>
      <c r="M24" s="35"/>
      <c r="N24" s="35"/>
      <c r="O24" s="35"/>
    </row>
    <row r="25" spans="1:16" ht="15.75" thickTop="1">
      <c r="A25">
        <v>19</v>
      </c>
      <c r="C25" s="35" t="s">
        <v>43</v>
      </c>
      <c r="D25" s="35"/>
      <c r="E25" s="35"/>
      <c r="F25" s="18">
        <f>SUM(F7:F24)</f>
        <v>9027018.4600000009</v>
      </c>
      <c r="G25" s="43"/>
      <c r="H25" s="44"/>
      <c r="I25" s="19"/>
      <c r="J25" s="35"/>
      <c r="K25" s="35"/>
      <c r="L25" s="35"/>
      <c r="M25" s="35"/>
      <c r="N25" s="35"/>
      <c r="O25" s="35"/>
    </row>
    <row r="26" spans="1:16">
      <c r="C26" s="35"/>
      <c r="D26" s="35"/>
      <c r="E26" s="35"/>
      <c r="F26" s="19"/>
      <c r="G26" s="35"/>
      <c r="H26" s="19"/>
      <c r="I26" s="35"/>
      <c r="J26" s="35"/>
      <c r="K26" s="35"/>
      <c r="L26" s="35"/>
      <c r="M26" s="35"/>
      <c r="N26" s="35"/>
      <c r="O26" s="35"/>
    </row>
    <row r="27" spans="1:16" ht="18.75">
      <c r="A27">
        <v>20</v>
      </c>
      <c r="C27" s="35"/>
      <c r="D27" s="35"/>
      <c r="E27" s="35"/>
      <c r="F27" s="35"/>
      <c r="G27" s="35"/>
      <c r="H27" s="45" t="s">
        <v>44</v>
      </c>
      <c r="I27" s="45" t="s">
        <v>44</v>
      </c>
      <c r="J27" s="45" t="s">
        <v>44</v>
      </c>
      <c r="K27" s="45" t="s">
        <v>44</v>
      </c>
      <c r="L27" s="45" t="s">
        <v>44</v>
      </c>
      <c r="M27" s="45" t="s">
        <v>44</v>
      </c>
      <c r="N27" s="45"/>
      <c r="O27" s="45"/>
    </row>
    <row r="28" spans="1:16" ht="18.75">
      <c r="A28">
        <v>21</v>
      </c>
      <c r="C28" s="35"/>
      <c r="D28" s="35"/>
      <c r="E28" s="35"/>
      <c r="F28" s="35"/>
      <c r="G28" s="35"/>
      <c r="H28" s="46" t="s">
        <v>45</v>
      </c>
      <c r="I28" s="47">
        <v>504</v>
      </c>
      <c r="J28" s="46" t="s">
        <v>46</v>
      </c>
      <c r="K28" s="47">
        <v>511</v>
      </c>
      <c r="L28" s="46" t="s">
        <v>47</v>
      </c>
      <c r="M28" s="47">
        <v>663</v>
      </c>
      <c r="N28" s="47"/>
      <c r="O28" s="47"/>
    </row>
    <row r="29" spans="1:16">
      <c r="C29" s="35"/>
      <c r="D29" s="35"/>
      <c r="E29" s="35"/>
      <c r="F29" s="35"/>
      <c r="G29" s="35"/>
      <c r="H29" s="35" t="s">
        <v>48</v>
      </c>
      <c r="I29" s="35"/>
      <c r="J29" s="35"/>
      <c r="K29" s="35"/>
      <c r="L29" s="35"/>
      <c r="M29" s="35"/>
      <c r="N29" s="35"/>
      <c r="O29" s="35"/>
    </row>
    <row r="30" spans="1:16">
      <c r="A30">
        <v>22</v>
      </c>
      <c r="C30" s="48" t="s">
        <v>49</v>
      </c>
      <c r="D30" s="48"/>
      <c r="E30" s="35"/>
      <c r="F30" s="19">
        <f>SUM(H30:Q30)</f>
        <v>279938461</v>
      </c>
      <c r="G30" s="19"/>
      <c r="H30" s="19">
        <v>139245995</v>
      </c>
      <c r="I30" s="19">
        <v>64103014</v>
      </c>
      <c r="J30" s="19">
        <v>7030783</v>
      </c>
      <c r="K30" s="19">
        <v>5473765</v>
      </c>
      <c r="L30" s="19">
        <v>806645</v>
      </c>
      <c r="M30" s="19">
        <v>63278259</v>
      </c>
      <c r="N30" s="19"/>
      <c r="O30" s="19"/>
    </row>
    <row r="31" spans="1:16">
      <c r="A31">
        <v>23</v>
      </c>
      <c r="C31" t="s">
        <v>50</v>
      </c>
      <c r="F31" s="34">
        <f>SUM(H31:Q31)</f>
        <v>1</v>
      </c>
      <c r="H31" s="34">
        <f t="shared" ref="H31:M31" si="0">+H30/$F$30</f>
        <v>0.49741644825288939</v>
      </c>
      <c r="I31" s="34">
        <f t="shared" si="0"/>
        <v>0.22898966355323358</v>
      </c>
      <c r="J31" s="34">
        <f t="shared" si="0"/>
        <v>2.5115459215159435E-2</v>
      </c>
      <c r="K31" s="34">
        <f t="shared" si="0"/>
        <v>1.9553458215232526E-2</v>
      </c>
      <c r="L31" s="34">
        <f t="shared" si="0"/>
        <v>2.8815083040697291E-3</v>
      </c>
      <c r="M31" s="34">
        <f t="shared" si="0"/>
        <v>0.22604346245941531</v>
      </c>
      <c r="N31" s="34"/>
      <c r="O31" s="34"/>
    </row>
    <row r="34" spans="1:8">
      <c r="A34">
        <v>24</v>
      </c>
      <c r="C34" t="s">
        <v>51</v>
      </c>
      <c r="E34" t="s">
        <v>125</v>
      </c>
      <c r="F34" s="28">
        <f>+F25</f>
        <v>9027018.4600000009</v>
      </c>
    </row>
    <row r="36" spans="1:8">
      <c r="A36">
        <v>25</v>
      </c>
      <c r="C36" t="s">
        <v>53</v>
      </c>
      <c r="E36" t="s">
        <v>126</v>
      </c>
      <c r="F36" s="29">
        <f>+F34*0.0263</f>
        <v>237410.58549800003</v>
      </c>
      <c r="G36" s="29"/>
      <c r="H36" s="29">
        <f>+F36</f>
        <v>237410.58549800003</v>
      </c>
    </row>
    <row r="37" spans="1:8">
      <c r="A37">
        <v>26</v>
      </c>
      <c r="C37" t="s">
        <v>55</v>
      </c>
      <c r="E37" t="s">
        <v>152</v>
      </c>
      <c r="F37" s="29">
        <f>+F36/2+F36+F36</f>
        <v>593526.46374500007</v>
      </c>
      <c r="G37" s="29"/>
      <c r="H37" s="29"/>
    </row>
    <row r="38" spans="1:8">
      <c r="A38">
        <v>27</v>
      </c>
      <c r="C38" t="s">
        <v>57</v>
      </c>
      <c r="E38" t="s">
        <v>128</v>
      </c>
      <c r="F38" s="29">
        <f>+I70</f>
        <v>1291089.3152415</v>
      </c>
      <c r="G38" s="29"/>
      <c r="H38" s="29"/>
    </row>
    <row r="39" spans="1:8">
      <c r="A39">
        <v>28</v>
      </c>
      <c r="C39" t="s">
        <v>59</v>
      </c>
      <c r="E39" t="s">
        <v>129</v>
      </c>
      <c r="F39" s="29">
        <f>(+I68-F36)*0.21</f>
        <v>86992.474197174</v>
      </c>
      <c r="G39" s="29"/>
      <c r="H39" s="29"/>
    </row>
    <row r="40" spans="1:8">
      <c r="A40">
        <v>29</v>
      </c>
      <c r="C40" t="s">
        <v>61</v>
      </c>
      <c r="E40" t="s">
        <v>130</v>
      </c>
      <c r="F40" s="29">
        <f>+(F38-F37)*0.21</f>
        <v>146488.19881426499</v>
      </c>
      <c r="G40" s="29"/>
      <c r="H40" s="29"/>
    </row>
    <row r="41" spans="1:8">
      <c r="A41">
        <v>30</v>
      </c>
      <c r="C41" t="s">
        <v>63</v>
      </c>
      <c r="E41" t="s">
        <v>131</v>
      </c>
      <c r="F41" s="29"/>
      <c r="G41" s="29"/>
      <c r="H41" s="29">
        <f>+H36*0.21</f>
        <v>49856.222954580007</v>
      </c>
    </row>
    <row r="42" spans="1:8">
      <c r="A42">
        <v>31</v>
      </c>
      <c r="B42" s="52"/>
      <c r="C42" t="s">
        <v>65</v>
      </c>
      <c r="F42" s="29"/>
      <c r="G42" s="29"/>
      <c r="H42" s="29">
        <f>+F43*0.02336*0.21</f>
        <v>40652.72582872527</v>
      </c>
    </row>
    <row r="43" spans="1:8">
      <c r="A43">
        <v>32</v>
      </c>
      <c r="C43" t="s">
        <v>66</v>
      </c>
      <c r="E43" t="s">
        <v>132</v>
      </c>
      <c r="F43" s="29">
        <f>+F25-F40-F37</f>
        <v>8287003.7974407356</v>
      </c>
      <c r="G43" s="29"/>
      <c r="H43" s="29"/>
    </row>
    <row r="44" spans="1:8">
      <c r="A44">
        <v>33</v>
      </c>
      <c r="C44" s="60" t="s">
        <v>68</v>
      </c>
      <c r="F44" s="61">
        <v>6.8500000000000005E-2</v>
      </c>
    </row>
    <row r="46" spans="1:8">
      <c r="A46">
        <v>34</v>
      </c>
      <c r="C46" t="s">
        <v>69</v>
      </c>
      <c r="E46" t="s">
        <v>133</v>
      </c>
      <c r="F46" s="21">
        <f>+F43*F44</f>
        <v>567659.76012469048</v>
      </c>
      <c r="G46" s="21"/>
      <c r="H46" s="21">
        <f>+H36-H41-H42</f>
        <v>146901.63671469476</v>
      </c>
    </row>
    <row r="47" spans="1:8">
      <c r="A47">
        <v>35</v>
      </c>
      <c r="C47" t="s">
        <v>71</v>
      </c>
      <c r="E47" t="s">
        <v>134</v>
      </c>
      <c r="F47" s="21">
        <f>+F46+H46</f>
        <v>714561.39683938527</v>
      </c>
      <c r="G47" s="21"/>
      <c r="H47" s="21"/>
    </row>
    <row r="48" spans="1:8">
      <c r="A48">
        <v>36</v>
      </c>
      <c r="C48" s="60" t="s">
        <v>73</v>
      </c>
      <c r="F48" s="60">
        <v>0.75505999999999995</v>
      </c>
    </row>
    <row r="49" spans="1:16">
      <c r="A49">
        <v>37</v>
      </c>
      <c r="C49" t="s">
        <v>74</v>
      </c>
      <c r="E49" t="s">
        <v>135</v>
      </c>
      <c r="F49" s="31">
        <f>+F47/F48</f>
        <v>946363.72849758342</v>
      </c>
      <c r="H49" s="31"/>
      <c r="I49" s="21"/>
      <c r="J49" s="21"/>
      <c r="K49" s="21"/>
      <c r="L49" s="21"/>
      <c r="M49" s="21"/>
      <c r="N49" s="21"/>
      <c r="O49" s="21"/>
    </row>
    <row r="50" spans="1:16">
      <c r="A50">
        <v>38</v>
      </c>
      <c r="C50" t="s">
        <v>153</v>
      </c>
      <c r="F50" s="31"/>
      <c r="H50" s="31"/>
      <c r="I50" s="21"/>
      <c r="J50" s="21"/>
      <c r="K50" s="21"/>
      <c r="L50" s="21"/>
      <c r="M50" s="21"/>
      <c r="N50" s="21"/>
      <c r="O50" s="21"/>
    </row>
    <row r="51" spans="1:16">
      <c r="H51" s="31"/>
      <c r="I51" s="21"/>
      <c r="J51" s="21"/>
      <c r="K51" s="21"/>
      <c r="L51" s="21"/>
      <c r="M51" s="21"/>
      <c r="N51" s="21"/>
      <c r="O51" s="21"/>
    </row>
    <row r="52" spans="1:16" ht="15.75" thickBot="1">
      <c r="A52">
        <v>39</v>
      </c>
      <c r="C52" t="s">
        <v>78</v>
      </c>
      <c r="E52" t="s">
        <v>137</v>
      </c>
      <c r="F52" s="32">
        <f>+F49+F50</f>
        <v>946363.72849758342</v>
      </c>
      <c r="H52" s="31"/>
      <c r="I52" s="21"/>
      <c r="J52" s="21"/>
      <c r="K52" s="21"/>
      <c r="L52" s="21"/>
      <c r="M52" s="21"/>
      <c r="N52" s="21"/>
      <c r="O52" s="21"/>
    </row>
    <row r="53" spans="1:16" ht="15.75" thickTop="1">
      <c r="A53">
        <v>40</v>
      </c>
      <c r="F53" s="31"/>
      <c r="H53" s="21"/>
      <c r="I53" s="21"/>
      <c r="J53" s="21"/>
      <c r="K53" s="21"/>
      <c r="L53" s="21"/>
      <c r="M53" s="21"/>
      <c r="N53" s="21"/>
      <c r="O53" s="21"/>
      <c r="P53" s="21"/>
    </row>
    <row r="54" spans="1:16">
      <c r="F54" s="31"/>
      <c r="H54" s="31"/>
      <c r="I54" s="21"/>
      <c r="J54" s="21"/>
      <c r="K54" s="21"/>
      <c r="L54" s="21"/>
      <c r="M54" s="21"/>
      <c r="N54" s="21"/>
      <c r="O54" s="21"/>
    </row>
    <row r="55" spans="1:16">
      <c r="A55">
        <v>41</v>
      </c>
      <c r="C55" t="s">
        <v>81</v>
      </c>
      <c r="F55" s="31">
        <f>+F52-F53</f>
        <v>946363.72849758342</v>
      </c>
      <c r="H55" s="31"/>
      <c r="I55" s="21"/>
      <c r="J55" s="21"/>
      <c r="K55" s="21"/>
      <c r="L55" s="21"/>
      <c r="M55" s="21"/>
      <c r="N55" s="21"/>
      <c r="O55" s="21"/>
    </row>
    <row r="56" spans="1:16">
      <c r="H56" s="21"/>
      <c r="I56" s="21"/>
      <c r="J56" s="21"/>
      <c r="K56" s="21"/>
      <c r="L56" s="21"/>
      <c r="M56" s="21"/>
      <c r="N56" s="21"/>
      <c r="O56" s="21"/>
    </row>
    <row r="57" spans="1:16">
      <c r="A57">
        <v>42</v>
      </c>
      <c r="H57" s="21"/>
      <c r="I57" s="21"/>
      <c r="J57" s="21"/>
      <c r="K57" s="21"/>
      <c r="L57" s="21"/>
      <c r="M57" s="21"/>
      <c r="N57" s="21"/>
      <c r="O57" s="21"/>
    </row>
    <row r="58" spans="1:16">
      <c r="A58">
        <v>43</v>
      </c>
      <c r="F58" s="29"/>
      <c r="H58" s="29"/>
      <c r="I58" s="29"/>
      <c r="J58" s="29"/>
      <c r="K58" s="29"/>
      <c r="L58" s="29"/>
      <c r="M58" s="29"/>
      <c r="N58" s="29"/>
      <c r="O58" s="29"/>
    </row>
    <row r="59" spans="1:16">
      <c r="H59" s="29"/>
      <c r="I59" s="29"/>
      <c r="J59" s="29"/>
      <c r="K59" s="29"/>
      <c r="L59" s="29"/>
      <c r="M59" s="29"/>
      <c r="N59" s="29"/>
      <c r="O59" s="29"/>
    </row>
    <row r="60" spans="1:16">
      <c r="H60" s="29"/>
      <c r="I60" s="29"/>
      <c r="J60" s="29"/>
      <c r="K60" s="29"/>
      <c r="L60" s="29"/>
      <c r="M60" s="29"/>
      <c r="N60" s="29"/>
      <c r="O60" s="29"/>
    </row>
    <row r="61" spans="1:16">
      <c r="A61">
        <v>44</v>
      </c>
      <c r="H61" s="33"/>
      <c r="I61" s="33"/>
      <c r="J61" s="33"/>
      <c r="K61" s="33"/>
      <c r="L61" s="33"/>
      <c r="M61" s="33"/>
      <c r="N61" s="33"/>
      <c r="O61" s="33"/>
    </row>
    <row r="63" spans="1:16">
      <c r="A63">
        <v>45</v>
      </c>
      <c r="H63" s="21"/>
    </row>
    <row r="64" spans="1:16">
      <c r="A64">
        <v>46</v>
      </c>
      <c r="H64" s="30"/>
    </row>
    <row r="65" spans="3:13">
      <c r="H65" s="34"/>
    </row>
    <row r="66" spans="3:13">
      <c r="H66" s="64" t="s">
        <v>138</v>
      </c>
      <c r="I66" s="64"/>
    </row>
    <row r="67" spans="3:13">
      <c r="C67" t="s">
        <v>139</v>
      </c>
      <c r="D67" t="s">
        <v>140</v>
      </c>
      <c r="F67" s="57">
        <v>3.7499999999999999E-2</v>
      </c>
      <c r="H67" s="29">
        <f>+F67*F34</f>
        <v>338513.19225000002</v>
      </c>
      <c r="I67" s="29">
        <f>+H67</f>
        <v>338513.19225000002</v>
      </c>
    </row>
    <row r="68" spans="3:13">
      <c r="D68" t="s">
        <v>141</v>
      </c>
      <c r="F68" s="57">
        <v>7.2190000000000004E-2</v>
      </c>
      <c r="H68" s="29">
        <f>+F34*F68</f>
        <v>651660.46262740006</v>
      </c>
      <c r="I68" s="29">
        <f>+H68</f>
        <v>651660.46262740006</v>
      </c>
    </row>
    <row r="69" spans="3:13">
      <c r="D69" t="s">
        <v>154</v>
      </c>
      <c r="F69" s="57">
        <v>6.6669999999999993E-2</v>
      </c>
      <c r="H69" s="29">
        <f>+F34*F69</f>
        <v>601831.32072820002</v>
      </c>
      <c r="I69" s="29">
        <f>+H69/2</f>
        <v>300915.66036410001</v>
      </c>
    </row>
    <row r="70" spans="3:13">
      <c r="H70" s="29"/>
      <c r="I70" s="29">
        <f>+I67+I68+I69</f>
        <v>1291089.3152415</v>
      </c>
    </row>
    <row r="71" spans="3:13">
      <c r="H71" s="29"/>
      <c r="I71" s="29"/>
      <c r="J71" s="29"/>
      <c r="K71" s="29"/>
      <c r="L71" s="29"/>
      <c r="M71" s="29"/>
    </row>
    <row r="72" spans="3:13">
      <c r="H72" s="29"/>
      <c r="I72" s="29"/>
      <c r="J72" s="29"/>
      <c r="K72" s="29"/>
      <c r="L72" s="29"/>
      <c r="M72" s="29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230426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FC79286DBF81428EC8F10F755CFC39" ma:contentTypeVersion="24" ma:contentTypeDescription="" ma:contentTypeScope="" ma:versionID="03f6e181161da13e7c46ade068762f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CEF77-02C5-4A2F-A095-84407D5500AE}"/>
</file>

<file path=customXml/itemProps2.xml><?xml version="1.0" encoding="utf-8"?>
<ds:datastoreItem xmlns:ds="http://schemas.openxmlformats.org/officeDocument/2006/customXml" ds:itemID="{252BEBAA-C9EA-407D-BD70-0AF44007F85B}"/>
</file>

<file path=customXml/itemProps3.xml><?xml version="1.0" encoding="utf-8"?>
<ds:datastoreItem xmlns:ds="http://schemas.openxmlformats.org/officeDocument/2006/customXml" ds:itemID="{5BE20BA8-45FE-492C-AC2E-7BAA9FA3BA49}"/>
</file>

<file path=customXml/itemProps4.xml><?xml version="1.0" encoding="utf-8"?>
<ds:datastoreItem xmlns:ds="http://schemas.openxmlformats.org/officeDocument/2006/customXml" ds:itemID="{EF7D79EA-C6BD-4C1A-A066-0DD09E3F7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michael.parvinen</dc:creator>
  <cp:keywords/>
  <dc:description/>
  <cp:lastModifiedBy>Betterbed, Jacob</cp:lastModifiedBy>
  <cp:revision/>
  <dcterms:created xsi:type="dcterms:W3CDTF">2013-05-14T16:54:39Z</dcterms:created>
  <dcterms:modified xsi:type="dcterms:W3CDTF">2023-09-28T23:47:55Z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0x0101006E56B4D1795A2E4DB2F0B01679ED314A0006FC79286DBF81428EC8F10F755CFC39</vt:lpwstr>
  </property>
  <property fmtid="{D5CDD505-2E9C-101B-9397-08002B2CF9AE}" pid="3" name="_docset_NoMedatataSyncRequired">
    <vt:lpwstr>False</vt:lpwstr>
  </property>
</Properties>
</file>