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ustomProperty25.bin" ContentType="application/vnd.openxmlformats-officedocument.spreadsheetml.customProperty"/>
  <Override PartName="/xl/calcChain.xml" ContentType="application/vnd.openxmlformats-officedocument.spreadsheetml.calcChain+xml"/>
  <Override PartName="/xl/customProperty23.bin" ContentType="application/vnd.openxmlformats-officedocument.spreadsheetml.customProperty"/>
  <Override PartName="/xl/customProperty24.bin" ContentType="application/vnd.openxmlformats-officedocument.spreadsheetml.customProperty"/>
  <Override PartName="/docProps/core.xml" ContentType="application/vnd.openxmlformats-package.core-properties+xml"/>
  <Override PartName="/xl/customProperty1.bin" ContentType="application/vnd.openxmlformats-officedocument.spreadsheetml.customProperty"/>
  <Override PartName="/docProps/app.xml" ContentType="application/vnd.openxmlformats-officedocument.extended-properties+xml"/>
  <Override PartName="/customXml/itemProps1.xml" ContentType="application/vnd.openxmlformats-officedocument.customXmlProperties+xml"/>
  <Override PartName="/xl/customProperty22.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6.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17.bin" ContentType="application/vnd.openxmlformats-officedocument.spreadsheetml.customProperty"/>
  <Override PartName="/xl/customProperty16.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2.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ariffs\1. Open Advices\2022-15 Natural Gas Schedule 149 - CRM (UG-220590) (Eff 11-01-22)\Workpapers\"/>
    </mc:Choice>
  </mc:AlternateContent>
  <bookViews>
    <workbookView xWindow="0" yWindow="0" windowWidth="19200" windowHeight="6180" tabRatio="914" activeTab="3"/>
  </bookViews>
  <sheets>
    <sheet name="CRM Rates" sheetId="113" r:id="rId1"/>
    <sheet name="Summary - Revenue Requirement" sheetId="256" r:id="rId2"/>
    <sheet name="Rate Impacts--&gt;" sheetId="56" r:id="rId3"/>
    <sheet name="Rate Impacts Sch 149" sheetId="272" r:id="rId4"/>
    <sheet name="Typical Res Bill Sch 149" sheetId="273" r:id="rId5"/>
    <sheet name="Sch. 149" sheetId="274" r:id="rId6"/>
    <sheet name="Work Papers--&gt;" sheetId="27" r:id="rId7"/>
    <sheet name="CRM 2022 Rev Req Alloc" sheetId="215" r:id="rId8"/>
    <sheet name="CRM 2021 Rev Req Alloc TrueUp" sheetId="84" r:id="rId9"/>
    <sheet name="CRM 2021 Rev Req Alloc (YEAR 2)" sheetId="216" r:id="rId10"/>
    <sheet name="CRM 2020 Rev Req Alloc (YEAR 3)" sheetId="38" r:id="rId11"/>
    <sheet name="CRM 2019 Rev Req Alloc (YEAR 4)" sheetId="252" r:id="rId12"/>
    <sheet name="Allocation Factors" sheetId="24" r:id="rId13"/>
    <sheet name="Forecasted Volume" sheetId="25" r:id="rId14"/>
    <sheet name="RR workpapers--&gt;" sheetId="220" r:id="rId15"/>
    <sheet name="2022 CAP CRM" sheetId="257" r:id="rId16"/>
    <sheet name="2022 C&amp;OM" sheetId="258" r:id="rId17"/>
    <sheet name="2021TrueUp" sheetId="261" r:id="rId18"/>
    <sheet name="Summary 2021" sheetId="259" r:id="rId19"/>
    <sheet name="2021 + true up CAP" sheetId="260" r:id="rId20"/>
    <sheet name="2021 CRM" sheetId="262" r:id="rId21"/>
    <sheet name="2020 CRM" sheetId="263" r:id="rId22"/>
    <sheet name="Summary 2020 (from 2020 filing)" sheetId="224" r:id="rId23"/>
    <sheet name="2019 CRM" sheetId="264" r:id="rId24"/>
    <sheet name="CRM CAP Forecast(from2019filin)" sheetId="265" r:id="rId25"/>
    <sheet name="2017 4.01 G" sheetId="266" r:id="rId26"/>
    <sheet name="2019 GRC" sheetId="267" r:id="rId27"/>
    <sheet name="MACRS 20" sheetId="268" r:id="rId28"/>
  </sheets>
  <definedNames>
    <definedName name="ee" localSheetId="11" hidden="1">{#N/A,#N/A,FALSE,"Month ";#N/A,#N/A,FALSE,"YTD";#N/A,#N/A,FALSE,"12 mo ended"}</definedName>
    <definedName name="ee" localSheetId="4" hidden="1">{#N/A,#N/A,FALSE,"Month ";#N/A,#N/A,FALSE,"YTD";#N/A,#N/A,FALSE,"12 mo ended"}</definedName>
    <definedName name="ee" hidden="1">{#N/A,#N/A,FALSE,"Month ";#N/A,#N/A,FALSE,"YTD";#N/A,#N/A,FALSE,"12 mo ended"}</definedName>
    <definedName name="fdasfda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1" hidden="1">{#N/A,#N/A,FALSE,"Month ";#N/A,#N/A,FALSE,"YTD";#N/A,#N/A,FALSE,"12 mo ended"}</definedName>
    <definedName name="fdsafdasfdsa" localSheetId="4" hidden="1">{#N/A,#N/A,FALSE,"Month ";#N/A,#N/A,FALSE,"YTD";#N/A,#N/A,FALSE,"12 mo ended"}</definedName>
    <definedName name="fdsafdasfdsa" hidden="1">{#N/A,#N/A,FALSE,"Month ";#N/A,#N/A,FALSE,"YTD";#N/A,#N/A,FALSE,"12 mo ended"}</definedName>
    <definedName name="k"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p" localSheetId="11"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25">'2017 4.01 G'!$B$1:$F$21</definedName>
    <definedName name="_xlnm.Print_Area" localSheetId="21">'2020 CRM'!$A$1:$AU$66</definedName>
    <definedName name="_xlnm.Print_Area" localSheetId="20">'2021 CRM'!$A$1:$AT$66</definedName>
    <definedName name="_xlnm.Print_Area" localSheetId="12">'Allocation Factors'!$B$1:$K$35</definedName>
    <definedName name="_xlnm.Print_Area" localSheetId="11">'CRM 2019 Rev Req Alloc (YEAR 4)'!$B$1:$L$23</definedName>
    <definedName name="_xlnm.Print_Area" localSheetId="10">'CRM 2020 Rev Req Alloc (YEAR 3)'!$B$1:$L$23</definedName>
    <definedName name="_xlnm.Print_Area" localSheetId="9">'CRM 2021 Rev Req Alloc (YEAR 2)'!$B$1:$L$23</definedName>
    <definedName name="_xlnm.Print_Area" localSheetId="8">'CRM 2021 Rev Req Alloc TrueUp'!$B$1:$L$30</definedName>
    <definedName name="_xlnm.Print_Area" localSheetId="7">'CRM 2022 Rev Req Alloc'!$B$1:$L$30</definedName>
    <definedName name="_xlnm.Print_Area" localSheetId="0">'CRM Rates'!$A$1:$K$23</definedName>
    <definedName name="_xlnm.Print_Area" localSheetId="3">'Rate Impacts Sch 149'!$B$1:$T$37</definedName>
    <definedName name="_xlnm.Print_Area" localSheetId="5">'Sch. 149'!$A$1:$I$22</definedName>
    <definedName name="_xlnm.Print_Area" localSheetId="4">'Typical Res Bill Sch 149'!$B$1:$H$38</definedName>
    <definedName name="we" localSheetId="11" hidden="1">{#N/A,#N/A,FALSE,"Pg 6b CustCount_Gas";#N/A,#N/A,FALSE,"QA";#N/A,#N/A,FALSE,"Report";#N/A,#N/A,FALSE,"forecast"}</definedName>
    <definedName name="we" localSheetId="4" hidden="1">{#N/A,#N/A,FALSE,"Pg 6b CustCount_Gas";#N/A,#N/A,FALSE,"QA";#N/A,#N/A,FALSE,"Report";#N/A,#N/A,FALSE,"forecast"}</definedName>
    <definedName name="we" hidden="1">{#N/A,#N/A,FALSE,"Pg 6b CustCount_Gas";#N/A,#N/A,FALSE,"QA";#N/A,#N/A,FALSE,"Report";#N/A,#N/A,FALSE,"forecast"}</definedName>
    <definedName name="wrn.Customer._.Counts._.Electric." localSheetId="1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1" hidden="1">{#N/A,#N/A,FALSE,"Pg 6b CustCount_Gas";#N/A,#N/A,FALSE,"QA";#N/A,#N/A,FALSE,"Report";#N/A,#N/A,FALSE,"forecast"}</definedName>
    <definedName name="wrn.Customer._.Counts._.Gas." localSheetId="4" hidden="1">{#N/A,#N/A,FALSE,"Pg 6b CustCount_Gas";#N/A,#N/A,FALSE,"QA";#N/A,#N/A,FALSE,"Report";#N/A,#N/A,FALSE,"forecast"}</definedName>
    <definedName name="wrn.Customer._.Counts._.Gas." hidden="1">{#N/A,#N/A,FALSE,"Pg 6b CustCount_Gas";#N/A,#N/A,FALSE,"QA";#N/A,#N/A,FALSE,"Report";#N/A,#N/A,FALSE,"forecast"}</definedName>
    <definedName name="wrn.Incentive._.Overhead." localSheetId="11" hidden="1">{#N/A,#N/A,FALSE,"Coversheet";#N/A,#N/A,FALSE,"QA"}</definedName>
    <definedName name="wrn.Incentive._.Overhead." localSheetId="4" hidden="1">{#N/A,#N/A,FALSE,"Coversheet";#N/A,#N/A,FALSE,"QA"}</definedName>
    <definedName name="wrn.Incentive._.Overhead." hidden="1">{#N/A,#N/A,FALSE,"Coversheet";#N/A,#N/A,FALSE,"QA"}</definedName>
    <definedName name="wrn.MARGIN_WO_QTR." localSheetId="11" hidden="1">{#N/A,#N/A,FALSE,"Month ";#N/A,#N/A,FALSE,"YTD";#N/A,#N/A,FALSE,"12 mo ended"}</definedName>
    <definedName name="wrn.MARGIN_WO_QTR." localSheetId="4" hidden="1">{#N/A,#N/A,FALSE,"Month ";#N/A,#N/A,FALSE,"YTD";#N/A,#N/A,FALSE,"12 mo ended"}</definedName>
    <definedName name="wrn.MARGIN_WO_QTR." hidden="1">{#N/A,#N/A,FALSE,"Month ";#N/A,#N/A,FALSE,"YTD";#N/A,#N/A,FALSE,"12 mo ended"}</definedName>
    <definedName name="wrn.Municipal._.Report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y" localSheetId="11"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62913"/>
</workbook>
</file>

<file path=xl/calcChain.xml><?xml version="1.0" encoding="utf-8"?>
<calcChain xmlns="http://schemas.openxmlformats.org/spreadsheetml/2006/main">
  <c r="C22" i="274" l="1"/>
  <c r="G21" i="274"/>
  <c r="H21" i="274" s="1"/>
  <c r="F21" i="274"/>
  <c r="H20" i="274"/>
  <c r="I20" i="274" s="1"/>
  <c r="G20" i="274"/>
  <c r="F20" i="274"/>
  <c r="I19" i="274"/>
  <c r="H19" i="274"/>
  <c r="G19" i="274"/>
  <c r="F19" i="274"/>
  <c r="G18" i="274"/>
  <c r="H18" i="274" s="1"/>
  <c r="F18" i="274"/>
  <c r="G17" i="274"/>
  <c r="H17" i="274" s="1"/>
  <c r="F17" i="274"/>
  <c r="H16" i="274"/>
  <c r="I16" i="274" s="1"/>
  <c r="G16" i="274"/>
  <c r="F16" i="274"/>
  <c r="I15" i="274"/>
  <c r="H15" i="274"/>
  <c r="G15" i="274"/>
  <c r="F15" i="274"/>
  <c r="I14" i="274"/>
  <c r="H14" i="274"/>
  <c r="G14" i="274"/>
  <c r="F14" i="274"/>
  <c r="G13" i="274"/>
  <c r="H13" i="274" s="1"/>
  <c r="F13" i="274"/>
  <c r="H12" i="274"/>
  <c r="I12" i="274" s="1"/>
  <c r="G12" i="274"/>
  <c r="F12" i="274"/>
  <c r="I11" i="274"/>
  <c r="H11" i="274"/>
  <c r="G11" i="274"/>
  <c r="F11" i="274"/>
  <c r="I10" i="274"/>
  <c r="H10" i="274"/>
  <c r="G10" i="274"/>
  <c r="F10" i="274"/>
  <c r="G9" i="274"/>
  <c r="G22" i="274" s="1"/>
  <c r="F9" i="274"/>
  <c r="F22" i="274" s="1"/>
  <c r="G29" i="273"/>
  <c r="H29" i="273" s="1"/>
  <c r="E29" i="273"/>
  <c r="D29" i="273"/>
  <c r="G28" i="273"/>
  <c r="G27" i="273"/>
  <c r="G25" i="273"/>
  <c r="H25" i="273" s="1"/>
  <c r="E25" i="273"/>
  <c r="D23" i="273"/>
  <c r="E23" i="273" s="1"/>
  <c r="E30" i="273" s="1"/>
  <c r="G22" i="273"/>
  <c r="D22" i="273"/>
  <c r="G21" i="273"/>
  <c r="G20" i="273"/>
  <c r="G19" i="273"/>
  <c r="G18" i="273"/>
  <c r="G17" i="273"/>
  <c r="G23" i="273" s="1"/>
  <c r="G16" i="273"/>
  <c r="G13" i="273"/>
  <c r="E13" i="273"/>
  <c r="E32" i="273" s="1"/>
  <c r="D13" i="273"/>
  <c r="H12" i="273"/>
  <c r="H13" i="273" s="1"/>
  <c r="G12" i="273"/>
  <c r="E12" i="273"/>
  <c r="B4" i="273"/>
  <c r="B2" i="273"/>
  <c r="K34" i="272"/>
  <c r="J34" i="272"/>
  <c r="P33" i="272"/>
  <c r="O33" i="272"/>
  <c r="N33" i="272"/>
  <c r="M33" i="272"/>
  <c r="L33" i="272"/>
  <c r="K33" i="272"/>
  <c r="J33" i="272"/>
  <c r="I33" i="272"/>
  <c r="G33" i="272"/>
  <c r="E33" i="272"/>
  <c r="F33" i="272" s="1"/>
  <c r="D33" i="272"/>
  <c r="Q32" i="272"/>
  <c r="P32" i="272"/>
  <c r="O32" i="272"/>
  <c r="N32" i="272"/>
  <c r="M32" i="272"/>
  <c r="L32" i="272"/>
  <c r="L34" i="272" s="1"/>
  <c r="K32" i="272"/>
  <c r="J32" i="272"/>
  <c r="I32" i="272"/>
  <c r="G32" i="272"/>
  <c r="E32" i="272"/>
  <c r="F32" i="272" s="1"/>
  <c r="D32" i="272"/>
  <c r="D34" i="272" s="1"/>
  <c r="Q31" i="272"/>
  <c r="P31" i="272"/>
  <c r="O31" i="272"/>
  <c r="N31" i="272"/>
  <c r="M31" i="272"/>
  <c r="L31" i="272"/>
  <c r="K31" i="272"/>
  <c r="J31" i="272"/>
  <c r="I31" i="272"/>
  <c r="G31" i="272"/>
  <c r="E31" i="272"/>
  <c r="F31" i="272" s="1"/>
  <c r="D31" i="272"/>
  <c r="P30" i="272"/>
  <c r="O30" i="272"/>
  <c r="N30" i="272"/>
  <c r="M30" i="272"/>
  <c r="L30" i="272"/>
  <c r="K30" i="272"/>
  <c r="J30" i="272"/>
  <c r="I30" i="272"/>
  <c r="G30" i="272"/>
  <c r="F30" i="272"/>
  <c r="E30" i="272"/>
  <c r="D30" i="272"/>
  <c r="P29" i="272"/>
  <c r="O29" i="272"/>
  <c r="N29" i="272"/>
  <c r="M29" i="272"/>
  <c r="L29" i="272"/>
  <c r="K29" i="272"/>
  <c r="J29" i="272"/>
  <c r="I29" i="272"/>
  <c r="G29" i="272"/>
  <c r="E29" i="272"/>
  <c r="F29" i="272" s="1"/>
  <c r="D29" i="272"/>
  <c r="Q28" i="272"/>
  <c r="P28" i="272"/>
  <c r="O28" i="272"/>
  <c r="N28" i="272"/>
  <c r="M28" i="272"/>
  <c r="L28" i="272"/>
  <c r="K28" i="272"/>
  <c r="J28" i="272"/>
  <c r="I28" i="272"/>
  <c r="G28" i="272"/>
  <c r="E28" i="272"/>
  <c r="F28" i="272" s="1"/>
  <c r="D28" i="272"/>
  <c r="Q27" i="272"/>
  <c r="P27" i="272"/>
  <c r="P34" i="272" s="1"/>
  <c r="O27" i="272"/>
  <c r="O34" i="272" s="1"/>
  <c r="N27" i="272"/>
  <c r="N34" i="272" s="1"/>
  <c r="M27" i="272"/>
  <c r="M34" i="272" s="1"/>
  <c r="L27" i="272"/>
  <c r="K27" i="272"/>
  <c r="J27" i="272"/>
  <c r="I27" i="272"/>
  <c r="I34" i="272" s="1"/>
  <c r="G27" i="272"/>
  <c r="G34" i="272" s="1"/>
  <c r="E27" i="272"/>
  <c r="F27" i="272" s="1"/>
  <c r="D27" i="272"/>
  <c r="P24" i="272"/>
  <c r="O24" i="272"/>
  <c r="N24" i="272"/>
  <c r="M24" i="272"/>
  <c r="L24" i="272"/>
  <c r="K24" i="272"/>
  <c r="J24" i="272"/>
  <c r="I24" i="272"/>
  <c r="G24" i="272"/>
  <c r="E24" i="272"/>
  <c r="F24" i="272" s="1"/>
  <c r="D24" i="272"/>
  <c r="Q23" i="272"/>
  <c r="Q33" i="272" s="1"/>
  <c r="F23" i="272"/>
  <c r="H23" i="272" s="1"/>
  <c r="S22" i="272"/>
  <c r="T22" i="272" s="1"/>
  <c r="R22" i="272"/>
  <c r="Q22" i="272"/>
  <c r="H22" i="272"/>
  <c r="F22" i="272"/>
  <c r="T21" i="272"/>
  <c r="S21" i="272"/>
  <c r="R21" i="272"/>
  <c r="Q21" i="272"/>
  <c r="H21" i="272"/>
  <c r="F21" i="272"/>
  <c r="Q20" i="272"/>
  <c r="F20" i="272"/>
  <c r="H20" i="272" s="1"/>
  <c r="Q19" i="272"/>
  <c r="Q29" i="272" s="1"/>
  <c r="F19" i="272"/>
  <c r="H19" i="272" s="1"/>
  <c r="S18" i="272"/>
  <c r="Q18" i="272"/>
  <c r="H18" i="272"/>
  <c r="R18" i="272" s="1"/>
  <c r="F18" i="272"/>
  <c r="S17" i="272"/>
  <c r="S32" i="272" s="1"/>
  <c r="Q17" i="272"/>
  <c r="H17" i="272"/>
  <c r="R17" i="272" s="1"/>
  <c r="R32" i="272" s="1"/>
  <c r="F17" i="272"/>
  <c r="S16" i="272"/>
  <c r="S31" i="272" s="1"/>
  <c r="Q16" i="272"/>
  <c r="F16" i="272"/>
  <c r="H16" i="272" s="1"/>
  <c r="R15" i="272"/>
  <c r="Q15" i="272"/>
  <c r="Q30" i="272" s="1"/>
  <c r="H15" i="272"/>
  <c r="F15" i="272"/>
  <c r="T14" i="272"/>
  <c r="S14" i="272"/>
  <c r="R14" i="272"/>
  <c r="Q14" i="272"/>
  <c r="H14" i="272"/>
  <c r="F14" i="272"/>
  <c r="S13" i="272"/>
  <c r="Q13" i="272"/>
  <c r="F13" i="272"/>
  <c r="H13" i="272" s="1"/>
  <c r="S12" i="272"/>
  <c r="Q12" i="272"/>
  <c r="H12" i="272"/>
  <c r="R12" i="272" s="1"/>
  <c r="T12" i="272" s="1"/>
  <c r="F12" i="272"/>
  <c r="Q11" i="272"/>
  <c r="Q24" i="272" s="1"/>
  <c r="F11" i="272"/>
  <c r="H11" i="272" s="1"/>
  <c r="H29" i="272" l="1"/>
  <c r="R19" i="272"/>
  <c r="H27" i="272"/>
  <c r="H24" i="272"/>
  <c r="R11" i="272"/>
  <c r="T32" i="272"/>
  <c r="Q34" i="272"/>
  <c r="R16" i="272"/>
  <c r="R31" i="272" s="1"/>
  <c r="T31" i="272" s="1"/>
  <c r="H31" i="272"/>
  <c r="S19" i="272"/>
  <c r="T19" i="272" s="1"/>
  <c r="I17" i="274"/>
  <c r="I18" i="274"/>
  <c r="S20" i="272"/>
  <c r="S29" i="272"/>
  <c r="T29" i="272" s="1"/>
  <c r="H23" i="273"/>
  <c r="H30" i="273" s="1"/>
  <c r="H32" i="273" s="1"/>
  <c r="H33" i="273" s="1"/>
  <c r="H34" i="273" s="1"/>
  <c r="G30" i="273"/>
  <c r="G36" i="273"/>
  <c r="H30" i="272"/>
  <c r="R20" i="272"/>
  <c r="H28" i="272"/>
  <c r="R13" i="272"/>
  <c r="R29" i="272"/>
  <c r="R30" i="272"/>
  <c r="T18" i="272"/>
  <c r="R23" i="272"/>
  <c r="R33" i="272" s="1"/>
  <c r="H33" i="272"/>
  <c r="S15" i="272"/>
  <c r="I13" i="274"/>
  <c r="S23" i="272"/>
  <c r="I21" i="274"/>
  <c r="H9" i="274"/>
  <c r="S28" i="272"/>
  <c r="E34" i="272"/>
  <c r="F34" i="272" s="1"/>
  <c r="D30" i="273"/>
  <c r="D36" i="273"/>
  <c r="T17" i="272"/>
  <c r="H32" i="272"/>
  <c r="M17" i="113"/>
  <c r="E15" i="252"/>
  <c r="E14" i="252"/>
  <c r="E10" i="252"/>
  <c r="E9" i="252"/>
  <c r="E15" i="38"/>
  <c r="E14" i="38"/>
  <c r="E10" i="38"/>
  <c r="E9" i="38"/>
  <c r="E15" i="216"/>
  <c r="E14" i="216"/>
  <c r="E10" i="216"/>
  <c r="E9" i="216"/>
  <c r="E23" i="84"/>
  <c r="D23" i="84"/>
  <c r="E22" i="84"/>
  <c r="D22" i="84"/>
  <c r="E21" i="84"/>
  <c r="D21" i="84"/>
  <c r="E20" i="84"/>
  <c r="D20" i="84"/>
  <c r="E19" i="84"/>
  <c r="D19" i="84"/>
  <c r="E15" i="84"/>
  <c r="E14" i="84"/>
  <c r="E10" i="84"/>
  <c r="E9" i="84"/>
  <c r="O16" i="259"/>
  <c r="N16" i="259"/>
  <c r="O15" i="259"/>
  <c r="O17" i="259" s="1"/>
  <c r="N15" i="259"/>
  <c r="O14" i="259"/>
  <c r="O24" i="215"/>
  <c r="E23" i="215"/>
  <c r="E22" i="215"/>
  <c r="E21" i="215"/>
  <c r="E20" i="215"/>
  <c r="E19" i="215"/>
  <c r="D23" i="215"/>
  <c r="D22" i="215"/>
  <c r="D21" i="215"/>
  <c r="D20" i="215"/>
  <c r="D19" i="215"/>
  <c r="E15" i="215"/>
  <c r="E14" i="215"/>
  <c r="E10" i="215"/>
  <c r="E9" i="215"/>
  <c r="C10" i="224"/>
  <c r="E20" i="252"/>
  <c r="E20" i="38"/>
  <c r="E20" i="216"/>
  <c r="E27" i="84"/>
  <c r="E27" i="215"/>
  <c r="V7" i="268"/>
  <c r="U7" i="268"/>
  <c r="T7" i="268"/>
  <c r="S7" i="268"/>
  <c r="R7" i="268"/>
  <c r="Q7" i="268"/>
  <c r="P7" i="268"/>
  <c r="O7" i="268"/>
  <c r="N7" i="268"/>
  <c r="M7" i="268"/>
  <c r="L7" i="268"/>
  <c r="K7" i="268"/>
  <c r="J7" i="268"/>
  <c r="I7" i="268"/>
  <c r="H7" i="268"/>
  <c r="G7" i="268"/>
  <c r="F7" i="268"/>
  <c r="E7" i="268"/>
  <c r="D7" i="268"/>
  <c r="C7" i="268"/>
  <c r="B7" i="268"/>
  <c r="W7" i="268" s="1"/>
  <c r="V6" i="268"/>
  <c r="Y66" i="264" s="1"/>
  <c r="U6" i="268"/>
  <c r="X66" i="264" s="1"/>
  <c r="T6" i="268"/>
  <c r="S6" i="268"/>
  <c r="R6" i="268"/>
  <c r="Q6" i="268"/>
  <c r="P6" i="268"/>
  <c r="S66" i="264" s="1"/>
  <c r="O6" i="268"/>
  <c r="R66" i="264" s="1"/>
  <c r="N6" i="268"/>
  <c r="Q66" i="264" s="1"/>
  <c r="M6" i="268"/>
  <c r="P66" i="264" s="1"/>
  <c r="L6" i="268"/>
  <c r="K6" i="268"/>
  <c r="J6" i="268"/>
  <c r="I6" i="268"/>
  <c r="H6" i="268"/>
  <c r="K66" i="264" s="1"/>
  <c r="G6" i="268"/>
  <c r="J66" i="264" s="1"/>
  <c r="F6" i="268"/>
  <c r="I66" i="264" s="1"/>
  <c r="E6" i="268"/>
  <c r="H66" i="264" s="1"/>
  <c r="D6" i="268"/>
  <c r="C6" i="268"/>
  <c r="B6" i="268"/>
  <c r="W5" i="268"/>
  <c r="G18" i="267"/>
  <c r="G14" i="267"/>
  <c r="F14" i="267"/>
  <c r="F15" i="267" s="1"/>
  <c r="F16" i="267" s="1"/>
  <c r="F17" i="267" s="1"/>
  <c r="F18" i="267" s="1"/>
  <c r="F13" i="267"/>
  <c r="B87" i="265"/>
  <c r="B86" i="265"/>
  <c r="E81" i="265"/>
  <c r="D78" i="265"/>
  <c r="C78" i="265"/>
  <c r="E77" i="265"/>
  <c r="E76" i="265"/>
  <c r="E75" i="265"/>
  <c r="E78" i="265" s="1"/>
  <c r="B65" i="265"/>
  <c r="B64" i="265"/>
  <c r="B57" i="265"/>
  <c r="B56" i="265"/>
  <c r="D47" i="265"/>
  <c r="C47" i="265"/>
  <c r="E46" i="265"/>
  <c r="E50" i="265" s="1"/>
  <c r="E45" i="265"/>
  <c r="E44" i="265"/>
  <c r="E49" i="265" s="1"/>
  <c r="B36" i="265"/>
  <c r="B35" i="265"/>
  <c r="B20" i="265"/>
  <c r="B19" i="265"/>
  <c r="D10" i="265"/>
  <c r="C10" i="265"/>
  <c r="E9" i="265"/>
  <c r="E13" i="265" s="1"/>
  <c r="E8" i="265"/>
  <c r="E7" i="265"/>
  <c r="E12" i="265" s="1"/>
  <c r="W66" i="264"/>
  <c r="V66" i="264"/>
  <c r="U66" i="264"/>
  <c r="T66" i="264"/>
  <c r="O66" i="264"/>
  <c r="N66" i="264"/>
  <c r="M66" i="264"/>
  <c r="L66" i="264"/>
  <c r="G66" i="264"/>
  <c r="F66" i="264"/>
  <c r="E66" i="264"/>
  <c r="Y65" i="264"/>
  <c r="X65" i="264"/>
  <c r="W65" i="264"/>
  <c r="V65" i="264"/>
  <c r="U65" i="264"/>
  <c r="T65" i="264"/>
  <c r="S65" i="264"/>
  <c r="R65" i="264"/>
  <c r="Q65" i="264"/>
  <c r="P65" i="264"/>
  <c r="O65" i="264"/>
  <c r="N65" i="264"/>
  <c r="M65" i="264"/>
  <c r="L65" i="264"/>
  <c r="K65" i="264"/>
  <c r="J65" i="264"/>
  <c r="I65" i="264"/>
  <c r="H65" i="264"/>
  <c r="G65" i="264"/>
  <c r="F65" i="264"/>
  <c r="E65" i="264"/>
  <c r="Y62" i="264"/>
  <c r="Y58" i="264" s="1"/>
  <c r="X62" i="264"/>
  <c r="W62" i="264"/>
  <c r="V62" i="264"/>
  <c r="V58" i="264" s="1"/>
  <c r="U62" i="264"/>
  <c r="T62" i="264"/>
  <c r="S62" i="264"/>
  <c r="R62" i="264"/>
  <c r="R58" i="264" s="1"/>
  <c r="Q62" i="264"/>
  <c r="Q58" i="264" s="1"/>
  <c r="P62" i="264"/>
  <c r="O62" i="264"/>
  <c r="N62" i="264"/>
  <c r="N58" i="264" s="1"/>
  <c r="M62" i="264"/>
  <c r="L62" i="264"/>
  <c r="K62" i="264"/>
  <c r="J62" i="264"/>
  <c r="J58" i="264" s="1"/>
  <c r="I62" i="264"/>
  <c r="I58" i="264" s="1"/>
  <c r="H62" i="264"/>
  <c r="G62" i="264"/>
  <c r="F62" i="264"/>
  <c r="F58" i="264" s="1"/>
  <c r="E62" i="264"/>
  <c r="B62" i="264"/>
  <c r="AT58" i="264"/>
  <c r="AT59" i="264" s="1"/>
  <c r="AT60" i="264" s="1"/>
  <c r="AS58" i="264"/>
  <c r="AR58" i="264"/>
  <c r="AQ58" i="264"/>
  <c r="AP58" i="264"/>
  <c r="AO58" i="264"/>
  <c r="AN58" i="264"/>
  <c r="AM58" i="264"/>
  <c r="AL58" i="264"/>
  <c r="AK58" i="264"/>
  <c r="AJ58" i="264"/>
  <c r="AI58" i="264"/>
  <c r="AH58" i="264"/>
  <c r="AG58" i="264"/>
  <c r="AF58" i="264"/>
  <c r="AE58" i="264"/>
  <c r="AD58" i="264"/>
  <c r="AC58" i="264"/>
  <c r="AB58" i="264"/>
  <c r="AA58" i="264"/>
  <c r="Z58" i="264"/>
  <c r="X58" i="264"/>
  <c r="W58" i="264"/>
  <c r="U58" i="264"/>
  <c r="T58" i="264"/>
  <c r="T59" i="264" s="1"/>
  <c r="T60" i="264" s="1"/>
  <c r="S58" i="264"/>
  <c r="P58" i="264"/>
  <c r="O58" i="264"/>
  <c r="M58" i="264"/>
  <c r="L58" i="264"/>
  <c r="K58" i="264"/>
  <c r="H58" i="264"/>
  <c r="G58" i="264"/>
  <c r="E58" i="264"/>
  <c r="AT57" i="264"/>
  <c r="AU56" i="264"/>
  <c r="AU55" i="264"/>
  <c r="A55" i="264"/>
  <c r="A56" i="264" s="1"/>
  <c r="A57" i="264" s="1"/>
  <c r="A58" i="264" s="1"/>
  <c r="A59" i="264" s="1"/>
  <c r="A60" i="264" s="1"/>
  <c r="A61" i="264" s="1"/>
  <c r="A62" i="264" s="1"/>
  <c r="A63" i="264" s="1"/>
  <c r="A64" i="264" s="1"/>
  <c r="A65" i="264" s="1"/>
  <c r="A66" i="264" s="1"/>
  <c r="AU51" i="264"/>
  <c r="AU50" i="264"/>
  <c r="E47" i="264"/>
  <c r="AU41" i="264"/>
  <c r="A41" i="264"/>
  <c r="A42" i="264" s="1"/>
  <c r="A43" i="264" s="1"/>
  <c r="A44" i="264" s="1"/>
  <c r="A45" i="264" s="1"/>
  <c r="A46" i="264" s="1"/>
  <c r="A47" i="264" s="1"/>
  <c r="A48" i="264" s="1"/>
  <c r="A49" i="264" s="1"/>
  <c r="A50" i="264" s="1"/>
  <c r="A51" i="264" s="1"/>
  <c r="A52" i="264" s="1"/>
  <c r="A53" i="264" s="1"/>
  <c r="A54" i="264" s="1"/>
  <c r="AU40" i="264"/>
  <c r="AU36" i="264"/>
  <c r="A32" i="264"/>
  <c r="A33" i="264" s="1"/>
  <c r="A34" i="264" s="1"/>
  <c r="A35" i="264" s="1"/>
  <c r="A37" i="264" s="1"/>
  <c r="A38" i="264" s="1"/>
  <c r="A39" i="264" s="1"/>
  <c r="A40" i="264" s="1"/>
  <c r="A29" i="264"/>
  <c r="AV27" i="264"/>
  <c r="AS27" i="264"/>
  <c r="AR27" i="264"/>
  <c r="AQ27" i="264"/>
  <c r="AP27" i="264"/>
  <c r="AO27" i="264"/>
  <c r="AO57" i="264" s="1"/>
  <c r="AO59" i="264" s="1"/>
  <c r="AN27" i="264"/>
  <c r="AM27" i="264"/>
  <c r="AL27" i="264"/>
  <c r="AK27" i="264"/>
  <c r="AJ27" i="264"/>
  <c r="AJ57" i="264" s="1"/>
  <c r="AI27" i="264"/>
  <c r="AH27" i="264"/>
  <c r="AG27" i="264"/>
  <c r="AG57" i="264" s="1"/>
  <c r="AG59" i="264" s="1"/>
  <c r="AF27" i="264"/>
  <c r="AE27" i="264"/>
  <c r="AD27" i="264"/>
  <c r="AC27" i="264"/>
  <c r="AB27" i="264"/>
  <c r="AA27" i="264"/>
  <c r="Z27" i="264"/>
  <c r="Y27" i="264"/>
  <c r="Y57" i="264" s="1"/>
  <c r="X27" i="264"/>
  <c r="W27" i="264"/>
  <c r="V27" i="264"/>
  <c r="U27" i="264"/>
  <c r="T27" i="264"/>
  <c r="T57" i="264" s="1"/>
  <c r="S27" i="264"/>
  <c r="R27" i="264"/>
  <c r="Q27" i="264"/>
  <c r="Q57" i="264" s="1"/>
  <c r="P27" i="264"/>
  <c r="O27" i="264"/>
  <c r="N27" i="264"/>
  <c r="M27" i="264"/>
  <c r="L27" i="264"/>
  <c r="K27" i="264"/>
  <c r="J27" i="264"/>
  <c r="I27" i="264"/>
  <c r="I57" i="264" s="1"/>
  <c r="H27" i="264"/>
  <c r="G27" i="264"/>
  <c r="F27" i="264"/>
  <c r="E27" i="264"/>
  <c r="H16" i="264"/>
  <c r="G16" i="264"/>
  <c r="F16" i="264"/>
  <c r="G15" i="264"/>
  <c r="H13" i="264"/>
  <c r="F13" i="264"/>
  <c r="D13" i="264"/>
  <c r="G12" i="264"/>
  <c r="G11" i="264"/>
  <c r="G13" i="264" s="1"/>
  <c r="Y66" i="263"/>
  <c r="X66" i="263"/>
  <c r="W66" i="263"/>
  <c r="V66" i="263"/>
  <c r="U66" i="263"/>
  <c r="T66" i="263"/>
  <c r="S66" i="263"/>
  <c r="R66" i="263"/>
  <c r="Q66" i="263"/>
  <c r="P66" i="263"/>
  <c r="O66" i="263"/>
  <c r="N66" i="263"/>
  <c r="M66" i="263"/>
  <c r="L66" i="263"/>
  <c r="K66" i="263"/>
  <c r="J66" i="263"/>
  <c r="I66" i="263"/>
  <c r="H66" i="263"/>
  <c r="AP66" i="263" s="1"/>
  <c r="G66" i="263"/>
  <c r="F66" i="263"/>
  <c r="E66" i="263"/>
  <c r="Y65" i="263"/>
  <c r="Y62" i="263" s="1"/>
  <c r="Y58" i="263" s="1"/>
  <c r="X65" i="263"/>
  <c r="X62" i="263" s="1"/>
  <c r="X58" i="263" s="1"/>
  <c r="W65" i="263"/>
  <c r="V65" i="263"/>
  <c r="V62" i="263" s="1"/>
  <c r="V58" i="263" s="1"/>
  <c r="U65" i="263"/>
  <c r="T65" i="263"/>
  <c r="S65" i="263"/>
  <c r="R65" i="263"/>
  <c r="R62" i="263" s="1"/>
  <c r="R58" i="263" s="1"/>
  <c r="Q65" i="263"/>
  <c r="Q62" i="263" s="1"/>
  <c r="Q58" i="263" s="1"/>
  <c r="P65" i="263"/>
  <c r="P62" i="263" s="1"/>
  <c r="P58" i="263" s="1"/>
  <c r="O65" i="263"/>
  <c r="N65" i="263"/>
  <c r="N62" i="263" s="1"/>
  <c r="N58" i="263" s="1"/>
  <c r="M65" i="263"/>
  <c r="L65" i="263"/>
  <c r="K65" i="263"/>
  <c r="J65" i="263"/>
  <c r="J62" i="263" s="1"/>
  <c r="J58" i="263" s="1"/>
  <c r="I65" i="263"/>
  <c r="I62" i="263" s="1"/>
  <c r="I58" i="263" s="1"/>
  <c r="H65" i="263"/>
  <c r="H62" i="263" s="1"/>
  <c r="H58" i="263" s="1"/>
  <c r="G65" i="263"/>
  <c r="F65" i="263"/>
  <c r="F62" i="263" s="1"/>
  <c r="F58" i="263" s="1"/>
  <c r="E65" i="263"/>
  <c r="W62" i="263"/>
  <c r="U62" i="263"/>
  <c r="T62" i="263"/>
  <c r="S62" i="263"/>
  <c r="O62" i="263"/>
  <c r="M62" i="263"/>
  <c r="L62" i="263"/>
  <c r="K62" i="263"/>
  <c r="G62" i="263"/>
  <c r="E62" i="263"/>
  <c r="B62" i="263"/>
  <c r="AS58" i="263"/>
  <c r="AS59" i="263" s="1"/>
  <c r="AR58" i="263"/>
  <c r="AQ58" i="263"/>
  <c r="AP58" i="263"/>
  <c r="AO58" i="263"/>
  <c r="AN58" i="263"/>
  <c r="AM58" i="263"/>
  <c r="AL58" i="263"/>
  <c r="AK58" i="263"/>
  <c r="AJ58" i="263"/>
  <c r="AI58" i="263"/>
  <c r="AH58" i="263"/>
  <c r="AG58" i="263"/>
  <c r="AF58" i="263"/>
  <c r="AE58" i="263"/>
  <c r="AD58" i="263"/>
  <c r="AC58" i="263"/>
  <c r="AB58" i="263"/>
  <c r="AA58" i="263"/>
  <c r="Z58" i="263"/>
  <c r="W58" i="263"/>
  <c r="U58" i="263"/>
  <c r="T58" i="263"/>
  <c r="S58" i="263"/>
  <c r="O58" i="263"/>
  <c r="M58" i="263"/>
  <c r="L58" i="263"/>
  <c r="K58" i="263"/>
  <c r="G58" i="263"/>
  <c r="E58" i="263"/>
  <c r="AS57" i="263"/>
  <c r="AU56" i="263"/>
  <c r="AU55" i="263"/>
  <c r="AU51" i="263"/>
  <c r="AU50" i="263"/>
  <c r="AU41" i="263"/>
  <c r="AU40" i="263"/>
  <c r="AU36" i="263"/>
  <c r="A32" i="263"/>
  <c r="A33" i="263" s="1"/>
  <c r="A34" i="263" s="1"/>
  <c r="A35" i="263" s="1"/>
  <c r="A37" i="263" s="1"/>
  <c r="A38" i="263" s="1"/>
  <c r="A39" i="263" s="1"/>
  <c r="A40" i="263" s="1"/>
  <c r="A41" i="263" s="1"/>
  <c r="A42" i="263" s="1"/>
  <c r="A43" i="263" s="1"/>
  <c r="A44" i="263" s="1"/>
  <c r="A45" i="263" s="1"/>
  <c r="A46" i="263" s="1"/>
  <c r="A47" i="263" s="1"/>
  <c r="A48" i="263" s="1"/>
  <c r="A49" i="263" s="1"/>
  <c r="A50" i="263" s="1"/>
  <c r="A51" i="263" s="1"/>
  <c r="A52" i="263" s="1"/>
  <c r="A53" i="263" s="1"/>
  <c r="A54" i="263" s="1"/>
  <c r="A55" i="263" s="1"/>
  <c r="A56" i="263" s="1"/>
  <c r="A57" i="263" s="1"/>
  <c r="A58" i="263" s="1"/>
  <c r="A59" i="263" s="1"/>
  <c r="A60" i="263" s="1"/>
  <c r="A61" i="263" s="1"/>
  <c r="A62" i="263" s="1"/>
  <c r="A63" i="263" s="1"/>
  <c r="A64" i="263" s="1"/>
  <c r="A65" i="263" s="1"/>
  <c r="A66" i="263" s="1"/>
  <c r="E31" i="263"/>
  <c r="A29" i="263"/>
  <c r="AV27" i="263"/>
  <c r="AQ27" i="263"/>
  <c r="AI27" i="263"/>
  <c r="G16" i="263"/>
  <c r="F16" i="263"/>
  <c r="F15" i="263"/>
  <c r="G15" i="263" s="1"/>
  <c r="F13" i="263"/>
  <c r="G12" i="263"/>
  <c r="F12" i="263"/>
  <c r="E12" i="263"/>
  <c r="D12" i="263"/>
  <c r="F11" i="263"/>
  <c r="G11" i="263" s="1"/>
  <c r="G13" i="263" s="1"/>
  <c r="E11" i="263"/>
  <c r="D11" i="263"/>
  <c r="D13" i="263" s="1"/>
  <c r="Y66" i="262"/>
  <c r="X66" i="262"/>
  <c r="W66" i="262"/>
  <c r="V66" i="262"/>
  <c r="U66" i="262"/>
  <c r="T66" i="262"/>
  <c r="S66" i="262"/>
  <c r="R66" i="262"/>
  <c r="Q66" i="262"/>
  <c r="P66" i="262"/>
  <c r="O66" i="262"/>
  <c r="N66" i="262"/>
  <c r="M66" i="262"/>
  <c r="L66" i="262"/>
  <c r="K66" i="262"/>
  <c r="J66" i="262"/>
  <c r="AP66" i="262" s="1"/>
  <c r="I66" i="262"/>
  <c r="H66" i="262"/>
  <c r="G66" i="262"/>
  <c r="F66" i="262"/>
  <c r="E66" i="262"/>
  <c r="Y65" i="262"/>
  <c r="X65" i="262"/>
  <c r="X62" i="262" s="1"/>
  <c r="X58" i="262" s="1"/>
  <c r="W65" i="262"/>
  <c r="V65" i="262"/>
  <c r="U65" i="262"/>
  <c r="T65" i="262"/>
  <c r="S65" i="262"/>
  <c r="R65" i="262"/>
  <c r="Q65" i="262"/>
  <c r="P65" i="262"/>
  <c r="P62" i="262" s="1"/>
  <c r="P58" i="262" s="1"/>
  <c r="O65" i="262"/>
  <c r="N65" i="262"/>
  <c r="M65" i="262"/>
  <c r="L65" i="262"/>
  <c r="K65" i="262"/>
  <c r="J65" i="262"/>
  <c r="I65" i="262"/>
  <c r="H65" i="262"/>
  <c r="H62" i="262" s="1"/>
  <c r="H58" i="262" s="1"/>
  <c r="G65" i="262"/>
  <c r="F65" i="262"/>
  <c r="E65" i="262"/>
  <c r="Y62" i="262"/>
  <c r="W62" i="262"/>
  <c r="V62" i="262"/>
  <c r="U62" i="262"/>
  <c r="T62" i="262"/>
  <c r="S62" i="262"/>
  <c r="R62" i="262"/>
  <c r="Q62" i="262"/>
  <c r="O62" i="262"/>
  <c r="N62" i="262"/>
  <c r="M62" i="262"/>
  <c r="L62" i="262"/>
  <c r="K62" i="262"/>
  <c r="J62" i="262"/>
  <c r="I62" i="262"/>
  <c r="G62" i="262"/>
  <c r="F62" i="262"/>
  <c r="E62" i="262"/>
  <c r="B62" i="262"/>
  <c r="AS58" i="262"/>
  <c r="AS59" i="262" s="1"/>
  <c r="AR58" i="262"/>
  <c r="AQ58" i="262"/>
  <c r="AP58" i="262"/>
  <c r="AO58" i="262"/>
  <c r="AN58" i="262"/>
  <c r="AM58" i="262"/>
  <c r="AL58" i="262"/>
  <c r="AK58" i="262"/>
  <c r="AJ58" i="262"/>
  <c r="AI58" i="262"/>
  <c r="AH58" i="262"/>
  <c r="AG58" i="262"/>
  <c r="AF58" i="262"/>
  <c r="AE58" i="262"/>
  <c r="AD58" i="262"/>
  <c r="AC58" i="262"/>
  <c r="AB58" i="262"/>
  <c r="AA58" i="262"/>
  <c r="Z58" i="262"/>
  <c r="Y58" i="262"/>
  <c r="W58" i="262"/>
  <c r="V58" i="262"/>
  <c r="U58" i="262"/>
  <c r="T58" i="262"/>
  <c r="S58" i="262"/>
  <c r="R58" i="262"/>
  <c r="Q58" i="262"/>
  <c r="O58" i="262"/>
  <c r="N58" i="262"/>
  <c r="M58" i="262"/>
  <c r="L58" i="262"/>
  <c r="K58" i="262"/>
  <c r="J58" i="262"/>
  <c r="I58" i="262"/>
  <c r="G58" i="262"/>
  <c r="F58" i="262"/>
  <c r="E58" i="262"/>
  <c r="AS57" i="262"/>
  <c r="AT56" i="262"/>
  <c r="AT55" i="262"/>
  <c r="AT51" i="262"/>
  <c r="AT50" i="262"/>
  <c r="AT41" i="262"/>
  <c r="AT40" i="262"/>
  <c r="A40" i="262"/>
  <c r="A41" i="262" s="1"/>
  <c r="A42" i="262" s="1"/>
  <c r="A43" i="262" s="1"/>
  <c r="A44" i="262" s="1"/>
  <c r="A45" i="262" s="1"/>
  <c r="A46" i="262" s="1"/>
  <c r="A47" i="262" s="1"/>
  <c r="A48" i="262" s="1"/>
  <c r="A49" i="262" s="1"/>
  <c r="A50" i="262" s="1"/>
  <c r="A51" i="262" s="1"/>
  <c r="A52" i="262" s="1"/>
  <c r="A53" i="262" s="1"/>
  <c r="A54" i="262" s="1"/>
  <c r="A55" i="262" s="1"/>
  <c r="A56" i="262" s="1"/>
  <c r="A57" i="262" s="1"/>
  <c r="A58" i="262" s="1"/>
  <c r="A59" i="262" s="1"/>
  <c r="A60" i="262" s="1"/>
  <c r="A61" i="262" s="1"/>
  <c r="A62" i="262" s="1"/>
  <c r="A63" i="262" s="1"/>
  <c r="A64" i="262" s="1"/>
  <c r="A65" i="262" s="1"/>
  <c r="A66" i="262" s="1"/>
  <c r="AT36" i="262"/>
  <c r="A32" i="262"/>
  <c r="A33" i="262" s="1"/>
  <c r="A34" i="262" s="1"/>
  <c r="A35" i="262" s="1"/>
  <c r="A37" i="262" s="1"/>
  <c r="A38" i="262" s="1"/>
  <c r="A39" i="262" s="1"/>
  <c r="E31" i="262"/>
  <c r="A29" i="262"/>
  <c r="AU27" i="262"/>
  <c r="F16" i="262"/>
  <c r="F15" i="262"/>
  <c r="F12" i="262"/>
  <c r="E12" i="262"/>
  <c r="D12" i="262"/>
  <c r="F11" i="262"/>
  <c r="F13" i="262" s="1"/>
  <c r="E11" i="262"/>
  <c r="D11" i="262"/>
  <c r="D13" i="262" s="1"/>
  <c r="D39" i="261"/>
  <c r="D27" i="261"/>
  <c r="D6" i="261" s="1"/>
  <c r="D24" i="261"/>
  <c r="A23" i="261"/>
  <c r="A24" i="261" s="1"/>
  <c r="A25" i="261" s="1"/>
  <c r="A26" i="261" s="1"/>
  <c r="A27" i="261" s="1"/>
  <c r="A28" i="261" s="1"/>
  <c r="A29" i="261" s="1"/>
  <c r="A30" i="261" s="1"/>
  <c r="A31" i="261" s="1"/>
  <c r="A32" i="261" s="1"/>
  <c r="A33" i="261" s="1"/>
  <c r="A34" i="261" s="1"/>
  <c r="A35" i="261" s="1"/>
  <c r="A36" i="261" s="1"/>
  <c r="A37" i="261" s="1"/>
  <c r="A38" i="261" s="1"/>
  <c r="A39" i="261" s="1"/>
  <c r="A40" i="261" s="1"/>
  <c r="A41" i="261" s="1"/>
  <c r="A42" i="261" s="1"/>
  <c r="A43" i="261" s="1"/>
  <c r="A44" i="261" s="1"/>
  <c r="A45" i="261" s="1"/>
  <c r="A46" i="261" s="1"/>
  <c r="A47" i="261" s="1"/>
  <c r="D20" i="261"/>
  <c r="F17" i="261"/>
  <c r="A17" i="261"/>
  <c r="A18" i="261" s="1"/>
  <c r="A19" i="261" s="1"/>
  <c r="A20" i="261" s="1"/>
  <c r="A22" i="261" s="1"/>
  <c r="A14" i="261"/>
  <c r="E10" i="261"/>
  <c r="F10" i="261" s="1"/>
  <c r="D10" i="261"/>
  <c r="Y66" i="260"/>
  <c r="X66" i="260"/>
  <c r="W66" i="260"/>
  <c r="V66" i="260"/>
  <c r="U66" i="260"/>
  <c r="T66" i="260"/>
  <c r="S66" i="260"/>
  <c r="R66" i="260"/>
  <c r="Q66" i="260"/>
  <c r="P66" i="260"/>
  <c r="O66" i="260"/>
  <c r="N66" i="260"/>
  <c r="M66" i="260"/>
  <c r="L66" i="260"/>
  <c r="K66" i="260"/>
  <c r="J66" i="260"/>
  <c r="I66" i="260"/>
  <c r="H66" i="260"/>
  <c r="G66" i="260"/>
  <c r="F66" i="260"/>
  <c r="E66" i="260"/>
  <c r="E47" i="261" s="1"/>
  <c r="F47" i="261" s="1"/>
  <c r="Y65" i="260"/>
  <c r="X65" i="260"/>
  <c r="W65" i="260"/>
  <c r="V65" i="260"/>
  <c r="U65" i="260"/>
  <c r="U62" i="260" s="1"/>
  <c r="U58" i="260" s="1"/>
  <c r="T65" i="260"/>
  <c r="S65" i="260"/>
  <c r="R65" i="260"/>
  <c r="Q65" i="260"/>
  <c r="P65" i="260"/>
  <c r="O65" i="260"/>
  <c r="N65" i="260"/>
  <c r="M65" i="260"/>
  <c r="M62" i="260" s="1"/>
  <c r="M58" i="260" s="1"/>
  <c r="L65" i="260"/>
  <c r="K65" i="260"/>
  <c r="J65" i="260"/>
  <c r="I65" i="260"/>
  <c r="H65" i="260"/>
  <c r="G65" i="260"/>
  <c r="F65" i="260"/>
  <c r="E65" i="260"/>
  <c r="E62" i="260" s="1"/>
  <c r="E58" i="260" s="1"/>
  <c r="Y62" i="260"/>
  <c r="X62" i="260"/>
  <c r="W62" i="260"/>
  <c r="V62" i="260"/>
  <c r="V58" i="260" s="1"/>
  <c r="T62" i="260"/>
  <c r="S62" i="260"/>
  <c r="R62" i="260"/>
  <c r="Q62" i="260"/>
  <c r="P62" i="260"/>
  <c r="O62" i="260"/>
  <c r="N62" i="260"/>
  <c r="N58" i="260" s="1"/>
  <c r="L62" i="260"/>
  <c r="K62" i="260"/>
  <c r="J62" i="260"/>
  <c r="I62" i="260"/>
  <c r="H62" i="260"/>
  <c r="G62" i="260"/>
  <c r="F62" i="260"/>
  <c r="F58" i="260" s="1"/>
  <c r="B62" i="260"/>
  <c r="AS59" i="260"/>
  <c r="AS58" i="260"/>
  <c r="AR58" i="260"/>
  <c r="AQ58" i="260"/>
  <c r="AP58" i="260"/>
  <c r="AO58" i="260"/>
  <c r="AN58" i="260"/>
  <c r="AM58" i="260"/>
  <c r="AL58" i="260"/>
  <c r="AK58" i="260"/>
  <c r="AJ58" i="260"/>
  <c r="AI58" i="260"/>
  <c r="AH58" i="260"/>
  <c r="AG58" i="260"/>
  <c r="AF58" i="260"/>
  <c r="AE58" i="260"/>
  <c r="AD58" i="260"/>
  <c r="AC58" i="260"/>
  <c r="AB58" i="260"/>
  <c r="AA58" i="260"/>
  <c r="Z58" i="260"/>
  <c r="Y58" i="260"/>
  <c r="X58" i="260"/>
  <c r="W58" i="260"/>
  <c r="T58" i="260"/>
  <c r="S58" i="260"/>
  <c r="R58" i="260"/>
  <c r="Q58" i="260"/>
  <c r="P58" i="260"/>
  <c r="O58" i="260"/>
  <c r="L58" i="260"/>
  <c r="K58" i="260"/>
  <c r="J58" i="260"/>
  <c r="I58" i="260"/>
  <c r="H58" i="260"/>
  <c r="G58" i="260"/>
  <c r="AS57" i="260"/>
  <c r="AU56" i="260"/>
  <c r="AU55" i="260"/>
  <c r="AU51" i="260"/>
  <c r="AU50" i="260"/>
  <c r="AU41" i="260"/>
  <c r="AU40" i="260"/>
  <c r="AU36" i="260"/>
  <c r="A32" i="260"/>
  <c r="A33" i="260" s="1"/>
  <c r="A34" i="260" s="1"/>
  <c r="A35" i="260" s="1"/>
  <c r="A37" i="260" s="1"/>
  <c r="A38" i="260" s="1"/>
  <c r="A39" i="260" s="1"/>
  <c r="A40" i="260" s="1"/>
  <c r="A41" i="260" s="1"/>
  <c r="A42" i="260" s="1"/>
  <c r="A43" i="260" s="1"/>
  <c r="A44" i="260" s="1"/>
  <c r="A45" i="260" s="1"/>
  <c r="A46" i="260" s="1"/>
  <c r="A47" i="260" s="1"/>
  <c r="A48" i="260" s="1"/>
  <c r="A49" i="260" s="1"/>
  <c r="A50" i="260" s="1"/>
  <c r="A51" i="260" s="1"/>
  <c r="A52" i="260" s="1"/>
  <c r="A53" i="260" s="1"/>
  <c r="A54" i="260" s="1"/>
  <c r="A55" i="260" s="1"/>
  <c r="A56" i="260" s="1"/>
  <c r="A57" i="260" s="1"/>
  <c r="A58" i="260" s="1"/>
  <c r="A59" i="260" s="1"/>
  <c r="A60" i="260" s="1"/>
  <c r="A61" i="260" s="1"/>
  <c r="A62" i="260" s="1"/>
  <c r="A63" i="260" s="1"/>
  <c r="A64" i="260" s="1"/>
  <c r="A65" i="260" s="1"/>
  <c r="A66" i="260" s="1"/>
  <c r="E31" i="260"/>
  <c r="A29" i="260"/>
  <c r="AV27" i="260"/>
  <c r="G22" i="260"/>
  <c r="G16" i="260"/>
  <c r="F16" i="260"/>
  <c r="E32" i="261" s="1"/>
  <c r="F15" i="260"/>
  <c r="G15" i="260" s="1"/>
  <c r="F13" i="260"/>
  <c r="G12" i="260"/>
  <c r="F12" i="260"/>
  <c r="E12" i="260"/>
  <c r="D12" i="260"/>
  <c r="F11" i="260"/>
  <c r="G11" i="260" s="1"/>
  <c r="G13" i="260" s="1"/>
  <c r="E11" i="260"/>
  <c r="D11" i="260"/>
  <c r="D13" i="260" s="1"/>
  <c r="H23" i="259"/>
  <c r="I23" i="259" s="1"/>
  <c r="F23" i="259"/>
  <c r="E23" i="259"/>
  <c r="F22" i="259"/>
  <c r="F24" i="259" s="1"/>
  <c r="F25" i="259" s="1"/>
  <c r="E22" i="259"/>
  <c r="H22" i="259" s="1"/>
  <c r="I22" i="259" s="1"/>
  <c r="I17" i="259"/>
  <c r="I19" i="259" s="1"/>
  <c r="H17" i="259"/>
  <c r="F17" i="259"/>
  <c r="E17" i="259"/>
  <c r="D17" i="259"/>
  <c r="K16" i="259"/>
  <c r="F16" i="259"/>
  <c r="J16" i="259" s="1"/>
  <c r="K15" i="259"/>
  <c r="F15" i="259"/>
  <c r="J15" i="259" s="1"/>
  <c r="I9" i="259"/>
  <c r="H9" i="259"/>
  <c r="H19" i="259" s="1"/>
  <c r="E9" i="259"/>
  <c r="E19" i="259" s="1"/>
  <c r="D9" i="259"/>
  <c r="D19" i="259" s="1"/>
  <c r="R8" i="259"/>
  <c r="F8" i="259"/>
  <c r="J8" i="259" s="1"/>
  <c r="R7" i="259"/>
  <c r="F7" i="259"/>
  <c r="J7" i="259" s="1"/>
  <c r="Q6" i="259"/>
  <c r="R6" i="259" s="1"/>
  <c r="J6" i="259"/>
  <c r="F6" i="259"/>
  <c r="F25" i="258"/>
  <c r="F18" i="258"/>
  <c r="F17" i="258"/>
  <c r="F16" i="258"/>
  <c r="F15" i="258"/>
  <c r="E19" i="258"/>
  <c r="F14" i="258"/>
  <c r="E6" i="258"/>
  <c r="D6" i="258"/>
  <c r="G5" i="258"/>
  <c r="F5" i="258"/>
  <c r="G4" i="258"/>
  <c r="F4" i="258"/>
  <c r="Y66" i="257"/>
  <c r="X66" i="257"/>
  <c r="W66" i="257"/>
  <c r="V66" i="257"/>
  <c r="U66" i="257"/>
  <c r="T66" i="257"/>
  <c r="S66" i="257"/>
  <c r="R66" i="257"/>
  <c r="Q66" i="257"/>
  <c r="P66" i="257"/>
  <c r="O66" i="257"/>
  <c r="N66" i="257"/>
  <c r="M66" i="257"/>
  <c r="L66" i="257"/>
  <c r="K66" i="257"/>
  <c r="J66" i="257"/>
  <c r="I66" i="257"/>
  <c r="H66" i="257"/>
  <c r="G66" i="257"/>
  <c r="AP66" i="257" s="1"/>
  <c r="F66" i="257"/>
  <c r="E66" i="257"/>
  <c r="Y65" i="257"/>
  <c r="X65" i="257"/>
  <c r="W65" i="257"/>
  <c r="V65" i="257"/>
  <c r="U65" i="257"/>
  <c r="T65" i="257"/>
  <c r="S65" i="257"/>
  <c r="R65" i="257"/>
  <c r="Q65" i="257"/>
  <c r="P65" i="257"/>
  <c r="O65" i="257"/>
  <c r="N65" i="257"/>
  <c r="M65" i="257"/>
  <c r="L65" i="257"/>
  <c r="K65" i="257"/>
  <c r="J65" i="257"/>
  <c r="I65" i="257"/>
  <c r="H65" i="257"/>
  <c r="G65" i="257"/>
  <c r="F65" i="257"/>
  <c r="E65" i="257"/>
  <c r="Y62" i="257"/>
  <c r="X62" i="257"/>
  <c r="W62" i="257"/>
  <c r="V62" i="257"/>
  <c r="U62" i="257"/>
  <c r="T62" i="257"/>
  <c r="S62" i="257"/>
  <c r="R62" i="257"/>
  <c r="Q62" i="257"/>
  <c r="P62" i="257"/>
  <c r="O62" i="257"/>
  <c r="N62" i="257"/>
  <c r="M62" i="257"/>
  <c r="L62" i="257"/>
  <c r="K62" i="257"/>
  <c r="J62" i="257"/>
  <c r="I62" i="257"/>
  <c r="H62" i="257"/>
  <c r="G62" i="257"/>
  <c r="F62" i="257"/>
  <c r="E62" i="257"/>
  <c r="B62" i="257"/>
  <c r="AT56" i="257"/>
  <c r="AT55" i="257"/>
  <c r="AT51" i="257"/>
  <c r="AT50" i="257"/>
  <c r="A46" i="257"/>
  <c r="A47" i="257" s="1"/>
  <c r="A48" i="257" s="1"/>
  <c r="A49" i="257" s="1"/>
  <c r="A50" i="257" s="1"/>
  <c r="A51" i="257" s="1"/>
  <c r="A52" i="257" s="1"/>
  <c r="A53" i="257" s="1"/>
  <c r="A54" i="257" s="1"/>
  <c r="A55" i="257" s="1"/>
  <c r="A56" i="257" s="1"/>
  <c r="A57" i="257" s="1"/>
  <c r="A58" i="257" s="1"/>
  <c r="A59" i="257" s="1"/>
  <c r="A60" i="257" s="1"/>
  <c r="A61" i="257" s="1"/>
  <c r="A62" i="257" s="1"/>
  <c r="A63" i="257" s="1"/>
  <c r="A64" i="257" s="1"/>
  <c r="A65" i="257" s="1"/>
  <c r="A66" i="257" s="1"/>
  <c r="AT41" i="257"/>
  <c r="AT40" i="257"/>
  <c r="AT36" i="257"/>
  <c r="A32" i="257"/>
  <c r="A33" i="257" s="1"/>
  <c r="A34" i="257" s="1"/>
  <c r="A35" i="257" s="1"/>
  <c r="A37" i="257" s="1"/>
  <c r="A38" i="257" s="1"/>
  <c r="A39" i="257" s="1"/>
  <c r="A40" i="257" s="1"/>
  <c r="A41" i="257" s="1"/>
  <c r="A42" i="257" s="1"/>
  <c r="A43" i="257" s="1"/>
  <c r="A44" i="257" s="1"/>
  <c r="A45" i="257" s="1"/>
  <c r="E31" i="257"/>
  <c r="A29" i="257"/>
  <c r="F16" i="257"/>
  <c r="F15" i="257"/>
  <c r="F12" i="257"/>
  <c r="E12" i="257"/>
  <c r="D12" i="257"/>
  <c r="F11" i="257"/>
  <c r="F13" i="257" s="1"/>
  <c r="E11" i="257"/>
  <c r="D11" i="257"/>
  <c r="D13" i="257" s="1"/>
  <c r="S33" i="272" l="1"/>
  <c r="T33" i="272" s="1"/>
  <c r="T23" i="272"/>
  <c r="T13" i="272"/>
  <c r="R28" i="272"/>
  <c r="T20" i="272"/>
  <c r="R27" i="272"/>
  <c r="R34" i="272" s="1"/>
  <c r="R24" i="272"/>
  <c r="H34" i="272"/>
  <c r="T16" i="272"/>
  <c r="S30" i="272"/>
  <c r="T30" i="272" s="1"/>
  <c r="T15" i="272"/>
  <c r="T28" i="272"/>
  <c r="H22" i="274"/>
  <c r="I22" i="274" s="1"/>
  <c r="S11" i="272"/>
  <c r="I9" i="274"/>
  <c r="H5" i="258"/>
  <c r="E21" i="258"/>
  <c r="I24" i="259"/>
  <c r="I25" i="259" s="1"/>
  <c r="F17" i="260" s="1"/>
  <c r="H4" i="258"/>
  <c r="F6" i="258"/>
  <c r="F22" i="257" s="1"/>
  <c r="F19" i="258"/>
  <c r="F26" i="258" s="1"/>
  <c r="D19" i="258"/>
  <c r="D21" i="258" s="1"/>
  <c r="F21" i="258" s="1"/>
  <c r="J17" i="259"/>
  <c r="F9" i="259"/>
  <c r="AU58" i="260"/>
  <c r="E43" i="261"/>
  <c r="F43" i="261" s="1"/>
  <c r="I26" i="259"/>
  <c r="AS60" i="260"/>
  <c r="C10" i="259"/>
  <c r="AQ57" i="263"/>
  <c r="AP66" i="260"/>
  <c r="AS60" i="262"/>
  <c r="AI57" i="263"/>
  <c r="C64" i="265"/>
  <c r="C56" i="265"/>
  <c r="AP27" i="263"/>
  <c r="AH27" i="263"/>
  <c r="Z27" i="263"/>
  <c r="R27" i="263"/>
  <c r="J27" i="263"/>
  <c r="AO27" i="263"/>
  <c r="AG27" i="263"/>
  <c r="Y27" i="263"/>
  <c r="Q27" i="263"/>
  <c r="I27" i="263"/>
  <c r="AN27" i="263"/>
  <c r="AF27" i="263"/>
  <c r="X27" i="263"/>
  <c r="P27" i="263"/>
  <c r="H27" i="263"/>
  <c r="AM27" i="263"/>
  <c r="AE27" i="263"/>
  <c r="W27" i="263"/>
  <c r="O27" i="263"/>
  <c r="G27" i="263"/>
  <c r="AL27" i="263"/>
  <c r="AD27" i="263"/>
  <c r="V27" i="263"/>
  <c r="N27" i="263"/>
  <c r="F27" i="263"/>
  <c r="AK27" i="263"/>
  <c r="AC27" i="263"/>
  <c r="U27" i="263"/>
  <c r="M27" i="263"/>
  <c r="E27" i="263"/>
  <c r="AR27" i="263"/>
  <c r="AJ27" i="263"/>
  <c r="AB27" i="263"/>
  <c r="T27" i="263"/>
  <c r="L27" i="263"/>
  <c r="G17" i="263"/>
  <c r="K27" i="263"/>
  <c r="S27" i="263"/>
  <c r="AA27" i="263"/>
  <c r="E15" i="265"/>
  <c r="D20" i="265"/>
  <c r="H57" i="264"/>
  <c r="H59" i="264" s="1"/>
  <c r="H60" i="264" s="1"/>
  <c r="P57" i="264"/>
  <c r="P59" i="264" s="1"/>
  <c r="P60" i="264" s="1"/>
  <c r="X57" i="264"/>
  <c r="X59" i="264" s="1"/>
  <c r="X60" i="264" s="1"/>
  <c r="AF57" i="264"/>
  <c r="AF59" i="264" s="1"/>
  <c r="AF60" i="264" s="1"/>
  <c r="AN57" i="264"/>
  <c r="AN59" i="264" s="1"/>
  <c r="AN60" i="264" s="1"/>
  <c r="AT58" i="262"/>
  <c r="AS60" i="263"/>
  <c r="G59" i="264"/>
  <c r="G60" i="264" s="1"/>
  <c r="AD59" i="264"/>
  <c r="AD60" i="264" s="1"/>
  <c r="AE59" i="264"/>
  <c r="AE60" i="264" s="1"/>
  <c r="AM59" i="264"/>
  <c r="AM60" i="264" s="1"/>
  <c r="AU58" i="264"/>
  <c r="AI59" i="263"/>
  <c r="AI60" i="263" s="1"/>
  <c r="AQ59" i="263"/>
  <c r="AQ60" i="263" s="1"/>
  <c r="J57" i="264"/>
  <c r="R57" i="264"/>
  <c r="R59" i="264" s="1"/>
  <c r="R60" i="264" s="1"/>
  <c r="Z57" i="264"/>
  <c r="Z59" i="264" s="1"/>
  <c r="Z60" i="264" s="1"/>
  <c r="AH57" i="264"/>
  <c r="AH59" i="264" s="1"/>
  <c r="AH60" i="264" s="1"/>
  <c r="AP57" i="264"/>
  <c r="AP59" i="264" s="1"/>
  <c r="AP60" i="264" s="1"/>
  <c r="D57" i="265"/>
  <c r="D65" i="265"/>
  <c r="F19" i="267"/>
  <c r="F20" i="267" s="1"/>
  <c r="K57" i="264"/>
  <c r="K59" i="264" s="1"/>
  <c r="K60" i="264" s="1"/>
  <c r="S57" i="264"/>
  <c r="S59" i="264" s="1"/>
  <c r="S60" i="264" s="1"/>
  <c r="AI57" i="264"/>
  <c r="AI59" i="264" s="1"/>
  <c r="AI60" i="264" s="1"/>
  <c r="AQ57" i="264"/>
  <c r="AQ59" i="264" s="1"/>
  <c r="AQ60" i="264" s="1"/>
  <c r="AU58" i="263"/>
  <c r="L57" i="264"/>
  <c r="AB57" i="264"/>
  <c r="AB59" i="264" s="1"/>
  <c r="AB60" i="264" s="1"/>
  <c r="AR57" i="264"/>
  <c r="AA57" i="264"/>
  <c r="AA59" i="264" s="1"/>
  <c r="AA60" i="264" s="1"/>
  <c r="AK59" i="264"/>
  <c r="AK60" i="264" s="1"/>
  <c r="E57" i="264"/>
  <c r="M57" i="264"/>
  <c r="M59" i="264" s="1"/>
  <c r="M60" i="264" s="1"/>
  <c r="U57" i="264"/>
  <c r="U59" i="264" s="1"/>
  <c r="U60" i="264" s="1"/>
  <c r="AC57" i="264"/>
  <c r="AC59" i="264" s="1"/>
  <c r="AC60" i="264" s="1"/>
  <c r="AK57" i="264"/>
  <c r="AS57" i="264"/>
  <c r="AS59" i="264" s="1"/>
  <c r="AS60" i="264" s="1"/>
  <c r="W59" i="264"/>
  <c r="W60" i="264" s="1"/>
  <c r="F57" i="264"/>
  <c r="F59" i="264" s="1"/>
  <c r="F60" i="264" s="1"/>
  <c r="N57" i="264"/>
  <c r="N59" i="264" s="1"/>
  <c r="N60" i="264" s="1"/>
  <c r="V57" i="264"/>
  <c r="V59" i="264" s="1"/>
  <c r="V60" i="264" s="1"/>
  <c r="AD57" i="264"/>
  <c r="AL57" i="264"/>
  <c r="AL59" i="264" s="1"/>
  <c r="AL60" i="264" s="1"/>
  <c r="AU27" i="264"/>
  <c r="AV28" i="264" s="1"/>
  <c r="L59" i="264"/>
  <c r="L60" i="264" s="1"/>
  <c r="AP66" i="264"/>
  <c r="G57" i="264"/>
  <c r="O57" i="264"/>
  <c r="O59" i="264" s="1"/>
  <c r="O60" i="264" s="1"/>
  <c r="W57" i="264"/>
  <c r="AE57" i="264"/>
  <c r="AM57" i="264"/>
  <c r="I59" i="264"/>
  <c r="I60" i="264" s="1"/>
  <c r="Q59" i="264"/>
  <c r="Q60" i="264" s="1"/>
  <c r="Y59" i="264"/>
  <c r="Y60" i="264" s="1"/>
  <c r="E83" i="265"/>
  <c r="AG60" i="264"/>
  <c r="AO60" i="264"/>
  <c r="AJ59" i="264"/>
  <c r="AJ60" i="264" s="1"/>
  <c r="AR59" i="264"/>
  <c r="AR60" i="264" s="1"/>
  <c r="J59" i="264"/>
  <c r="J60" i="264" s="1"/>
  <c r="E14" i="265"/>
  <c r="C19" i="265"/>
  <c r="D36" i="265"/>
  <c r="E80" i="265"/>
  <c r="D87" i="265"/>
  <c r="W6" i="268"/>
  <c r="E10" i="265"/>
  <c r="E47" i="265"/>
  <c r="E52" i="265" s="1"/>
  <c r="T11" i="272" l="1"/>
  <c r="S24" i="272"/>
  <c r="T24" i="272" s="1"/>
  <c r="S27" i="272"/>
  <c r="AC57" i="263"/>
  <c r="AC59" i="263" s="1"/>
  <c r="AC60" i="263" s="1"/>
  <c r="E64" i="265"/>
  <c r="C66" i="265"/>
  <c r="E66" i="265" s="1"/>
  <c r="I57" i="263"/>
  <c r="I59" i="263" s="1"/>
  <c r="I60" i="263" s="1"/>
  <c r="G20" i="267"/>
  <c r="AB57" i="263"/>
  <c r="AB59" i="263" s="1"/>
  <c r="AB60" i="263" s="1"/>
  <c r="F57" i="263"/>
  <c r="F59" i="263" s="1"/>
  <c r="F60" i="263" s="1"/>
  <c r="AE57" i="263"/>
  <c r="AE59" i="263" s="1"/>
  <c r="AE60" i="263" s="1"/>
  <c r="Q57" i="263"/>
  <c r="Q59" i="263" s="1"/>
  <c r="Q60" i="263" s="1"/>
  <c r="AP57" i="263"/>
  <c r="AP59" i="263" s="1"/>
  <c r="AP60" i="263" s="1"/>
  <c r="F19" i="259"/>
  <c r="J19" i="259" s="1"/>
  <c r="J9" i="259"/>
  <c r="J11" i="259" s="1"/>
  <c r="I27" i="259"/>
  <c r="L57" i="263"/>
  <c r="L59" i="263" s="1"/>
  <c r="L60" i="263" s="1"/>
  <c r="AN57" i="263"/>
  <c r="AN59" i="263" s="1"/>
  <c r="AN60" i="263" s="1"/>
  <c r="AU57" i="264"/>
  <c r="W57" i="263"/>
  <c r="W59" i="263" s="1"/>
  <c r="W60" i="263" s="1"/>
  <c r="AQ27" i="260"/>
  <c r="AP27" i="260"/>
  <c r="AH27" i="260"/>
  <c r="Z27" i="260"/>
  <c r="R27" i="260"/>
  <c r="J27" i="260"/>
  <c r="AO27" i="260"/>
  <c r="AG27" i="260"/>
  <c r="Y27" i="260"/>
  <c r="Q27" i="260"/>
  <c r="I27" i="260"/>
  <c r="AN27" i="260"/>
  <c r="AF27" i="260"/>
  <c r="X27" i="260"/>
  <c r="P27" i="260"/>
  <c r="H27" i="260"/>
  <c r="AM27" i="260"/>
  <c r="AE27" i="260"/>
  <c r="W27" i="260"/>
  <c r="O27" i="260"/>
  <c r="G27" i="260"/>
  <c r="AK27" i="260"/>
  <c r="U27" i="260"/>
  <c r="E27" i="260"/>
  <c r="AJ27" i="260"/>
  <c r="T27" i="260"/>
  <c r="AI27" i="260"/>
  <c r="S27" i="260"/>
  <c r="G17" i="260"/>
  <c r="AR27" i="260"/>
  <c r="V27" i="260"/>
  <c r="AD27" i="260"/>
  <c r="N27" i="260"/>
  <c r="AA27" i="260"/>
  <c r="AL27" i="260"/>
  <c r="AC27" i="260"/>
  <c r="M27" i="260"/>
  <c r="F27" i="260"/>
  <c r="AB27" i="260"/>
  <c r="L27" i="260"/>
  <c r="K27" i="260"/>
  <c r="D66" i="265"/>
  <c r="E65" i="265"/>
  <c r="AJ57" i="263"/>
  <c r="AJ59" i="263" s="1"/>
  <c r="AJ60" i="263" s="1"/>
  <c r="D58" i="265"/>
  <c r="E57" i="265"/>
  <c r="AA57" i="263"/>
  <c r="AA59" i="263" s="1"/>
  <c r="AA60" i="263" s="1"/>
  <c r="AR57" i="263"/>
  <c r="AR59" i="263" s="1"/>
  <c r="AR60" i="263" s="1"/>
  <c r="V57" i="263"/>
  <c r="V59" i="263" s="1"/>
  <c r="V60" i="263" s="1"/>
  <c r="H57" i="263"/>
  <c r="H59" i="263" s="1"/>
  <c r="H60" i="263" s="1"/>
  <c r="AG57" i="263"/>
  <c r="AG59" i="263" s="1"/>
  <c r="AG60" i="263" s="1"/>
  <c r="Z57" i="263"/>
  <c r="Z59" i="263" s="1"/>
  <c r="Z60" i="263" s="1"/>
  <c r="H6" i="258"/>
  <c r="G7" i="258" s="1"/>
  <c r="T57" i="263"/>
  <c r="T59" i="263" s="1"/>
  <c r="T60" i="263" s="1"/>
  <c r="E51" i="265"/>
  <c r="AM57" i="263"/>
  <c r="AM59" i="263" s="1"/>
  <c r="AM60" i="263" s="1"/>
  <c r="C86" i="265"/>
  <c r="C35" i="265"/>
  <c r="E82" i="265"/>
  <c r="E57" i="263"/>
  <c r="E47" i="263"/>
  <c r="AU27" i="263"/>
  <c r="AU28" i="263" s="1"/>
  <c r="AD57" i="263"/>
  <c r="AD59" i="263" s="1"/>
  <c r="AD60" i="263" s="1"/>
  <c r="P57" i="263"/>
  <c r="P59" i="263" s="1"/>
  <c r="P60" i="263" s="1"/>
  <c r="AO57" i="263"/>
  <c r="AO59" i="263" s="1"/>
  <c r="AO60" i="263" s="1"/>
  <c r="AH57" i="263"/>
  <c r="AH59" i="263" s="1"/>
  <c r="AH60" i="263" s="1"/>
  <c r="K57" i="263"/>
  <c r="K59" i="263" s="1"/>
  <c r="K60" i="263" s="1"/>
  <c r="Y57" i="263"/>
  <c r="Y59" i="263" s="1"/>
  <c r="Y60" i="263" s="1"/>
  <c r="E59" i="264"/>
  <c r="M57" i="263"/>
  <c r="M59" i="263" s="1"/>
  <c r="M60" i="263" s="1"/>
  <c r="AL57" i="263"/>
  <c r="AL59" i="263" s="1"/>
  <c r="AL60" i="263" s="1"/>
  <c r="X57" i="263"/>
  <c r="X59" i="263" s="1"/>
  <c r="X60" i="263" s="1"/>
  <c r="J57" i="263"/>
  <c r="J59" i="263" s="1"/>
  <c r="J60" i="263" s="1"/>
  <c r="L4" i="258"/>
  <c r="L6" i="258" s="1"/>
  <c r="L5" i="258"/>
  <c r="O57" i="263"/>
  <c r="O59" i="263" s="1"/>
  <c r="O60" i="263" s="1"/>
  <c r="AK57" i="263"/>
  <c r="AK59" i="263" s="1"/>
  <c r="AK60" i="263" s="1"/>
  <c r="N57" i="263"/>
  <c r="N59" i="263" s="1"/>
  <c r="N60" i="263" s="1"/>
  <c r="D88" i="265"/>
  <c r="E87" i="265"/>
  <c r="D37" i="265"/>
  <c r="E36" i="265"/>
  <c r="C21" i="265"/>
  <c r="E19" i="265"/>
  <c r="D21" i="265"/>
  <c r="E20" i="265"/>
  <c r="S57" i="263"/>
  <c r="S59" i="263" s="1"/>
  <c r="S60" i="263" s="1"/>
  <c r="U57" i="263"/>
  <c r="U59" i="263" s="1"/>
  <c r="U60" i="263" s="1"/>
  <c r="G57" i="263"/>
  <c r="G59" i="263" s="1"/>
  <c r="G60" i="263" s="1"/>
  <c r="AF57" i="263"/>
  <c r="AF59" i="263" s="1"/>
  <c r="AF60" i="263" s="1"/>
  <c r="R57" i="263"/>
  <c r="R59" i="263" s="1"/>
  <c r="R60" i="263" s="1"/>
  <c r="C58" i="265"/>
  <c r="E56" i="265"/>
  <c r="AR58" i="257"/>
  <c r="AJ58" i="257"/>
  <c r="AB58" i="257"/>
  <c r="T58" i="257"/>
  <c r="L58" i="257"/>
  <c r="AQ58" i="257"/>
  <c r="AI58" i="257"/>
  <c r="AA58" i="257"/>
  <c r="S58" i="257"/>
  <c r="K58" i="257"/>
  <c r="AP58" i="257"/>
  <c r="AH58" i="257"/>
  <c r="Z58" i="257"/>
  <c r="R58" i="257"/>
  <c r="J58" i="257"/>
  <c r="O58" i="257"/>
  <c r="V58" i="257"/>
  <c r="AO58" i="257"/>
  <c r="AG58" i="257"/>
  <c r="Y58" i="257"/>
  <c r="Q58" i="257"/>
  <c r="I58" i="257"/>
  <c r="AM58" i="257"/>
  <c r="W58" i="257"/>
  <c r="AL58" i="257"/>
  <c r="AN58" i="257"/>
  <c r="AF58" i="257"/>
  <c r="X58" i="257"/>
  <c r="P58" i="257"/>
  <c r="H58" i="257"/>
  <c r="AU27" i="257"/>
  <c r="G58" i="257"/>
  <c r="N58" i="257"/>
  <c r="AE58" i="257"/>
  <c r="AD58" i="257"/>
  <c r="F58" i="257"/>
  <c r="E58" i="257"/>
  <c r="M58" i="257"/>
  <c r="AK58" i="257"/>
  <c r="AC58" i="257"/>
  <c r="U58" i="257"/>
  <c r="S34" i="272" l="1"/>
  <c r="T34" i="272" s="1"/>
  <c r="T27" i="272"/>
  <c r="K57" i="260"/>
  <c r="K59" i="260" s="1"/>
  <c r="K60" i="260" s="1"/>
  <c r="E12" i="261"/>
  <c r="E57" i="260"/>
  <c r="E47" i="260"/>
  <c r="AU27" i="260"/>
  <c r="AW27" i="260" s="1"/>
  <c r="E67" i="265"/>
  <c r="F71" i="265" s="1"/>
  <c r="E71" i="265"/>
  <c r="E58" i="265"/>
  <c r="E59" i="265" s="1"/>
  <c r="E24" i="265"/>
  <c r="E60" i="264"/>
  <c r="AU59" i="264"/>
  <c r="M4" i="258"/>
  <c r="AB57" i="260"/>
  <c r="AB59" i="260" s="1"/>
  <c r="AB60" i="260" s="1"/>
  <c r="V57" i="260"/>
  <c r="V59" i="260" s="1"/>
  <c r="V60" i="260" s="1"/>
  <c r="U57" i="260"/>
  <c r="U59" i="260" s="1"/>
  <c r="U60" i="260" s="1"/>
  <c r="P57" i="260"/>
  <c r="P59" i="260" s="1"/>
  <c r="P60" i="260" s="1"/>
  <c r="AO57" i="260"/>
  <c r="AO59" i="260" s="1"/>
  <c r="AO60" i="260" s="1"/>
  <c r="E68" i="265"/>
  <c r="AJ57" i="260"/>
  <c r="AJ59" i="260" s="1"/>
  <c r="AJ60" i="260" s="1"/>
  <c r="L57" i="260"/>
  <c r="L59" i="260" s="1"/>
  <c r="L60" i="260" s="1"/>
  <c r="AG57" i="260"/>
  <c r="AG59" i="260" s="1"/>
  <c r="AG60" i="260" s="1"/>
  <c r="F57" i="260"/>
  <c r="F59" i="260" s="1"/>
  <c r="F60" i="260" s="1"/>
  <c r="AK57" i="260"/>
  <c r="AK59" i="260" s="1"/>
  <c r="AK60" i="260" s="1"/>
  <c r="X57" i="260"/>
  <c r="X59" i="260" s="1"/>
  <c r="X60" i="260" s="1"/>
  <c r="J57" i="260"/>
  <c r="J59" i="260" s="1"/>
  <c r="J60" i="260" s="1"/>
  <c r="M5" i="258"/>
  <c r="AU57" i="263"/>
  <c r="E59" i="263"/>
  <c r="M57" i="260"/>
  <c r="M59" i="260" s="1"/>
  <c r="M60" i="260" s="1"/>
  <c r="G57" i="260"/>
  <c r="G59" i="260" s="1"/>
  <c r="G60" i="260" s="1"/>
  <c r="AF57" i="260"/>
  <c r="AF59" i="260" s="1"/>
  <c r="AF60" i="260" s="1"/>
  <c r="R57" i="260"/>
  <c r="R59" i="260" s="1"/>
  <c r="R60" i="260" s="1"/>
  <c r="E86" i="265"/>
  <c r="C88" i="265"/>
  <c r="E88" i="265" s="1"/>
  <c r="E89" i="265" s="1"/>
  <c r="Y57" i="260"/>
  <c r="Y59" i="260" s="1"/>
  <c r="Y60" i="260" s="1"/>
  <c r="E21" i="265"/>
  <c r="E22" i="265" s="1"/>
  <c r="AC57" i="260"/>
  <c r="AC59" i="260" s="1"/>
  <c r="AC60" i="260" s="1"/>
  <c r="S57" i="260"/>
  <c r="S59" i="260" s="1"/>
  <c r="S60" i="260" s="1"/>
  <c r="O57" i="260"/>
  <c r="O59" i="260" s="1"/>
  <c r="O60" i="260" s="1"/>
  <c r="AN57" i="260"/>
  <c r="AN59" i="260" s="1"/>
  <c r="AN60" i="260" s="1"/>
  <c r="Z57" i="260"/>
  <c r="Z59" i="260" s="1"/>
  <c r="Z60" i="260" s="1"/>
  <c r="AM57" i="260"/>
  <c r="AM59" i="260" s="1"/>
  <c r="AM60" i="260" s="1"/>
  <c r="AD57" i="260"/>
  <c r="AD59" i="260" s="1"/>
  <c r="AD60" i="260" s="1"/>
  <c r="AT58" i="257"/>
  <c r="E69" i="265"/>
  <c r="AL57" i="260"/>
  <c r="AL59" i="260" s="1"/>
  <c r="AL60" i="260" s="1"/>
  <c r="AI57" i="260"/>
  <c r="AI59" i="260" s="1"/>
  <c r="AI60" i="260" s="1"/>
  <c r="W57" i="260"/>
  <c r="W59" i="260" s="1"/>
  <c r="W60" i="260" s="1"/>
  <c r="I57" i="260"/>
  <c r="I59" i="260" s="1"/>
  <c r="I60" i="260" s="1"/>
  <c r="AH57" i="260"/>
  <c r="AH59" i="260" s="1"/>
  <c r="AH60" i="260" s="1"/>
  <c r="N57" i="260"/>
  <c r="N59" i="260" s="1"/>
  <c r="N60" i="260" s="1"/>
  <c r="AQ57" i="260"/>
  <c r="AQ59" i="260" s="1"/>
  <c r="AQ60" i="260" s="1"/>
  <c r="H57" i="260"/>
  <c r="H59" i="260" s="1"/>
  <c r="H60" i="260" s="1"/>
  <c r="F17" i="262"/>
  <c r="F17" i="257"/>
  <c r="AR57" i="260"/>
  <c r="AR59" i="260" s="1"/>
  <c r="AR60" i="260" s="1"/>
  <c r="E35" i="265"/>
  <c r="C37" i="265"/>
  <c r="E37" i="265" s="1"/>
  <c r="E38" i="265" s="1"/>
  <c r="AA57" i="260"/>
  <c r="AA59" i="260" s="1"/>
  <c r="AA60" i="260" s="1"/>
  <c r="T57" i="260"/>
  <c r="T59" i="260" s="1"/>
  <c r="T60" i="260" s="1"/>
  <c r="AE57" i="260"/>
  <c r="AE59" i="260" s="1"/>
  <c r="AE60" i="260" s="1"/>
  <c r="Q57" i="260"/>
  <c r="Q59" i="260" s="1"/>
  <c r="Q60" i="260" s="1"/>
  <c r="AP57" i="260"/>
  <c r="AP59" i="260" s="1"/>
  <c r="AP60" i="260" s="1"/>
  <c r="E60" i="265" l="1"/>
  <c r="E48" i="264"/>
  <c r="AU60" i="264"/>
  <c r="T49" i="264"/>
  <c r="H49" i="264"/>
  <c r="K49" i="264"/>
  <c r="X49" i="264"/>
  <c r="AT49" i="264"/>
  <c r="E49" i="264"/>
  <c r="AK49" i="264"/>
  <c r="L49" i="264"/>
  <c r="J49" i="264"/>
  <c r="I49" i="264"/>
  <c r="Z49" i="264"/>
  <c r="AQ49" i="264"/>
  <c r="AH49" i="264"/>
  <c r="AP49" i="264"/>
  <c r="AD49" i="264"/>
  <c r="S49" i="264"/>
  <c r="AC49" i="264"/>
  <c r="AM49" i="264"/>
  <c r="Y49" i="264"/>
  <c r="W49" i="264"/>
  <c r="AF49" i="264"/>
  <c r="P49" i="264"/>
  <c r="V49" i="264"/>
  <c r="AA49" i="264"/>
  <c r="AB49" i="264"/>
  <c r="AI49" i="264"/>
  <c r="O49" i="264"/>
  <c r="M49" i="264"/>
  <c r="AN49" i="264"/>
  <c r="R49" i="264"/>
  <c r="AS49" i="264"/>
  <c r="AE49" i="264"/>
  <c r="Q49" i="264"/>
  <c r="AL49" i="264"/>
  <c r="AG49" i="264"/>
  <c r="G49" i="264"/>
  <c r="F49" i="264"/>
  <c r="AJ49" i="264"/>
  <c r="AO49" i="264"/>
  <c r="U49" i="264"/>
  <c r="AR49" i="264"/>
  <c r="N49" i="264"/>
  <c r="F12" i="261"/>
  <c r="E61" i="265"/>
  <c r="E60" i="263"/>
  <c r="AU59" i="263"/>
  <c r="E90" i="265"/>
  <c r="E91" i="265"/>
  <c r="I27" i="257"/>
  <c r="H27" i="257"/>
  <c r="AL27" i="257"/>
  <c r="AB27" i="257"/>
  <c r="S27" i="257"/>
  <c r="K27" i="257"/>
  <c r="V27" i="257"/>
  <c r="AQ27" i="257"/>
  <c r="AN27" i="257"/>
  <c r="AR27" i="257"/>
  <c r="X27" i="257"/>
  <c r="Q27" i="257"/>
  <c r="AP27" i="257"/>
  <c r="L27" i="257"/>
  <c r="AM27" i="257"/>
  <c r="AD27" i="257"/>
  <c r="AJ27" i="257"/>
  <c r="AE27" i="257"/>
  <c r="R27" i="257"/>
  <c r="AO27" i="257"/>
  <c r="M27" i="257"/>
  <c r="AC27" i="257"/>
  <c r="AH27" i="257"/>
  <c r="Z27" i="257"/>
  <c r="AK27" i="257"/>
  <c r="W27" i="257"/>
  <c r="N27" i="257"/>
  <c r="AI27" i="257"/>
  <c r="U27" i="257"/>
  <c r="O27" i="257"/>
  <c r="F27" i="257"/>
  <c r="Y27" i="257"/>
  <c r="AA27" i="257"/>
  <c r="E27" i="257"/>
  <c r="P27" i="257"/>
  <c r="J27" i="257"/>
  <c r="AG27" i="257"/>
  <c r="AF27" i="257"/>
  <c r="G27" i="257"/>
  <c r="T27" i="257"/>
  <c r="M6" i="258"/>
  <c r="AQ27" i="262"/>
  <c r="AI27" i="262"/>
  <c r="AA27" i="262"/>
  <c r="S27" i="262"/>
  <c r="K27" i="262"/>
  <c r="AO27" i="262"/>
  <c r="AG27" i="262"/>
  <c r="Y27" i="262"/>
  <c r="Q27" i="262"/>
  <c r="I27" i="262"/>
  <c r="AN27" i="262"/>
  <c r="AF27" i="262"/>
  <c r="X27" i="262"/>
  <c r="P27" i="262"/>
  <c r="H27" i="262"/>
  <c r="AM27" i="262"/>
  <c r="AE27" i="262"/>
  <c r="W27" i="262"/>
  <c r="O27" i="262"/>
  <c r="G27" i="262"/>
  <c r="AC27" i="262"/>
  <c r="M27" i="262"/>
  <c r="AR27" i="262"/>
  <c r="AB27" i="262"/>
  <c r="L27" i="262"/>
  <c r="AP27" i="262"/>
  <c r="Z27" i="262"/>
  <c r="J27" i="262"/>
  <c r="AL27" i="262"/>
  <c r="V27" i="262"/>
  <c r="F27" i="262"/>
  <c r="AK27" i="262"/>
  <c r="U27" i="262"/>
  <c r="E27" i="262"/>
  <c r="AJ27" i="262"/>
  <c r="T27" i="262"/>
  <c r="AH27" i="262"/>
  <c r="AD27" i="262"/>
  <c r="R27" i="262"/>
  <c r="N27" i="262"/>
  <c r="E23" i="265"/>
  <c r="E42" i="261"/>
  <c r="F42" i="261" s="1"/>
  <c r="AU57" i="260"/>
  <c r="E59" i="260"/>
  <c r="AJ57" i="262" l="1"/>
  <c r="AJ59" i="262" s="1"/>
  <c r="AJ60" i="262" s="1"/>
  <c r="J57" i="257"/>
  <c r="J59" i="257" s="1"/>
  <c r="J60" i="257" s="1"/>
  <c r="AB57" i="257"/>
  <c r="AB59" i="257" s="1"/>
  <c r="AB60" i="257" s="1"/>
  <c r="W57" i="262"/>
  <c r="W59" i="262" s="1"/>
  <c r="W60" i="262" s="1"/>
  <c r="AI57" i="262"/>
  <c r="AI59" i="262" s="1"/>
  <c r="AI60" i="262" s="1"/>
  <c r="R57" i="257"/>
  <c r="R59" i="257" s="1"/>
  <c r="R60" i="257" s="1"/>
  <c r="G34" i="264"/>
  <c r="G52" i="264" s="1"/>
  <c r="G33" i="264"/>
  <c r="G32" i="264"/>
  <c r="G35" i="264" s="1"/>
  <c r="M34" i="264"/>
  <c r="M52" i="264" s="1"/>
  <c r="M32" i="264"/>
  <c r="M35" i="264" s="1"/>
  <c r="M33" i="264"/>
  <c r="W34" i="264"/>
  <c r="W52" i="264" s="1"/>
  <c r="W33" i="264"/>
  <c r="W32" i="264"/>
  <c r="W35" i="264" s="1"/>
  <c r="AQ33" i="264"/>
  <c r="AQ32" i="264"/>
  <c r="AQ34" i="264"/>
  <c r="AQ52" i="264" s="1"/>
  <c r="X34" i="264"/>
  <c r="X52" i="264" s="1"/>
  <c r="X32" i="264"/>
  <c r="X33" i="264"/>
  <c r="O57" i="262"/>
  <c r="O59" i="262" s="1"/>
  <c r="O60" i="262" s="1"/>
  <c r="AI57" i="257"/>
  <c r="AI59" i="257" s="1"/>
  <c r="AI60" i="257" s="1"/>
  <c r="AF34" i="264"/>
  <c r="AF52" i="264" s="1"/>
  <c r="AF32" i="264"/>
  <c r="AF33" i="264"/>
  <c r="E57" i="262"/>
  <c r="E47" i="262"/>
  <c r="AT27" i="262"/>
  <c r="AV27" i="262" s="1"/>
  <c r="AP57" i="262"/>
  <c r="AP59" i="262" s="1"/>
  <c r="AP60" i="262" s="1"/>
  <c r="I57" i="262"/>
  <c r="I59" i="262" s="1"/>
  <c r="I60" i="262" s="1"/>
  <c r="P57" i="257"/>
  <c r="P59" i="257" s="1"/>
  <c r="P60" i="257" s="1"/>
  <c r="N57" i="257"/>
  <c r="N59" i="257" s="1"/>
  <c r="N60" i="257" s="1"/>
  <c r="X57" i="257"/>
  <c r="X59" i="257" s="1"/>
  <c r="X60" i="257" s="1"/>
  <c r="AL57" i="257"/>
  <c r="AL59" i="257" s="1"/>
  <c r="AL60" i="257" s="1"/>
  <c r="U57" i="262"/>
  <c r="U59" i="262" s="1"/>
  <c r="U60" i="262" s="1"/>
  <c r="L57" i="262"/>
  <c r="L59" i="262" s="1"/>
  <c r="L60" i="262" s="1"/>
  <c r="AE57" i="262"/>
  <c r="AE59" i="262" s="1"/>
  <c r="AE60" i="262" s="1"/>
  <c r="Q57" i="262"/>
  <c r="Q59" i="262" s="1"/>
  <c r="Q60" i="262" s="1"/>
  <c r="AQ57" i="262"/>
  <c r="AQ59" i="262" s="1"/>
  <c r="AQ60" i="262" s="1"/>
  <c r="E57" i="257"/>
  <c r="AT27" i="257"/>
  <c r="AV27" i="257" s="1"/>
  <c r="E47" i="257"/>
  <c r="W57" i="257"/>
  <c r="W59" i="257" s="1"/>
  <c r="W60" i="257" s="1"/>
  <c r="AE57" i="257"/>
  <c r="AE59" i="257" s="1"/>
  <c r="AE60" i="257" s="1"/>
  <c r="AR57" i="257"/>
  <c r="AR59" i="257" s="1"/>
  <c r="AR60" i="257" s="1"/>
  <c r="H57" i="257"/>
  <c r="H59" i="257" s="1"/>
  <c r="H60" i="257" s="1"/>
  <c r="AG33" i="264"/>
  <c r="AG32" i="264"/>
  <c r="AG35" i="264" s="1"/>
  <c r="AG34" i="264"/>
  <c r="AG52" i="264" s="1"/>
  <c r="O34" i="264"/>
  <c r="O52" i="264" s="1"/>
  <c r="O32" i="264"/>
  <c r="O35" i="264" s="1"/>
  <c r="O33" i="264"/>
  <c r="Y33" i="264"/>
  <c r="Y32" i="264"/>
  <c r="Y34" i="264"/>
  <c r="Y52" i="264" s="1"/>
  <c r="Z33" i="264"/>
  <c r="Z32" i="264"/>
  <c r="Z34" i="264"/>
  <c r="Z52" i="264" s="1"/>
  <c r="K34" i="264"/>
  <c r="K52" i="264" s="1"/>
  <c r="K32" i="264"/>
  <c r="K33" i="264"/>
  <c r="AT34" i="264"/>
  <c r="AT52" i="264" s="1"/>
  <c r="AT32" i="264"/>
  <c r="AT33" i="264"/>
  <c r="AK57" i="262"/>
  <c r="AK59" i="262" s="1"/>
  <c r="AK60" i="262" s="1"/>
  <c r="AN57" i="257"/>
  <c r="AN59" i="257" s="1"/>
  <c r="AN60" i="257" s="1"/>
  <c r="N34" i="264"/>
  <c r="N52" i="264" s="1"/>
  <c r="N32" i="264"/>
  <c r="N35" i="264" s="1"/>
  <c r="N33" i="264"/>
  <c r="I33" i="264"/>
  <c r="I34" i="264"/>
  <c r="I52" i="264" s="1"/>
  <c r="I32" i="264"/>
  <c r="F57" i="262"/>
  <c r="F59" i="262" s="1"/>
  <c r="F60" i="262" s="1"/>
  <c r="T57" i="257"/>
  <c r="T59" i="257" s="1"/>
  <c r="T60" i="257" s="1"/>
  <c r="AD57" i="257"/>
  <c r="AD59" i="257" s="1"/>
  <c r="AD60" i="257" s="1"/>
  <c r="AR33" i="264"/>
  <c r="AR34" i="264"/>
  <c r="AR52" i="264" s="1"/>
  <c r="AR32" i="264"/>
  <c r="AR35" i="264" s="1"/>
  <c r="Q33" i="264"/>
  <c r="Q34" i="264"/>
  <c r="Q52" i="264" s="1"/>
  <c r="Q32" i="264"/>
  <c r="Q35" i="264" s="1"/>
  <c r="AB33" i="264"/>
  <c r="AB34" i="264"/>
  <c r="AB52" i="264" s="1"/>
  <c r="AB32" i="264"/>
  <c r="AC34" i="264"/>
  <c r="AC52" i="264" s="1"/>
  <c r="AC32" i="264"/>
  <c r="AC35" i="264" s="1"/>
  <c r="AC33" i="264"/>
  <c r="J33" i="264"/>
  <c r="J34" i="264"/>
  <c r="J52" i="264" s="1"/>
  <c r="J32" i="264"/>
  <c r="T33" i="264"/>
  <c r="T34" i="264"/>
  <c r="T52" i="264" s="1"/>
  <c r="T32" i="264"/>
  <c r="T35" i="264" s="1"/>
  <c r="AA57" i="262"/>
  <c r="AA59" i="262" s="1"/>
  <c r="AA60" i="262" s="1"/>
  <c r="AO57" i="257"/>
  <c r="AO59" i="257" s="1"/>
  <c r="AO60" i="257" s="1"/>
  <c r="F34" i="264"/>
  <c r="F52" i="264" s="1"/>
  <c r="F32" i="264"/>
  <c r="F33" i="264"/>
  <c r="AM57" i="262"/>
  <c r="AM59" i="262" s="1"/>
  <c r="AM60" i="262" s="1"/>
  <c r="AA57" i="257"/>
  <c r="AA59" i="257" s="1"/>
  <c r="AA60" i="257" s="1"/>
  <c r="I57" i="257"/>
  <c r="I59" i="257" s="1"/>
  <c r="I60" i="257" s="1"/>
  <c r="AI33" i="264"/>
  <c r="AI34" i="264"/>
  <c r="AI52" i="264" s="1"/>
  <c r="AI32" i="264"/>
  <c r="H57" i="262"/>
  <c r="H59" i="262" s="1"/>
  <c r="H60" i="262" s="1"/>
  <c r="Z57" i="257"/>
  <c r="Z59" i="257" s="1"/>
  <c r="Z60" i="257" s="1"/>
  <c r="V57" i="262"/>
  <c r="V59" i="262" s="1"/>
  <c r="V60" i="262" s="1"/>
  <c r="AO57" i="262"/>
  <c r="AO59" i="262" s="1"/>
  <c r="AO60" i="262" s="1"/>
  <c r="AH57" i="257"/>
  <c r="AH59" i="257" s="1"/>
  <c r="AH60" i="257" s="1"/>
  <c r="V57" i="257"/>
  <c r="V59" i="257" s="1"/>
  <c r="V60" i="257" s="1"/>
  <c r="U34" i="264"/>
  <c r="U52" i="264" s="1"/>
  <c r="U32" i="264"/>
  <c r="U35" i="264" s="1"/>
  <c r="U33" i="264"/>
  <c r="AE34" i="264"/>
  <c r="AE52" i="264" s="1"/>
  <c r="AE32" i="264"/>
  <c r="AE35" i="264" s="1"/>
  <c r="AE33" i="264"/>
  <c r="AA32" i="264"/>
  <c r="AA34" i="264"/>
  <c r="AA52" i="264" s="1"/>
  <c r="AA33" i="264"/>
  <c r="S33" i="264"/>
  <c r="S34" i="264"/>
  <c r="S52" i="264" s="1"/>
  <c r="S32" i="264"/>
  <c r="S35" i="264" s="1"/>
  <c r="L33" i="264"/>
  <c r="L34" i="264"/>
  <c r="L52" i="264" s="1"/>
  <c r="L32" i="264"/>
  <c r="AN57" i="262"/>
  <c r="AN59" i="262" s="1"/>
  <c r="AN60" i="262" s="1"/>
  <c r="Q57" i="257"/>
  <c r="Q59" i="257" s="1"/>
  <c r="Q60" i="257" s="1"/>
  <c r="AH33" i="264"/>
  <c r="AH32" i="264"/>
  <c r="AH34" i="264"/>
  <c r="AH52" i="264" s="1"/>
  <c r="N57" i="262"/>
  <c r="N59" i="262" s="1"/>
  <c r="N60" i="262" s="1"/>
  <c r="Y57" i="262"/>
  <c r="Y59" i="262" s="1"/>
  <c r="Y60" i="262" s="1"/>
  <c r="AJ57" i="257"/>
  <c r="AJ59" i="257" s="1"/>
  <c r="AJ60" i="257" s="1"/>
  <c r="AM34" i="264"/>
  <c r="AM52" i="264" s="1"/>
  <c r="AM33" i="264"/>
  <c r="AM32" i="264"/>
  <c r="AM35" i="264" s="1"/>
  <c r="R57" i="262"/>
  <c r="R59" i="262" s="1"/>
  <c r="R60" i="262" s="1"/>
  <c r="AG57" i="262"/>
  <c r="AG59" i="262" s="1"/>
  <c r="AG60" i="262" s="1"/>
  <c r="AQ57" i="257"/>
  <c r="AQ59" i="257" s="1"/>
  <c r="AQ60" i="257" s="1"/>
  <c r="M57" i="262"/>
  <c r="M59" i="262" s="1"/>
  <c r="M60" i="262" s="1"/>
  <c r="G57" i="257"/>
  <c r="G59" i="257" s="1"/>
  <c r="G60" i="257" s="1"/>
  <c r="K57" i="262"/>
  <c r="K59" i="262" s="1"/>
  <c r="K60" i="262" s="1"/>
  <c r="L57" i="257"/>
  <c r="L59" i="257" s="1"/>
  <c r="L60" i="257" s="1"/>
  <c r="AO33" i="264"/>
  <c r="AO34" i="264"/>
  <c r="AO52" i="264" s="1"/>
  <c r="AO32" i="264"/>
  <c r="AO35" i="264" s="1"/>
  <c r="AS34" i="264"/>
  <c r="AS52" i="264" s="1"/>
  <c r="AS32" i="264"/>
  <c r="AS33" i="264"/>
  <c r="V34" i="264"/>
  <c r="V52" i="264" s="1"/>
  <c r="V32" i="264"/>
  <c r="V33" i="264"/>
  <c r="AD34" i="264"/>
  <c r="AD52" i="264" s="1"/>
  <c r="AD32" i="264"/>
  <c r="AD33" i="264"/>
  <c r="AK34" i="264"/>
  <c r="AK52" i="264" s="1"/>
  <c r="AK32" i="264"/>
  <c r="AK33" i="264"/>
  <c r="Z57" i="262"/>
  <c r="Z59" i="262" s="1"/>
  <c r="Z60" i="262" s="1"/>
  <c r="AN34" i="264"/>
  <c r="AN52" i="264" s="1"/>
  <c r="AN32" i="264"/>
  <c r="AN35" i="264" s="1"/>
  <c r="AN33" i="264"/>
  <c r="AB57" i="262"/>
  <c r="AB59" i="262" s="1"/>
  <c r="AB60" i="262" s="1"/>
  <c r="AK57" i="257"/>
  <c r="AK59" i="257" s="1"/>
  <c r="AK60" i="257" s="1"/>
  <c r="AL34" i="264"/>
  <c r="AL52" i="264" s="1"/>
  <c r="AL32" i="264"/>
  <c r="AL33" i="264"/>
  <c r="H34" i="264"/>
  <c r="H52" i="264" s="1"/>
  <c r="H32" i="264"/>
  <c r="H33" i="264"/>
  <c r="AR57" i="262"/>
  <c r="AR59" i="262" s="1"/>
  <c r="AR60" i="262" s="1"/>
  <c r="Y57" i="257"/>
  <c r="Y59" i="257" s="1"/>
  <c r="Y60" i="257" s="1"/>
  <c r="AD57" i="262"/>
  <c r="AD59" i="262" s="1"/>
  <c r="AD60" i="262" s="1"/>
  <c r="P57" i="262"/>
  <c r="P59" i="262" s="1"/>
  <c r="P60" i="262" s="1"/>
  <c r="F57" i="257"/>
  <c r="F59" i="257" s="1"/>
  <c r="F60" i="257" s="1"/>
  <c r="AM57" i="257"/>
  <c r="AM59" i="257" s="1"/>
  <c r="AM60" i="257" s="1"/>
  <c r="AH57" i="262"/>
  <c r="AH59" i="262" s="1"/>
  <c r="AH60" i="262" s="1"/>
  <c r="AL57" i="262"/>
  <c r="AL59" i="262" s="1"/>
  <c r="AL60" i="262" s="1"/>
  <c r="AC57" i="262"/>
  <c r="AC59" i="262" s="1"/>
  <c r="AC60" i="262" s="1"/>
  <c r="X57" i="262"/>
  <c r="X59" i="262" s="1"/>
  <c r="X60" i="262" s="1"/>
  <c r="AF57" i="257"/>
  <c r="AF59" i="257" s="1"/>
  <c r="AF60" i="257" s="1"/>
  <c r="O57" i="257"/>
  <c r="O59" i="257" s="1"/>
  <c r="O60" i="257" s="1"/>
  <c r="AC57" i="257"/>
  <c r="AC59" i="257" s="1"/>
  <c r="AC60" i="257" s="1"/>
  <c r="K57" i="257"/>
  <c r="K59" i="257" s="1"/>
  <c r="K60" i="257" s="1"/>
  <c r="E44" i="261"/>
  <c r="F44" i="261" s="1"/>
  <c r="E60" i="260"/>
  <c r="AU59" i="260"/>
  <c r="T57" i="262"/>
  <c r="T59" i="262" s="1"/>
  <c r="T60" i="262" s="1"/>
  <c r="J57" i="262"/>
  <c r="J59" i="262" s="1"/>
  <c r="J60" i="262" s="1"/>
  <c r="G57" i="262"/>
  <c r="G59" i="262" s="1"/>
  <c r="G60" i="262" s="1"/>
  <c r="AF57" i="262"/>
  <c r="AF59" i="262" s="1"/>
  <c r="AF60" i="262" s="1"/>
  <c r="S57" i="262"/>
  <c r="S59" i="262" s="1"/>
  <c r="S60" i="262" s="1"/>
  <c r="AG57" i="257"/>
  <c r="AG59" i="257" s="1"/>
  <c r="AG60" i="257" s="1"/>
  <c r="U57" i="257"/>
  <c r="U59" i="257" s="1"/>
  <c r="U60" i="257" s="1"/>
  <c r="M57" i="257"/>
  <c r="M59" i="257" s="1"/>
  <c r="M60" i="257" s="1"/>
  <c r="AP57" i="257"/>
  <c r="AP59" i="257" s="1"/>
  <c r="AP60" i="257" s="1"/>
  <c r="S57" i="257"/>
  <c r="S59" i="257" s="1"/>
  <c r="S60" i="257" s="1"/>
  <c r="AU60" i="263"/>
  <c r="E48" i="263"/>
  <c r="AS49" i="263"/>
  <c r="R49" i="263"/>
  <c r="I49" i="263"/>
  <c r="AO49" i="263"/>
  <c r="S49" i="263"/>
  <c r="AN49" i="263"/>
  <c r="J49" i="263"/>
  <c r="AK49" i="263"/>
  <c r="Q49" i="263"/>
  <c r="AF49" i="263"/>
  <c r="AL49" i="263"/>
  <c r="U49" i="263"/>
  <c r="M49" i="263"/>
  <c r="AC49" i="263"/>
  <c r="AA49" i="263"/>
  <c r="Z49" i="263"/>
  <c r="AR49" i="263"/>
  <c r="G49" i="263"/>
  <c r="AQ49" i="263"/>
  <c r="AI49" i="263"/>
  <c r="E49" i="263"/>
  <c r="L49" i="263"/>
  <c r="AG49" i="263"/>
  <c r="AH49" i="263"/>
  <c r="T49" i="263"/>
  <c r="F49" i="263"/>
  <c r="V49" i="263"/>
  <c r="H49" i="263"/>
  <c r="AB49" i="263"/>
  <c r="AP49" i="263"/>
  <c r="P49" i="263"/>
  <c r="AM49" i="263"/>
  <c r="AD49" i="263"/>
  <c r="AE49" i="263"/>
  <c r="Y49" i="263"/>
  <c r="K49" i="263"/>
  <c r="AJ49" i="263"/>
  <c r="N49" i="263"/>
  <c r="X49" i="263"/>
  <c r="O49" i="263"/>
  <c r="W49" i="263"/>
  <c r="AJ33" i="264"/>
  <c r="AJ34" i="264"/>
  <c r="AJ52" i="264" s="1"/>
  <c r="AJ32" i="264"/>
  <c r="R33" i="264"/>
  <c r="R34" i="264"/>
  <c r="R52" i="264" s="1"/>
  <c r="R32" i="264"/>
  <c r="P34" i="264"/>
  <c r="P52" i="264" s="1"/>
  <c r="P32" i="264"/>
  <c r="P35" i="264" s="1"/>
  <c r="P33" i="264"/>
  <c r="AP33" i="264"/>
  <c r="AP32" i="264"/>
  <c r="AP34" i="264"/>
  <c r="AP52" i="264" s="1"/>
  <c r="AU49" i="264"/>
  <c r="E34" i="264"/>
  <c r="E32" i="264"/>
  <c r="E33" i="264"/>
  <c r="R54" i="264" l="1"/>
  <c r="R53" i="264"/>
  <c r="R29" i="264" s="1"/>
  <c r="E52" i="264"/>
  <c r="AU34" i="264"/>
  <c r="R35" i="264"/>
  <c r="X32" i="263"/>
  <c r="X35" i="263" s="1"/>
  <c r="X34" i="263"/>
  <c r="X52" i="263" s="1"/>
  <c r="X33" i="263"/>
  <c r="P32" i="263"/>
  <c r="P35" i="263" s="1"/>
  <c r="P34" i="263"/>
  <c r="P52" i="263" s="1"/>
  <c r="P33" i="263"/>
  <c r="AG32" i="263"/>
  <c r="AG34" i="263"/>
  <c r="AG52" i="263" s="1"/>
  <c r="AG33" i="263"/>
  <c r="AA34" i="263"/>
  <c r="AA52" i="263" s="1"/>
  <c r="AA33" i="263"/>
  <c r="AA32" i="263"/>
  <c r="AA35" i="263" s="1"/>
  <c r="J32" i="263"/>
  <c r="J34" i="263"/>
  <c r="J52" i="263" s="1"/>
  <c r="J33" i="263"/>
  <c r="E45" i="261"/>
  <c r="F45" i="261" s="1"/>
  <c r="AU60" i="260"/>
  <c r="E48" i="260"/>
  <c r="AP49" i="260"/>
  <c r="AG49" i="260"/>
  <c r="AN49" i="260"/>
  <c r="I49" i="260"/>
  <c r="E49" i="260"/>
  <c r="U49" i="260"/>
  <c r="F49" i="260"/>
  <c r="AD49" i="260"/>
  <c r="AH49" i="260"/>
  <c r="T49" i="260"/>
  <c r="Y49" i="260"/>
  <c r="N49" i="260"/>
  <c r="W49" i="260"/>
  <c r="AS49" i="260"/>
  <c r="AF49" i="260"/>
  <c r="AL49" i="260"/>
  <c r="AE49" i="260"/>
  <c r="AB49" i="260"/>
  <c r="P49" i="260"/>
  <c r="AK49" i="260"/>
  <c r="M49" i="260"/>
  <c r="AM49" i="260"/>
  <c r="H49" i="260"/>
  <c r="V49" i="260"/>
  <c r="AQ49" i="260"/>
  <c r="X49" i="260"/>
  <c r="AC49" i="260"/>
  <c r="K49" i="260"/>
  <c r="AR49" i="260"/>
  <c r="AA49" i="260"/>
  <c r="Z49" i="260"/>
  <c r="O49" i="260"/>
  <c r="AI49" i="260"/>
  <c r="L49" i="260"/>
  <c r="Q49" i="260"/>
  <c r="G49" i="260"/>
  <c r="S49" i="260"/>
  <c r="AJ49" i="260"/>
  <c r="J49" i="260"/>
  <c r="R49" i="260"/>
  <c r="AO49" i="260"/>
  <c r="AL35" i="264"/>
  <c r="AK54" i="264"/>
  <c r="AK53" i="264"/>
  <c r="AK29" i="264" s="1"/>
  <c r="AS35" i="264"/>
  <c r="L53" i="264"/>
  <c r="L29" i="264" s="1"/>
  <c r="L37" i="264" s="1"/>
  <c r="AI35" i="264"/>
  <c r="J35" i="264"/>
  <c r="I35" i="264"/>
  <c r="K35" i="264"/>
  <c r="AF53" i="264"/>
  <c r="AF29" i="264" s="1"/>
  <c r="AF54" i="264"/>
  <c r="X35" i="264"/>
  <c r="N33" i="263"/>
  <c r="N32" i="263"/>
  <c r="N34" i="263"/>
  <c r="N52" i="263" s="1"/>
  <c r="I53" i="264"/>
  <c r="I29" i="264" s="1"/>
  <c r="I37" i="264" s="1"/>
  <c r="K53" i="264"/>
  <c r="K29" i="264" s="1"/>
  <c r="K37" i="264" s="1"/>
  <c r="K54" i="264"/>
  <c r="X53" i="264"/>
  <c r="X29" i="264" s="1"/>
  <c r="X37" i="264" s="1"/>
  <c r="X54" i="264"/>
  <c r="AN53" i="264"/>
  <c r="AN29" i="264" s="1"/>
  <c r="AN37" i="264" s="1"/>
  <c r="AN54" i="264"/>
  <c r="AD35" i="264"/>
  <c r="AE53" i="264"/>
  <c r="AE29" i="264" s="1"/>
  <c r="AE37" i="264" s="1"/>
  <c r="Q53" i="264"/>
  <c r="Q29" i="264" s="1"/>
  <c r="Q37" i="264" s="1"/>
  <c r="Q54" i="264"/>
  <c r="Z54" i="264"/>
  <c r="Z53" i="264"/>
  <c r="Z29" i="264" s="1"/>
  <c r="O53" i="264"/>
  <c r="O29" i="264" s="1"/>
  <c r="O37" i="264" s="1"/>
  <c r="AQ53" i="264"/>
  <c r="AQ29" i="264" s="1"/>
  <c r="AQ54" i="264"/>
  <c r="M53" i="264"/>
  <c r="M29" i="264" s="1"/>
  <c r="M37" i="264" s="1"/>
  <c r="AN32" i="263"/>
  <c r="AN35" i="263" s="1"/>
  <c r="AN34" i="263"/>
  <c r="AN52" i="263" s="1"/>
  <c r="AN33" i="263"/>
  <c r="J54" i="264"/>
  <c r="J53" i="264"/>
  <c r="J29" i="264" s="1"/>
  <c r="J37" i="264" s="1"/>
  <c r="M33" i="263"/>
  <c r="M32" i="263"/>
  <c r="M34" i="263"/>
  <c r="M52" i="263" s="1"/>
  <c r="AP35" i="264"/>
  <c r="AJ35" i="264"/>
  <c r="K34" i="263"/>
  <c r="K52" i="263" s="1"/>
  <c r="K33" i="263"/>
  <c r="K32" i="263"/>
  <c r="H32" i="263"/>
  <c r="H34" i="263"/>
  <c r="H52" i="263" s="1"/>
  <c r="H33" i="263"/>
  <c r="AI34" i="263"/>
  <c r="AI52" i="263" s="1"/>
  <c r="AI33" i="263"/>
  <c r="AI32" i="263"/>
  <c r="U33" i="263"/>
  <c r="U32" i="263"/>
  <c r="U34" i="263"/>
  <c r="U52" i="263" s="1"/>
  <c r="AO32" i="263"/>
  <c r="AO34" i="263"/>
  <c r="AO52" i="263" s="1"/>
  <c r="AO33" i="263"/>
  <c r="AD53" i="264"/>
  <c r="AD29" i="264" s="1"/>
  <c r="AD37" i="264" s="1"/>
  <c r="AO53" i="264"/>
  <c r="AO29" i="264" s="1"/>
  <c r="AO37" i="264" s="1"/>
  <c r="S53" i="264"/>
  <c r="S29" i="264" s="1"/>
  <c r="S37" i="264" s="1"/>
  <c r="S54" i="264"/>
  <c r="Z35" i="264"/>
  <c r="AG53" i="264"/>
  <c r="AG29" i="264" s="1"/>
  <c r="AG37" i="264" s="1"/>
  <c r="AQ35" i="264"/>
  <c r="L34" i="263"/>
  <c r="L52" i="263" s="1"/>
  <c r="L33" i="263"/>
  <c r="L32" i="263"/>
  <c r="AS53" i="264"/>
  <c r="AS29" i="264" s="1"/>
  <c r="AS37" i="264" s="1"/>
  <c r="AP54" i="264"/>
  <c r="AP53" i="264"/>
  <c r="AP29" i="264" s="1"/>
  <c r="S34" i="263"/>
  <c r="S52" i="263" s="1"/>
  <c r="S33" i="263"/>
  <c r="S32" i="263"/>
  <c r="AL33" i="263"/>
  <c r="AL32" i="263"/>
  <c r="AL34" i="263"/>
  <c r="AL52" i="263" s="1"/>
  <c r="AM54" i="264"/>
  <c r="AM53" i="264"/>
  <c r="AM29" i="264" s="1"/>
  <c r="AM37" i="264" s="1"/>
  <c r="AC33" i="263"/>
  <c r="AC32" i="263"/>
  <c r="AC35" i="263" s="1"/>
  <c r="AC34" i="263"/>
  <c r="AC52" i="263" s="1"/>
  <c r="AB34" i="263"/>
  <c r="AB52" i="263" s="1"/>
  <c r="AB33" i="263"/>
  <c r="AB32" i="263"/>
  <c r="AB35" i="263" s="1"/>
  <c r="AQ34" i="263"/>
  <c r="AQ52" i="263" s="1"/>
  <c r="AQ33" i="263"/>
  <c r="AQ32" i="263"/>
  <c r="AE33" i="263"/>
  <c r="AE32" i="263"/>
  <c r="AE34" i="263"/>
  <c r="AE52" i="263" s="1"/>
  <c r="F33" i="263"/>
  <c r="F32" i="263"/>
  <c r="F34" i="263"/>
  <c r="F52" i="263" s="1"/>
  <c r="G33" i="263"/>
  <c r="G32" i="263"/>
  <c r="G34" i="263"/>
  <c r="G52" i="263" s="1"/>
  <c r="AF32" i="263"/>
  <c r="AF34" i="263"/>
  <c r="AF52" i="263" s="1"/>
  <c r="AF33" i="263"/>
  <c r="R32" i="263"/>
  <c r="R34" i="263"/>
  <c r="R52" i="263" s="1"/>
  <c r="R33" i="263"/>
  <c r="H35" i="264"/>
  <c r="V35" i="264"/>
  <c r="U53" i="264"/>
  <c r="U29" i="264" s="1"/>
  <c r="U37" i="264" s="1"/>
  <c r="F35" i="264"/>
  <c r="AC53" i="264"/>
  <c r="AC29" i="264" s="1"/>
  <c r="AC37" i="264" s="1"/>
  <c r="AR54" i="264"/>
  <c r="AR53" i="264"/>
  <c r="AR29" i="264" s="1"/>
  <c r="AR37" i="264" s="1"/>
  <c r="N53" i="264"/>
  <c r="N29" i="264" s="1"/>
  <c r="N37" i="264" s="1"/>
  <c r="AT35" i="264"/>
  <c r="Y53" i="264"/>
  <c r="Y29" i="264" s="1"/>
  <c r="Y54" i="264"/>
  <c r="AT57" i="257"/>
  <c r="E59" i="257"/>
  <c r="AT57" i="262"/>
  <c r="E59" i="262"/>
  <c r="G53" i="264"/>
  <c r="G29" i="264" s="1"/>
  <c r="G37" i="264" s="1"/>
  <c r="AL53" i="264"/>
  <c r="AL29" i="264" s="1"/>
  <c r="AL37" i="264" s="1"/>
  <c r="AL54" i="264"/>
  <c r="AU49" i="263"/>
  <c r="E33" i="263"/>
  <c r="E32" i="263"/>
  <c r="E34" i="263"/>
  <c r="Y32" i="263"/>
  <c r="Y34" i="263"/>
  <c r="Y52" i="263" s="1"/>
  <c r="Y33" i="263"/>
  <c r="AU33" i="264"/>
  <c r="AD33" i="263"/>
  <c r="AD32" i="263"/>
  <c r="AD34" i="263"/>
  <c r="AD52" i="263" s="1"/>
  <c r="T34" i="263"/>
  <c r="T52" i="263" s="1"/>
  <c r="T33" i="263"/>
  <c r="T32" i="263"/>
  <c r="AS33" i="263"/>
  <c r="AS32" i="263"/>
  <c r="AS34" i="263"/>
  <c r="AS52" i="263" s="1"/>
  <c r="H53" i="264"/>
  <c r="H29" i="264" s="1"/>
  <c r="H37" i="264" s="1"/>
  <c r="V53" i="264"/>
  <c r="V29" i="264" s="1"/>
  <c r="V37" i="264" s="1"/>
  <c r="AH53" i="264"/>
  <c r="AH29" i="264" s="1"/>
  <c r="AA53" i="264"/>
  <c r="AA29" i="264" s="1"/>
  <c r="AA54" i="264"/>
  <c r="F53" i="264"/>
  <c r="F29" i="264" s="1"/>
  <c r="F37" i="264" s="1"/>
  <c r="T54" i="264"/>
  <c r="T53" i="264"/>
  <c r="T29" i="264" s="1"/>
  <c r="T37" i="264" s="1"/>
  <c r="AB35" i="264"/>
  <c r="AT53" i="264"/>
  <c r="AT29" i="264" s="1"/>
  <c r="AT37" i="264" s="1"/>
  <c r="AT54" i="264"/>
  <c r="Y35" i="264"/>
  <c r="AP32" i="263"/>
  <c r="AP35" i="263" s="1"/>
  <c r="AP34" i="263"/>
  <c r="AP52" i="263" s="1"/>
  <c r="AP33" i="263"/>
  <c r="AI53" i="264"/>
  <c r="AI29" i="264" s="1"/>
  <c r="AI37" i="264" s="1"/>
  <c r="AI54" i="264"/>
  <c r="AJ34" i="263"/>
  <c r="AJ52" i="263" s="1"/>
  <c r="AJ33" i="263"/>
  <c r="AJ32" i="263"/>
  <c r="AJ35" i="263" s="1"/>
  <c r="AJ54" i="264"/>
  <c r="AJ53" i="264"/>
  <c r="AJ29" i="264" s="1"/>
  <c r="V33" i="263"/>
  <c r="V32" i="263"/>
  <c r="V34" i="263"/>
  <c r="V52" i="263" s="1"/>
  <c r="I32" i="263"/>
  <c r="I34" i="263"/>
  <c r="I52" i="263" s="1"/>
  <c r="I33" i="263"/>
  <c r="W33" i="263"/>
  <c r="W32" i="263"/>
  <c r="W34" i="263"/>
  <c r="W52" i="263" s="1"/>
  <c r="AR34" i="263"/>
  <c r="AR52" i="263" s="1"/>
  <c r="AR33" i="263"/>
  <c r="AR32" i="263"/>
  <c r="AR35" i="263" s="1"/>
  <c r="Q32" i="263"/>
  <c r="Q34" i="263"/>
  <c r="Q52" i="263" s="1"/>
  <c r="Q33" i="263"/>
  <c r="AU32" i="264"/>
  <c r="E35" i="264"/>
  <c r="P53" i="264"/>
  <c r="P29" i="264" s="1"/>
  <c r="P37" i="264" s="1"/>
  <c r="O33" i="263"/>
  <c r="O32" i="263"/>
  <c r="O34" i="263"/>
  <c r="O52" i="263" s="1"/>
  <c r="AM33" i="263"/>
  <c r="AM32" i="263"/>
  <c r="AM34" i="263"/>
  <c r="AM52" i="263" s="1"/>
  <c r="AH32" i="263"/>
  <c r="AH34" i="263"/>
  <c r="AH52" i="263" s="1"/>
  <c r="AH33" i="263"/>
  <c r="Z32" i="263"/>
  <c r="Z34" i="263"/>
  <c r="Z52" i="263" s="1"/>
  <c r="Z33" i="263"/>
  <c r="AK33" i="263"/>
  <c r="AK32" i="263"/>
  <c r="AK35" i="263" s="1"/>
  <c r="AK34" i="263"/>
  <c r="AK52" i="263" s="1"/>
  <c r="AK35" i="264"/>
  <c r="AH35" i="264"/>
  <c r="L35" i="264"/>
  <c r="AA35" i="264"/>
  <c r="AB54" i="264"/>
  <c r="AB53" i="264"/>
  <c r="AB29" i="264" s="1"/>
  <c r="AB37" i="264" s="1"/>
  <c r="AF35" i="264"/>
  <c r="W54" i="264"/>
  <c r="W53" i="264"/>
  <c r="W29" i="264" s="1"/>
  <c r="W37" i="264" s="1"/>
  <c r="F53" i="263" l="1"/>
  <c r="F29" i="263" s="1"/>
  <c r="F54" i="263"/>
  <c r="H33" i="260"/>
  <c r="H32" i="260"/>
  <c r="H34" i="260"/>
  <c r="H52" i="260" s="1"/>
  <c r="Q35" i="263"/>
  <c r="AA37" i="264"/>
  <c r="AS39" i="264"/>
  <c r="AS42" i="264" s="1"/>
  <c r="AS45" i="264" s="1"/>
  <c r="AS38" i="264"/>
  <c r="X38" i="264"/>
  <c r="X39" i="264" s="1"/>
  <c r="X42" i="264" s="1"/>
  <c r="X45" i="264" s="1"/>
  <c r="AM33" i="260"/>
  <c r="AM32" i="260"/>
  <c r="AM34" i="260"/>
  <c r="AM52" i="260" s="1"/>
  <c r="U34" i="260"/>
  <c r="U52" i="260" s="1"/>
  <c r="U33" i="260"/>
  <c r="U32" i="260"/>
  <c r="I35" i="263"/>
  <c r="AJ54" i="263"/>
  <c r="AJ53" i="263"/>
  <c r="AJ29" i="263" s="1"/>
  <c r="AJ37" i="263" s="1"/>
  <c r="AT38" i="264"/>
  <c r="AT39" i="264" s="1"/>
  <c r="AT42" i="264" s="1"/>
  <c r="AT45" i="264" s="1"/>
  <c r="AH37" i="264"/>
  <c r="AL38" i="264"/>
  <c r="AL39" i="264" s="1"/>
  <c r="AL42" i="264" s="1"/>
  <c r="AL45" i="264" s="1"/>
  <c r="Y37" i="264"/>
  <c r="AL35" i="263"/>
  <c r="AS54" i="264"/>
  <c r="AO35" i="263"/>
  <c r="H53" i="263"/>
  <c r="H29" i="263" s="1"/>
  <c r="H37" i="263" s="1"/>
  <c r="M35" i="263"/>
  <c r="M54" i="264"/>
  <c r="Q38" i="264"/>
  <c r="Q39" i="264"/>
  <c r="Q42" i="264" s="1"/>
  <c r="Q45" i="264" s="1"/>
  <c r="S32" i="260"/>
  <c r="S34" i="260"/>
  <c r="S52" i="260" s="1"/>
  <c r="S33" i="260"/>
  <c r="AR34" i="260"/>
  <c r="AR52" i="260" s="1"/>
  <c r="AR33" i="260"/>
  <c r="AR32" i="260"/>
  <c r="M34" i="260"/>
  <c r="M52" i="260" s="1"/>
  <c r="M33" i="260"/>
  <c r="M32" i="260"/>
  <c r="W33" i="260"/>
  <c r="W32" i="260"/>
  <c r="W34" i="260"/>
  <c r="W52" i="260" s="1"/>
  <c r="E34" i="261"/>
  <c r="E34" i="260"/>
  <c r="E33" i="260"/>
  <c r="E32" i="260"/>
  <c r="AG35" i="263"/>
  <c r="Q53" i="263"/>
  <c r="Q29" i="263" s="1"/>
  <c r="Q37" i="263" s="1"/>
  <c r="AC38" i="264"/>
  <c r="AC39" i="264" s="1"/>
  <c r="AC42" i="264" s="1"/>
  <c r="AC45" i="264" s="1"/>
  <c r="L38" i="264"/>
  <c r="L39" i="264"/>
  <c r="L42" i="264" s="1"/>
  <c r="L45" i="264" s="1"/>
  <c r="F33" i="260"/>
  <c r="F32" i="260"/>
  <c r="F34" i="260"/>
  <c r="F52" i="260" s="1"/>
  <c r="O35" i="263"/>
  <c r="F35" i="263"/>
  <c r="AO54" i="263"/>
  <c r="AO53" i="263"/>
  <c r="AO29" i="263" s="1"/>
  <c r="L54" i="264"/>
  <c r="W38" i="264"/>
  <c r="W39" i="264" s="1"/>
  <c r="W42" i="264" s="1"/>
  <c r="W45" i="264" s="1"/>
  <c r="AH53" i="263"/>
  <c r="AH29" i="263" s="1"/>
  <c r="P54" i="264"/>
  <c r="V53" i="263"/>
  <c r="V29" i="263" s="1"/>
  <c r="V37" i="263" s="1"/>
  <c r="AH54" i="264"/>
  <c r="T35" i="263"/>
  <c r="Y53" i="263"/>
  <c r="Y29" i="263" s="1"/>
  <c r="Y37" i="263" s="1"/>
  <c r="G38" i="264"/>
  <c r="G39" i="264"/>
  <c r="G42" i="264" s="1"/>
  <c r="G45" i="264" s="1"/>
  <c r="U39" i="264"/>
  <c r="U42" i="264" s="1"/>
  <c r="U45" i="264" s="1"/>
  <c r="U38" i="264"/>
  <c r="AF54" i="263"/>
  <c r="AF53" i="263"/>
  <c r="AF29" i="263" s="1"/>
  <c r="AE53" i="263"/>
  <c r="AE29" i="263" s="1"/>
  <c r="AE54" i="263"/>
  <c r="AB53" i="263"/>
  <c r="AB29" i="263" s="1"/>
  <c r="AB37" i="263" s="1"/>
  <c r="L35" i="263"/>
  <c r="S38" i="264"/>
  <c r="S39" i="264" s="1"/>
  <c r="S42" i="264" s="1"/>
  <c r="S45" i="264" s="1"/>
  <c r="U53" i="263"/>
  <c r="U29" i="263" s="1"/>
  <c r="H35" i="263"/>
  <c r="AE38" i="264"/>
  <c r="AE39" i="264"/>
  <c r="AE42" i="264" s="1"/>
  <c r="AE45" i="264" s="1"/>
  <c r="K39" i="264"/>
  <c r="K42" i="264" s="1"/>
  <c r="K45" i="264" s="1"/>
  <c r="K38" i="264"/>
  <c r="AF37" i="264"/>
  <c r="AK37" i="264"/>
  <c r="G33" i="260"/>
  <c r="G32" i="260"/>
  <c r="G34" i="260"/>
  <c r="G52" i="260" s="1"/>
  <c r="K32" i="260"/>
  <c r="K34" i="260"/>
  <c r="K52" i="260" s="1"/>
  <c r="K33" i="260"/>
  <c r="AK34" i="260"/>
  <c r="AK52" i="260" s="1"/>
  <c r="AK33" i="260"/>
  <c r="AK32" i="260"/>
  <c r="N33" i="260"/>
  <c r="N32" i="260"/>
  <c r="N34" i="260"/>
  <c r="N52" i="260" s="1"/>
  <c r="I32" i="260"/>
  <c r="I35" i="260" s="1"/>
  <c r="I34" i="260"/>
  <c r="I52" i="260" s="1"/>
  <c r="I33" i="260"/>
  <c r="J54" i="263"/>
  <c r="J53" i="263"/>
  <c r="J29" i="263" s="1"/>
  <c r="AU52" i="264"/>
  <c r="E53" i="264"/>
  <c r="E54" i="264" s="1"/>
  <c r="AU54" i="264" s="1"/>
  <c r="O53" i="263"/>
  <c r="O29" i="263" s="1"/>
  <c r="O37" i="263" s="1"/>
  <c r="AS53" i="263"/>
  <c r="AS29" i="263" s="1"/>
  <c r="R53" i="263"/>
  <c r="R29" i="263" s="1"/>
  <c r="R37" i="263" s="1"/>
  <c r="J32" i="260"/>
  <c r="J34" i="260"/>
  <c r="J52" i="260" s="1"/>
  <c r="J33" i="260"/>
  <c r="Z35" i="263"/>
  <c r="R35" i="263"/>
  <c r="AJ34" i="260"/>
  <c r="AJ52" i="260" s="1"/>
  <c r="AJ33" i="260"/>
  <c r="AJ32" i="260"/>
  <c r="AJ35" i="260" s="1"/>
  <c r="AK53" i="263"/>
  <c r="AK29" i="263" s="1"/>
  <c r="AK37" i="263" s="1"/>
  <c r="AH35" i="263"/>
  <c r="P38" i="264"/>
  <c r="P39" i="264" s="1"/>
  <c r="P42" i="264" s="1"/>
  <c r="P45" i="264" s="1"/>
  <c r="AR54" i="263"/>
  <c r="AR53" i="263"/>
  <c r="AR29" i="263" s="1"/>
  <c r="AR37" i="263" s="1"/>
  <c r="V35" i="263"/>
  <c r="AI38" i="264"/>
  <c r="AI39" i="264" s="1"/>
  <c r="AI42" i="264" s="1"/>
  <c r="AI45" i="264" s="1"/>
  <c r="T38" i="264"/>
  <c r="T39" i="264" s="1"/>
  <c r="T42" i="264" s="1"/>
  <c r="T45" i="264" s="1"/>
  <c r="V54" i="264"/>
  <c r="Y35" i="263"/>
  <c r="G54" i="264"/>
  <c r="N54" i="264"/>
  <c r="U54" i="264"/>
  <c r="AF35" i="263"/>
  <c r="AE35" i="263"/>
  <c r="AC53" i="263"/>
  <c r="AC29" i="263" s="1"/>
  <c r="AC37" i="263" s="1"/>
  <c r="S35" i="263"/>
  <c r="AO54" i="264"/>
  <c r="U35" i="263"/>
  <c r="K35" i="263"/>
  <c r="J38" i="264"/>
  <c r="J39" i="264"/>
  <c r="J42" i="264" s="1"/>
  <c r="J45" i="264" s="1"/>
  <c r="AQ37" i="264"/>
  <c r="AE54" i="264"/>
  <c r="I54" i="264"/>
  <c r="Q32" i="260"/>
  <c r="Q34" i="260"/>
  <c r="Q52" i="260" s="1"/>
  <c r="Q33" i="260"/>
  <c r="AC34" i="260"/>
  <c r="AC52" i="260" s="1"/>
  <c r="AC33" i="260"/>
  <c r="AC32" i="260"/>
  <c r="P33" i="260"/>
  <c r="P32" i="260"/>
  <c r="P34" i="260"/>
  <c r="P52" i="260" s="1"/>
  <c r="Y32" i="260"/>
  <c r="Y34" i="260"/>
  <c r="Y52" i="260" s="1"/>
  <c r="Y33" i="260"/>
  <c r="AN33" i="260"/>
  <c r="AN32" i="260"/>
  <c r="AN34" i="260"/>
  <c r="AN52" i="260" s="1"/>
  <c r="J35" i="263"/>
  <c r="P53" i="263"/>
  <c r="P29" i="263" s="1"/>
  <c r="P37" i="263" s="1"/>
  <c r="R37" i="264"/>
  <c r="AQ53" i="263"/>
  <c r="AQ29" i="263" s="1"/>
  <c r="AQ54" i="263"/>
  <c r="AI53" i="263"/>
  <c r="AI29" i="263" s="1"/>
  <c r="AI37" i="263" s="1"/>
  <c r="Z32" i="260"/>
  <c r="Z34" i="260"/>
  <c r="Z52" i="260" s="1"/>
  <c r="Z33" i="260"/>
  <c r="I53" i="263"/>
  <c r="I29" i="263" s="1"/>
  <c r="I37" i="263" s="1"/>
  <c r="AS35" i="263"/>
  <c r="AC54" i="264"/>
  <c r="AL54" i="263"/>
  <c r="AL53" i="263"/>
  <c r="AL29" i="263" s="1"/>
  <c r="AL37" i="263" s="1"/>
  <c r="M38" i="264"/>
  <c r="M39" i="264" s="1"/>
  <c r="M42" i="264" s="1"/>
  <c r="M45" i="264" s="1"/>
  <c r="AA32" i="260"/>
  <c r="AA34" i="260"/>
  <c r="AA52" i="260" s="1"/>
  <c r="AA33" i="260"/>
  <c r="AG53" i="263"/>
  <c r="AG29" i="263" s="1"/>
  <c r="AG37" i="263" s="1"/>
  <c r="AM54" i="263"/>
  <c r="AM53" i="263"/>
  <c r="AM29" i="263" s="1"/>
  <c r="AU35" i="264"/>
  <c r="W53" i="263"/>
  <c r="W29" i="263" s="1"/>
  <c r="W37" i="263" s="1"/>
  <c r="W54" i="263"/>
  <c r="V38" i="264"/>
  <c r="V39" i="264" s="1"/>
  <c r="V42" i="264" s="1"/>
  <c r="V45" i="264" s="1"/>
  <c r="T54" i="263"/>
  <c r="T53" i="263"/>
  <c r="T29" i="263" s="1"/>
  <c r="T37" i="263" s="1"/>
  <c r="E52" i="263"/>
  <c r="AU34" i="263"/>
  <c r="AT59" i="262"/>
  <c r="E60" i="262"/>
  <c r="N39" i="264"/>
  <c r="N42" i="264" s="1"/>
  <c r="N45" i="264" s="1"/>
  <c r="N38" i="264"/>
  <c r="G53" i="263"/>
  <c r="G29" i="263" s="1"/>
  <c r="L53" i="263"/>
  <c r="L29" i="263" s="1"/>
  <c r="AO38" i="264"/>
  <c r="AO39" i="264"/>
  <c r="AO42" i="264" s="1"/>
  <c r="AO45" i="264" s="1"/>
  <c r="O38" i="264"/>
  <c r="O39" i="264" s="1"/>
  <c r="O42" i="264" s="1"/>
  <c r="O45" i="264" s="1"/>
  <c r="I38" i="264"/>
  <c r="I39" i="264" s="1"/>
  <c r="I42" i="264" s="1"/>
  <c r="I45" i="264" s="1"/>
  <c r="L34" i="260"/>
  <c r="L52" i="260" s="1"/>
  <c r="L33" i="260"/>
  <c r="L32" i="260"/>
  <c r="L35" i="260" s="1"/>
  <c r="X33" i="260"/>
  <c r="X32" i="260"/>
  <c r="X35" i="260" s="1"/>
  <c r="X34" i="260"/>
  <c r="X52" i="260" s="1"/>
  <c r="AB34" i="260"/>
  <c r="AB52" i="260" s="1"/>
  <c r="AB33" i="260"/>
  <c r="AB32" i="260"/>
  <c r="T34" i="260"/>
  <c r="T52" i="260" s="1"/>
  <c r="T33" i="260"/>
  <c r="T32" i="260"/>
  <c r="T35" i="260" s="1"/>
  <c r="AG32" i="260"/>
  <c r="AG35" i="260" s="1"/>
  <c r="AG34" i="260"/>
  <c r="AG52" i="260" s="1"/>
  <c r="AG33" i="260"/>
  <c r="Z54" i="263"/>
  <c r="Z53" i="263"/>
  <c r="Z29" i="263" s="1"/>
  <c r="Z37" i="263" s="1"/>
  <c r="AG38" i="264"/>
  <c r="AG39" i="264"/>
  <c r="AG42" i="264" s="1"/>
  <c r="AG45" i="264" s="1"/>
  <c r="AF33" i="260"/>
  <c r="AF32" i="260"/>
  <c r="AF35" i="260" s="1"/>
  <c r="AF34" i="260"/>
  <c r="AF52" i="260" s="1"/>
  <c r="M53" i="263"/>
  <c r="M29" i="263" s="1"/>
  <c r="AS34" i="260"/>
  <c r="AS52" i="260" s="1"/>
  <c r="AS33" i="260"/>
  <c r="AS32" i="260"/>
  <c r="AS35" i="260" s="1"/>
  <c r="AB38" i="264"/>
  <c r="AB39" i="264"/>
  <c r="AB42" i="264" s="1"/>
  <c r="AB45" i="264" s="1"/>
  <c r="AM35" i="263"/>
  <c r="W35" i="263"/>
  <c r="AJ37" i="264"/>
  <c r="AP53" i="263"/>
  <c r="AP29" i="263" s="1"/>
  <c r="AP37" i="263" s="1"/>
  <c r="F54" i="264"/>
  <c r="H54" i="264"/>
  <c r="AD53" i="263"/>
  <c r="AD29" i="263" s="1"/>
  <c r="AD37" i="263" s="1"/>
  <c r="E35" i="263"/>
  <c r="AU32" i="263"/>
  <c r="AR38" i="264"/>
  <c r="AR39" i="264"/>
  <c r="AR42" i="264" s="1"/>
  <c r="AR45" i="264" s="1"/>
  <c r="G35" i="263"/>
  <c r="AQ35" i="263"/>
  <c r="S54" i="263"/>
  <c r="S53" i="263"/>
  <c r="S29" i="263" s="1"/>
  <c r="S37" i="263" s="1"/>
  <c r="AD54" i="264"/>
  <c r="AI35" i="263"/>
  <c r="K53" i="263"/>
  <c r="K29" i="263" s="1"/>
  <c r="O54" i="264"/>
  <c r="N53" i="263"/>
  <c r="N29" i="263" s="1"/>
  <c r="N37" i="263" s="1"/>
  <c r="N54" i="263"/>
  <c r="AO32" i="260"/>
  <c r="AO34" i="260"/>
  <c r="AO52" i="260" s="1"/>
  <c r="AO33" i="260"/>
  <c r="AI32" i="260"/>
  <c r="AI34" i="260"/>
  <c r="AI52" i="260" s="1"/>
  <c r="AI33" i="260"/>
  <c r="AQ32" i="260"/>
  <c r="AQ34" i="260"/>
  <c r="AQ52" i="260" s="1"/>
  <c r="AQ33" i="260"/>
  <c r="AE33" i="260"/>
  <c r="AE32" i="260"/>
  <c r="AE34" i="260"/>
  <c r="AE52" i="260" s="1"/>
  <c r="AH32" i="260"/>
  <c r="AH34" i="260"/>
  <c r="AH52" i="260" s="1"/>
  <c r="AH33" i="260"/>
  <c r="AP32" i="260"/>
  <c r="AP35" i="260" s="1"/>
  <c r="AP34" i="260"/>
  <c r="AP52" i="260" s="1"/>
  <c r="AP33" i="260"/>
  <c r="F39" i="264"/>
  <c r="F42" i="264" s="1"/>
  <c r="F45" i="264" s="1"/>
  <c r="F38" i="264"/>
  <c r="H38" i="264"/>
  <c r="H39" i="264" s="1"/>
  <c r="H42" i="264" s="1"/>
  <c r="AD35" i="263"/>
  <c r="AU33" i="263"/>
  <c r="E60" i="257"/>
  <c r="AT59" i="257"/>
  <c r="AM38" i="264"/>
  <c r="AM39" i="264" s="1"/>
  <c r="AM42" i="264" s="1"/>
  <c r="AM45" i="264" s="1"/>
  <c r="AP37" i="264"/>
  <c r="AG54" i="264"/>
  <c r="AD38" i="264"/>
  <c r="AD39" i="264" s="1"/>
  <c r="AD42" i="264" s="1"/>
  <c r="AD45" i="264" s="1"/>
  <c r="AN53" i="263"/>
  <c r="AN29" i="263" s="1"/>
  <c r="AN37" i="263" s="1"/>
  <c r="Z37" i="264"/>
  <c r="AN38" i="264"/>
  <c r="AN39" i="264" s="1"/>
  <c r="AN42" i="264" s="1"/>
  <c r="AN45" i="264" s="1"/>
  <c r="N35" i="263"/>
  <c r="R32" i="260"/>
  <c r="R34" i="260"/>
  <c r="R52" i="260" s="1"/>
  <c r="R33" i="260"/>
  <c r="O33" i="260"/>
  <c r="O32" i="260"/>
  <c r="O34" i="260"/>
  <c r="O52" i="260" s="1"/>
  <c r="V33" i="260"/>
  <c r="V32" i="260"/>
  <c r="V34" i="260"/>
  <c r="V52" i="260" s="1"/>
  <c r="AL33" i="260"/>
  <c r="AL32" i="260"/>
  <c r="AL34" i="260"/>
  <c r="AL52" i="260" s="1"/>
  <c r="AD33" i="260"/>
  <c r="AD32" i="260"/>
  <c r="AD34" i="260"/>
  <c r="AD52" i="260" s="1"/>
  <c r="AA53" i="263"/>
  <c r="AA29" i="263" s="1"/>
  <c r="AA37" i="263" s="1"/>
  <c r="X54" i="263"/>
  <c r="X53" i="263"/>
  <c r="X29" i="263" s="1"/>
  <c r="X37" i="263" s="1"/>
  <c r="H45" i="264" l="1"/>
  <c r="B10" i="256"/>
  <c r="Q38" i="263"/>
  <c r="Q39" i="263"/>
  <c r="Q42" i="263" s="1"/>
  <c r="Q45" i="263" s="1"/>
  <c r="H54" i="263"/>
  <c r="AM54" i="260"/>
  <c r="AM53" i="260"/>
  <c r="AM29" i="260" s="1"/>
  <c r="AM37" i="260" s="1"/>
  <c r="AD38" i="263"/>
  <c r="AD39" i="263" s="1"/>
  <c r="AD42" i="263" s="1"/>
  <c r="AD45" i="263" s="1"/>
  <c r="O38" i="263"/>
  <c r="O39" i="263" s="1"/>
  <c r="O42" i="263" s="1"/>
  <c r="O45" i="263" s="1"/>
  <c r="R35" i="260"/>
  <c r="I38" i="263"/>
  <c r="I39" i="263" s="1"/>
  <c r="I42" i="263" s="1"/>
  <c r="I45" i="263" s="1"/>
  <c r="J53" i="260"/>
  <c r="J29" i="260" s="1"/>
  <c r="J54" i="260"/>
  <c r="N53" i="260"/>
  <c r="N29" i="260" s="1"/>
  <c r="H38" i="263"/>
  <c r="H39" i="263" s="1"/>
  <c r="H42" i="263" s="1"/>
  <c r="H45" i="263" s="1"/>
  <c r="AA38" i="264"/>
  <c r="AA39" i="264" s="1"/>
  <c r="AA42" i="264" s="1"/>
  <c r="AA45" i="264" s="1"/>
  <c r="W38" i="263"/>
  <c r="W39" i="263"/>
  <c r="W42" i="263" s="1"/>
  <c r="W45" i="263" s="1"/>
  <c r="I54" i="263"/>
  <c r="AK54" i="263"/>
  <c r="G53" i="260"/>
  <c r="G29" i="260" s="1"/>
  <c r="G54" i="260"/>
  <c r="AB54" i="263"/>
  <c r="T53" i="260"/>
  <c r="T29" i="260" s="1"/>
  <c r="T37" i="260" s="1"/>
  <c r="Q54" i="260"/>
  <c r="Q53" i="260"/>
  <c r="Q29" i="260" s="1"/>
  <c r="G35" i="260"/>
  <c r="Y38" i="263"/>
  <c r="Y39" i="263" s="1"/>
  <c r="Y42" i="263" s="1"/>
  <c r="Y45" i="263" s="1"/>
  <c r="AH54" i="263"/>
  <c r="F53" i="260"/>
  <c r="F29" i="260" s="1"/>
  <c r="Q54" i="263"/>
  <c r="S53" i="260"/>
  <c r="S29" i="260" s="1"/>
  <c r="AM35" i="260"/>
  <c r="H54" i="260"/>
  <c r="H53" i="260"/>
  <c r="H29" i="260" s="1"/>
  <c r="AD35" i="260"/>
  <c r="O53" i="260"/>
  <c r="O29" i="260" s="1"/>
  <c r="O37" i="260" s="1"/>
  <c r="O54" i="260"/>
  <c r="AE53" i="260"/>
  <c r="AE29" i="260" s="1"/>
  <c r="AI35" i="260"/>
  <c r="K54" i="263"/>
  <c r="AP54" i="263"/>
  <c r="AS53" i="260"/>
  <c r="AS29" i="260" s="1"/>
  <c r="AS37" i="260" s="1"/>
  <c r="Z39" i="263"/>
  <c r="Z42" i="263" s="1"/>
  <c r="Z45" i="263" s="1"/>
  <c r="Z38" i="263"/>
  <c r="AB35" i="260"/>
  <c r="L53" i="260"/>
  <c r="L29" i="260" s="1"/>
  <c r="L37" i="260" s="1"/>
  <c r="L54" i="263"/>
  <c r="E53" i="263"/>
  <c r="AU52" i="263"/>
  <c r="E54" i="263"/>
  <c r="AM37" i="263"/>
  <c r="Z53" i="260"/>
  <c r="Z29" i="260" s="1"/>
  <c r="P54" i="263"/>
  <c r="P53" i="260"/>
  <c r="P29" i="260" s="1"/>
  <c r="Q35" i="260"/>
  <c r="AR39" i="263"/>
  <c r="AR42" i="263" s="1"/>
  <c r="AR45" i="263" s="1"/>
  <c r="AR38" i="263"/>
  <c r="R54" i="263"/>
  <c r="J37" i="263"/>
  <c r="AK35" i="260"/>
  <c r="U54" i="263"/>
  <c r="AE37" i="263"/>
  <c r="Y54" i="263"/>
  <c r="F35" i="260"/>
  <c r="M35" i="260"/>
  <c r="S35" i="260"/>
  <c r="AJ38" i="263"/>
  <c r="AJ39" i="263" s="1"/>
  <c r="AJ42" i="263" s="1"/>
  <c r="AJ45" i="263" s="1"/>
  <c r="H35" i="260"/>
  <c r="AQ53" i="260"/>
  <c r="AQ29" i="260" s="1"/>
  <c r="AQ37" i="260" s="1"/>
  <c r="H12" i="261"/>
  <c r="V54" i="260"/>
  <c r="V53" i="260"/>
  <c r="V29" i="260" s="1"/>
  <c r="N39" i="263"/>
  <c r="N42" i="263" s="1"/>
  <c r="N45" i="263" s="1"/>
  <c r="N38" i="263"/>
  <c r="AA53" i="260"/>
  <c r="AA29" i="260" s="1"/>
  <c r="AC54" i="260"/>
  <c r="AC53" i="260"/>
  <c r="AC29" i="260" s="1"/>
  <c r="AK38" i="263"/>
  <c r="AK39" i="263" s="1"/>
  <c r="AK42" i="263" s="1"/>
  <c r="AK45" i="263" s="1"/>
  <c r="AU53" i="264"/>
  <c r="E29" i="264"/>
  <c r="K35" i="260"/>
  <c r="AR53" i="260"/>
  <c r="AR29" i="260" s="1"/>
  <c r="AR37" i="260" s="1"/>
  <c r="AH38" i="264"/>
  <c r="AH39" i="264" s="1"/>
  <c r="AH42" i="264" s="1"/>
  <c r="AH45" i="264" s="1"/>
  <c r="V35" i="260"/>
  <c r="R39" i="264"/>
  <c r="R42" i="264" s="1"/>
  <c r="R45" i="264" s="1"/>
  <c r="R38" i="264"/>
  <c r="J35" i="260"/>
  <c r="AD53" i="260"/>
  <c r="AD29" i="260" s="1"/>
  <c r="AD37" i="260" s="1"/>
  <c r="AP38" i="264"/>
  <c r="AP39" i="264" s="1"/>
  <c r="AP42" i="264" s="1"/>
  <c r="AP45" i="264" s="1"/>
  <c r="AI53" i="260"/>
  <c r="AI29" i="260" s="1"/>
  <c r="AI37" i="260" s="1"/>
  <c r="L37" i="263"/>
  <c r="P38" i="263"/>
  <c r="P39" i="263" s="1"/>
  <c r="P42" i="263" s="1"/>
  <c r="P45" i="263" s="1"/>
  <c r="Y35" i="260"/>
  <c r="R38" i="263"/>
  <c r="R39" i="263" s="1"/>
  <c r="R42" i="263" s="1"/>
  <c r="R45" i="263" s="1"/>
  <c r="O35" i="260"/>
  <c r="Z38" i="264"/>
  <c r="Z39" i="264" s="1"/>
  <c r="Z42" i="264" s="1"/>
  <c r="Z45" i="264" s="1"/>
  <c r="AE35" i="260"/>
  <c r="AJ38" i="264"/>
  <c r="AJ39" i="264"/>
  <c r="AJ42" i="264" s="1"/>
  <c r="AJ45" i="264" s="1"/>
  <c r="M54" i="263"/>
  <c r="G54" i="263"/>
  <c r="T38" i="263"/>
  <c r="T39" i="263" s="1"/>
  <c r="T42" i="263" s="1"/>
  <c r="T45" i="263" s="1"/>
  <c r="AL38" i="263"/>
  <c r="AL39" i="263" s="1"/>
  <c r="AL42" i="263" s="1"/>
  <c r="AL45" i="263" s="1"/>
  <c r="Z35" i="260"/>
  <c r="P35" i="260"/>
  <c r="AJ53" i="260"/>
  <c r="AJ29" i="260" s="1"/>
  <c r="AJ37" i="260" s="1"/>
  <c r="AS54" i="263"/>
  <c r="AK39" i="264"/>
  <c r="AK42" i="264" s="1"/>
  <c r="AK45" i="264" s="1"/>
  <c r="AK38" i="264"/>
  <c r="U37" i="263"/>
  <c r="AF37" i="263"/>
  <c r="E35" i="260"/>
  <c r="AU32" i="260"/>
  <c r="R53" i="260"/>
  <c r="R29" i="260" s="1"/>
  <c r="AH53" i="260"/>
  <c r="AH29" i="260" s="1"/>
  <c r="AH37" i="260" s="1"/>
  <c r="AH37" i="263"/>
  <c r="K37" i="263"/>
  <c r="AO53" i="260"/>
  <c r="AO29" i="260" s="1"/>
  <c r="AC38" i="263"/>
  <c r="AC39" i="263" s="1"/>
  <c r="AC42" i="263" s="1"/>
  <c r="AC45" i="263" s="1"/>
  <c r="AS37" i="263"/>
  <c r="AK53" i="260"/>
  <c r="AK29" i="260" s="1"/>
  <c r="AF38" i="264"/>
  <c r="AF39" i="264" s="1"/>
  <c r="AF42" i="264" s="1"/>
  <c r="AF45" i="264" s="1"/>
  <c r="E18" i="261"/>
  <c r="AU33" i="260"/>
  <c r="M53" i="260"/>
  <c r="M29" i="260" s="1"/>
  <c r="M37" i="260" s="1"/>
  <c r="Y38" i="264"/>
  <c r="Y39" i="264"/>
  <c r="Y42" i="264" s="1"/>
  <c r="Y45" i="264" s="1"/>
  <c r="K53" i="260"/>
  <c r="K29" i="260" s="1"/>
  <c r="K37" i="260" s="1"/>
  <c r="V38" i="263"/>
  <c r="V39" i="263" s="1"/>
  <c r="V42" i="263" s="1"/>
  <c r="V45" i="263" s="1"/>
  <c r="AA38" i="263"/>
  <c r="AA39" i="263"/>
  <c r="AA42" i="263" s="1"/>
  <c r="AA45" i="263" s="1"/>
  <c r="AQ35" i="260"/>
  <c r="AT60" i="262"/>
  <c r="E48" i="262"/>
  <c r="K49" i="262"/>
  <c r="S49" i="262"/>
  <c r="AP49" i="262"/>
  <c r="AB49" i="262"/>
  <c r="Y49" i="262"/>
  <c r="AJ49" i="262"/>
  <c r="AE49" i="262"/>
  <c r="F49" i="262"/>
  <c r="H49" i="262"/>
  <c r="T49" i="262"/>
  <c r="AM49" i="262"/>
  <c r="AR49" i="262"/>
  <c r="W49" i="262"/>
  <c r="O49" i="262"/>
  <c r="E49" i="262"/>
  <c r="U49" i="262"/>
  <c r="AN49" i="262"/>
  <c r="Z49" i="262"/>
  <c r="AL49" i="262"/>
  <c r="I49" i="262"/>
  <c r="N49" i="262"/>
  <c r="AF49" i="262"/>
  <c r="J49" i="262"/>
  <c r="AI49" i="262"/>
  <c r="AK49" i="262"/>
  <c r="AC49" i="262"/>
  <c r="AS49" i="262"/>
  <c r="V49" i="262"/>
  <c r="P49" i="262"/>
  <c r="AH49" i="262"/>
  <c r="Q49" i="262"/>
  <c r="R49" i="262"/>
  <c r="L49" i="262"/>
  <c r="AQ49" i="262"/>
  <c r="G49" i="262"/>
  <c r="X49" i="262"/>
  <c r="AA49" i="262"/>
  <c r="AO49" i="262"/>
  <c r="AD49" i="262"/>
  <c r="M49" i="262"/>
  <c r="AG49" i="262"/>
  <c r="AQ37" i="263"/>
  <c r="AB39" i="263"/>
  <c r="AB42" i="263" s="1"/>
  <c r="AB45" i="263" s="1"/>
  <c r="AB38" i="263"/>
  <c r="W53" i="260"/>
  <c r="W29" i="260" s="1"/>
  <c r="W37" i="260" s="1"/>
  <c r="U53" i="260"/>
  <c r="U29" i="260" s="1"/>
  <c r="AA54" i="263"/>
  <c r="AA35" i="260"/>
  <c r="Y54" i="260"/>
  <c r="Y53" i="260"/>
  <c r="Y29" i="260" s="1"/>
  <c r="N35" i="260"/>
  <c r="W35" i="260"/>
  <c r="AH35" i="260"/>
  <c r="AP38" i="263"/>
  <c r="AP39" i="263" s="1"/>
  <c r="AP42" i="263" s="1"/>
  <c r="AP45" i="263" s="1"/>
  <c r="AL53" i="260"/>
  <c r="AL29" i="260" s="1"/>
  <c r="AN38" i="263"/>
  <c r="AN39" i="263" s="1"/>
  <c r="AN42" i="263" s="1"/>
  <c r="AN45" i="263" s="1"/>
  <c r="AU35" i="263"/>
  <c r="M37" i="263"/>
  <c r="AB53" i="260"/>
  <c r="AB29" i="260" s="1"/>
  <c r="AB37" i="260" s="1"/>
  <c r="G37" i="263"/>
  <c r="AG39" i="263"/>
  <c r="AG42" i="263" s="1"/>
  <c r="AG45" i="263" s="1"/>
  <c r="AG38" i="263"/>
  <c r="AI39" i="263"/>
  <c r="AI42" i="263" s="1"/>
  <c r="AI45" i="263" s="1"/>
  <c r="AI38" i="263"/>
  <c r="AN53" i="260"/>
  <c r="AN29" i="260" s="1"/>
  <c r="X39" i="263"/>
  <c r="X42" i="263" s="1"/>
  <c r="X45" i="263" s="1"/>
  <c r="X38" i="263"/>
  <c r="AL35" i="260"/>
  <c r="AN54" i="263"/>
  <c r="AT60" i="257"/>
  <c r="E48" i="257"/>
  <c r="AR49" i="257"/>
  <c r="R49" i="257"/>
  <c r="H49" i="257"/>
  <c r="AN49" i="257"/>
  <c r="Y49" i="257"/>
  <c r="AP49" i="257"/>
  <c r="AJ49" i="257"/>
  <c r="L49" i="257"/>
  <c r="F49" i="257"/>
  <c r="AC49" i="257"/>
  <c r="U49" i="257"/>
  <c r="N49" i="257"/>
  <c r="AE49" i="257"/>
  <c r="AF49" i="257"/>
  <c r="X49" i="257"/>
  <c r="AH49" i="257"/>
  <c r="J49" i="257"/>
  <c r="E49" i="257"/>
  <c r="T49" i="257"/>
  <c r="Z49" i="257"/>
  <c r="AK49" i="257"/>
  <c r="AM49" i="257"/>
  <c r="K49" i="257"/>
  <c r="AI49" i="257"/>
  <c r="Q49" i="257"/>
  <c r="AQ49" i="257"/>
  <c r="S49" i="257"/>
  <c r="M49" i="257"/>
  <c r="AL49" i="257"/>
  <c r="AD49" i="257"/>
  <c r="AG49" i="257"/>
  <c r="AA49" i="257"/>
  <c r="W49" i="257"/>
  <c r="P49" i="257"/>
  <c r="AB49" i="257"/>
  <c r="AO49" i="257"/>
  <c r="O49" i="257"/>
  <c r="V49" i="257"/>
  <c r="G49" i="257"/>
  <c r="I49" i="257"/>
  <c r="AP53" i="260"/>
  <c r="AP29" i="260" s="1"/>
  <c r="AP37" i="260" s="1"/>
  <c r="AP54" i="260"/>
  <c r="AO35" i="260"/>
  <c r="S38" i="263"/>
  <c r="S39" i="263"/>
  <c r="S42" i="263" s="1"/>
  <c r="S45" i="263" s="1"/>
  <c r="AD54" i="263"/>
  <c r="AF54" i="260"/>
  <c r="AF53" i="260"/>
  <c r="AF29" i="260" s="1"/>
  <c r="AF37" i="260" s="1"/>
  <c r="AG53" i="260"/>
  <c r="AG29" i="260" s="1"/>
  <c r="AG37" i="260" s="1"/>
  <c r="AG54" i="260"/>
  <c r="X54" i="260"/>
  <c r="X53" i="260"/>
  <c r="X29" i="260" s="1"/>
  <c r="X37" i="260" s="1"/>
  <c r="AG54" i="263"/>
  <c r="AI54" i="263"/>
  <c r="AN35" i="260"/>
  <c r="AC35" i="260"/>
  <c r="AQ38" i="264"/>
  <c r="AQ39" i="264" s="1"/>
  <c r="AQ42" i="264" s="1"/>
  <c r="AQ45" i="264" s="1"/>
  <c r="AC54" i="263"/>
  <c r="O54" i="263"/>
  <c r="I54" i="260"/>
  <c r="I53" i="260"/>
  <c r="I29" i="260" s="1"/>
  <c r="I37" i="260" s="1"/>
  <c r="V54" i="263"/>
  <c r="AO37" i="263"/>
  <c r="E19" i="261"/>
  <c r="F19" i="261" s="1"/>
  <c r="E52" i="260"/>
  <c r="AU34" i="260"/>
  <c r="AR35" i="260"/>
  <c r="U35" i="260"/>
  <c r="F37" i="263"/>
  <c r="AG32" i="262" l="1"/>
  <c r="AG34" i="262"/>
  <c r="AG52" i="262" s="1"/>
  <c r="AG33" i="262"/>
  <c r="K32" i="262"/>
  <c r="K34" i="262"/>
  <c r="K52" i="262" s="1"/>
  <c r="K33" i="262"/>
  <c r="AO37" i="260"/>
  <c r="AD39" i="260"/>
  <c r="AD42" i="260" s="1"/>
  <c r="AD45" i="260" s="1"/>
  <c r="AD38" i="260"/>
  <c r="E37" i="261"/>
  <c r="E53" i="260"/>
  <c r="P33" i="257"/>
  <c r="P32" i="257"/>
  <c r="P34" i="257"/>
  <c r="P52" i="257" s="1"/>
  <c r="AT49" i="257"/>
  <c r="E34" i="257"/>
  <c r="E33" i="257"/>
  <c r="E32" i="257"/>
  <c r="R34" i="257"/>
  <c r="R52" i="257" s="1"/>
  <c r="R32" i="257"/>
  <c r="R35" i="257" s="1"/>
  <c r="R33" i="257"/>
  <c r="AN37" i="260"/>
  <c r="AB54" i="260"/>
  <c r="U37" i="260"/>
  <c r="M34" i="262"/>
  <c r="M52" i="262" s="1"/>
  <c r="M33" i="262"/>
  <c r="M32" i="262"/>
  <c r="M35" i="262" s="1"/>
  <c r="R34" i="262"/>
  <c r="R52" i="262" s="1"/>
  <c r="R33" i="262"/>
  <c r="R32" i="262"/>
  <c r="R35" i="262" s="1"/>
  <c r="AI32" i="262"/>
  <c r="AI35" i="262" s="1"/>
  <c r="AI34" i="262"/>
  <c r="AI52" i="262" s="1"/>
  <c r="AI33" i="262"/>
  <c r="U34" i="262"/>
  <c r="U52" i="262" s="1"/>
  <c r="U33" i="262"/>
  <c r="U32" i="262"/>
  <c r="U35" i="262" s="1"/>
  <c r="F33" i="262"/>
  <c r="F34" i="262"/>
  <c r="F52" i="262" s="1"/>
  <c r="F32" i="262"/>
  <c r="F35" i="262" s="1"/>
  <c r="K54" i="260"/>
  <c r="K38" i="263"/>
  <c r="K39" i="263" s="1"/>
  <c r="K42" i="263" s="1"/>
  <c r="K45" i="263" s="1"/>
  <c r="AF38" i="263"/>
  <c r="AF39" i="263" s="1"/>
  <c r="AF42" i="263" s="1"/>
  <c r="AF45" i="263" s="1"/>
  <c r="AD54" i="260"/>
  <c r="AR54" i="260"/>
  <c r="AA37" i="260"/>
  <c r="AQ38" i="260"/>
  <c r="AQ39" i="260"/>
  <c r="AQ42" i="260" s="1"/>
  <c r="AQ45" i="260" s="1"/>
  <c r="AS38" i="260"/>
  <c r="AS39" i="260" s="1"/>
  <c r="AS42" i="260" s="1"/>
  <c r="AS45" i="260" s="1"/>
  <c r="O39" i="260"/>
  <c r="O42" i="260" s="1"/>
  <c r="O45" i="260" s="1"/>
  <c r="O38" i="260"/>
  <c r="F37" i="260"/>
  <c r="T39" i="260"/>
  <c r="T42" i="260" s="1"/>
  <c r="T45" i="260" s="1"/>
  <c r="T38" i="260"/>
  <c r="J37" i="260"/>
  <c r="AM38" i="260"/>
  <c r="AM39" i="260" s="1"/>
  <c r="AM42" i="260" s="1"/>
  <c r="AM45" i="260" s="1"/>
  <c r="S32" i="257"/>
  <c r="S33" i="257"/>
  <c r="S34" i="257"/>
  <c r="S52" i="257" s="1"/>
  <c r="H33" i="262"/>
  <c r="H32" i="262"/>
  <c r="H34" i="262"/>
  <c r="H52" i="262" s="1"/>
  <c r="AU35" i="260"/>
  <c r="AR38" i="260"/>
  <c r="AR39" i="260" s="1"/>
  <c r="AR42" i="260" s="1"/>
  <c r="AR45" i="260" s="1"/>
  <c r="AU54" i="263"/>
  <c r="AC32" i="257"/>
  <c r="AC34" i="257"/>
  <c r="AC52" i="257" s="1"/>
  <c r="AC33" i="257"/>
  <c r="AG38" i="260"/>
  <c r="AG39" i="260" s="1"/>
  <c r="AG42" i="260" s="1"/>
  <c r="AG45" i="260" s="1"/>
  <c r="AP38" i="260"/>
  <c r="AP39" i="260"/>
  <c r="AP42" i="260" s="1"/>
  <c r="AP45" i="260" s="1"/>
  <c r="Q33" i="257"/>
  <c r="Q32" i="257"/>
  <c r="Q34" i="257"/>
  <c r="Q52" i="257" s="1"/>
  <c r="J32" i="257"/>
  <c r="J34" i="257"/>
  <c r="J52" i="257" s="1"/>
  <c r="J33" i="257"/>
  <c r="F34" i="257"/>
  <c r="F52" i="257" s="1"/>
  <c r="F33" i="257"/>
  <c r="F32" i="257"/>
  <c r="AR33" i="257"/>
  <c r="AR34" i="257"/>
  <c r="AR52" i="257" s="1"/>
  <c r="AR32" i="257"/>
  <c r="AN54" i="260"/>
  <c r="M38" i="263"/>
  <c r="M39" i="263"/>
  <c r="M42" i="263" s="1"/>
  <c r="M45" i="263" s="1"/>
  <c r="U54" i="260"/>
  <c r="AD33" i="262"/>
  <c r="AD34" i="262"/>
  <c r="AD52" i="262" s="1"/>
  <c r="AD32" i="262"/>
  <c r="AD35" i="262" s="1"/>
  <c r="Q32" i="262"/>
  <c r="Q34" i="262"/>
  <c r="Q52" i="262" s="1"/>
  <c r="Q33" i="262"/>
  <c r="J34" i="262"/>
  <c r="J52" i="262" s="1"/>
  <c r="J32" i="262"/>
  <c r="J35" i="262" s="1"/>
  <c r="J33" i="262"/>
  <c r="E34" i="262"/>
  <c r="E33" i="262"/>
  <c r="AT49" i="262"/>
  <c r="E32" i="262"/>
  <c r="D34" i="261"/>
  <c r="AE32" i="262"/>
  <c r="AE34" i="262"/>
  <c r="AE52" i="262" s="1"/>
  <c r="AE33" i="262"/>
  <c r="AK37" i="260"/>
  <c r="AH39" i="263"/>
  <c r="AH42" i="263" s="1"/>
  <c r="AH45" i="263" s="1"/>
  <c r="AH38" i="263"/>
  <c r="U38" i="263"/>
  <c r="U39" i="263" s="1"/>
  <c r="U42" i="263" s="1"/>
  <c r="U45" i="263" s="1"/>
  <c r="AA54" i="260"/>
  <c r="AQ54" i="260"/>
  <c r="AE38" i="263"/>
  <c r="AE39" i="263"/>
  <c r="AE42" i="263" s="1"/>
  <c r="AE45" i="263" s="1"/>
  <c r="P37" i="260"/>
  <c r="AU53" i="263"/>
  <c r="E29" i="263"/>
  <c r="AS54" i="260"/>
  <c r="F54" i="260"/>
  <c r="T54" i="260"/>
  <c r="U34" i="257"/>
  <c r="U52" i="257" s="1"/>
  <c r="U33" i="257"/>
  <c r="U32" i="257"/>
  <c r="U35" i="257" s="1"/>
  <c r="AN33" i="262"/>
  <c r="AN32" i="262"/>
  <c r="AN35" i="262" s="1"/>
  <c r="AN34" i="262"/>
  <c r="AN52" i="262" s="1"/>
  <c r="K38" i="260"/>
  <c r="K39" i="260"/>
  <c r="K42" i="260" s="1"/>
  <c r="K45" i="260" s="1"/>
  <c r="AQ32" i="257"/>
  <c r="AQ34" i="257"/>
  <c r="AQ52" i="257" s="1"/>
  <c r="AQ33" i="257"/>
  <c r="W34" i="257"/>
  <c r="W52" i="257" s="1"/>
  <c r="W33" i="257"/>
  <c r="W32" i="257"/>
  <c r="AO38" i="263"/>
  <c r="AO39" i="263" s="1"/>
  <c r="AO42" i="263" s="1"/>
  <c r="AO45" i="263" s="1"/>
  <c r="AF38" i="260"/>
  <c r="AF39" i="260" s="1"/>
  <c r="AF42" i="260" s="1"/>
  <c r="AF45" i="260" s="1"/>
  <c r="I33" i="257"/>
  <c r="I34" i="257"/>
  <c r="I52" i="257" s="1"/>
  <c r="I32" i="257"/>
  <c r="AA32" i="257"/>
  <c r="AA33" i="257"/>
  <c r="AA34" i="257"/>
  <c r="AA52" i="257" s="1"/>
  <c r="AI32" i="257"/>
  <c r="AI34" i="257"/>
  <c r="AI52" i="257" s="1"/>
  <c r="AI33" i="257"/>
  <c r="AH32" i="257"/>
  <c r="AH34" i="257"/>
  <c r="AH52" i="257" s="1"/>
  <c r="AH33" i="257"/>
  <c r="L34" i="257"/>
  <c r="L52" i="257" s="1"/>
  <c r="L33" i="257"/>
  <c r="L32" i="257"/>
  <c r="W54" i="260"/>
  <c r="AO32" i="262"/>
  <c r="AO35" i="262" s="1"/>
  <c r="AO34" i="262"/>
  <c r="AO52" i="262" s="1"/>
  <c r="AO33" i="262"/>
  <c r="AH34" i="262"/>
  <c r="AH52" i="262" s="1"/>
  <c r="AH33" i="262"/>
  <c r="AH32" i="262"/>
  <c r="AH35" i="262" s="1"/>
  <c r="AF33" i="262"/>
  <c r="AF32" i="262"/>
  <c r="AF34" i="262"/>
  <c r="AF52" i="262" s="1"/>
  <c r="O32" i="262"/>
  <c r="O34" i="262"/>
  <c r="O52" i="262" s="1"/>
  <c r="O33" i="262"/>
  <c r="AJ33" i="262"/>
  <c r="AJ32" i="262"/>
  <c r="AJ35" i="262" s="1"/>
  <c r="AJ34" i="262"/>
  <c r="AJ52" i="262" s="1"/>
  <c r="AK54" i="260"/>
  <c r="AH54" i="260"/>
  <c r="L38" i="263"/>
  <c r="L39" i="263" s="1"/>
  <c r="L42" i="263" s="1"/>
  <c r="L45" i="263" s="1"/>
  <c r="AU29" i="264"/>
  <c r="E37" i="264"/>
  <c r="P54" i="260"/>
  <c r="H37" i="260"/>
  <c r="AB34" i="257"/>
  <c r="AB52" i="257" s="1"/>
  <c r="AB33" i="257"/>
  <c r="AB32" i="257"/>
  <c r="L33" i="262"/>
  <c r="L32" i="262"/>
  <c r="L34" i="262"/>
  <c r="L52" i="262" s="1"/>
  <c r="K32" i="257"/>
  <c r="K34" i="257"/>
  <c r="K52" i="257" s="1"/>
  <c r="K33" i="257"/>
  <c r="P33" i="262"/>
  <c r="P32" i="262"/>
  <c r="P34" i="262"/>
  <c r="P52" i="262" s="1"/>
  <c r="AS38" i="263"/>
  <c r="AS39" i="263"/>
  <c r="AS42" i="263" s="1"/>
  <c r="AS45" i="263" s="1"/>
  <c r="H33" i="257"/>
  <c r="H32" i="257"/>
  <c r="H34" i="257"/>
  <c r="H52" i="257" s="1"/>
  <c r="AG33" i="257"/>
  <c r="AG32" i="257"/>
  <c r="AG34" i="257"/>
  <c r="AG52" i="257" s="1"/>
  <c r="W38" i="260"/>
  <c r="W39" i="260" s="1"/>
  <c r="W42" i="260" s="1"/>
  <c r="W45" i="260" s="1"/>
  <c r="W32" i="262"/>
  <c r="W34" i="262"/>
  <c r="W52" i="262" s="1"/>
  <c r="W33" i="262"/>
  <c r="AI38" i="260"/>
  <c r="AI39" i="260" s="1"/>
  <c r="AI42" i="260" s="1"/>
  <c r="AI45" i="260" s="1"/>
  <c r="F38" i="263"/>
  <c r="F39" i="263" s="1"/>
  <c r="F42" i="263" s="1"/>
  <c r="F45" i="263" s="1"/>
  <c r="I38" i="260"/>
  <c r="I39" i="260"/>
  <c r="I42" i="260" s="1"/>
  <c r="I45" i="260" s="1"/>
  <c r="V34" i="257"/>
  <c r="V52" i="257" s="1"/>
  <c r="V32" i="257"/>
  <c r="V33" i="257"/>
  <c r="AD32" i="257"/>
  <c r="AD34" i="257"/>
  <c r="AD52" i="257" s="1"/>
  <c r="AD33" i="257"/>
  <c r="AM34" i="257"/>
  <c r="AM52" i="257" s="1"/>
  <c r="AM33" i="257"/>
  <c r="AM32" i="257"/>
  <c r="AF33" i="257"/>
  <c r="AF32" i="257"/>
  <c r="AF35" i="257" s="1"/>
  <c r="AF34" i="257"/>
  <c r="AF52" i="257" s="1"/>
  <c r="AP32" i="257"/>
  <c r="AP35" i="257" s="1"/>
  <c r="AP34" i="257"/>
  <c r="AP52" i="257" s="1"/>
  <c r="AP33" i="257"/>
  <c r="Y37" i="260"/>
  <c r="X33" i="262"/>
  <c r="X32" i="262"/>
  <c r="X34" i="262"/>
  <c r="X52" i="262" s="1"/>
  <c r="V33" i="262"/>
  <c r="V34" i="262"/>
  <c r="V52" i="262" s="1"/>
  <c r="V32" i="262"/>
  <c r="I32" i="262"/>
  <c r="I34" i="262"/>
  <c r="I52" i="262" s="1"/>
  <c r="I33" i="262"/>
  <c r="AR33" i="262"/>
  <c r="AR32" i="262"/>
  <c r="AR35" i="262" s="1"/>
  <c r="AR34" i="262"/>
  <c r="AR52" i="262" s="1"/>
  <c r="AB33" i="262"/>
  <c r="AB32" i="262"/>
  <c r="AB34" i="262"/>
  <c r="AB52" i="262" s="1"/>
  <c r="M54" i="260"/>
  <c r="R54" i="260"/>
  <c r="AI54" i="260"/>
  <c r="V37" i="260"/>
  <c r="J38" i="263"/>
  <c r="J39" i="263" s="1"/>
  <c r="J42" i="263" s="1"/>
  <c r="J45" i="263" s="1"/>
  <c r="Z54" i="260"/>
  <c r="L54" i="260"/>
  <c r="G37" i="260"/>
  <c r="AK34" i="262"/>
  <c r="AK52" i="262" s="1"/>
  <c r="AK33" i="262"/>
  <c r="AK32" i="262"/>
  <c r="AK35" i="262" s="1"/>
  <c r="AJ34" i="257"/>
  <c r="AJ52" i="257" s="1"/>
  <c r="AJ33" i="257"/>
  <c r="AJ32" i="257"/>
  <c r="N33" i="262"/>
  <c r="N34" i="262"/>
  <c r="N52" i="262" s="1"/>
  <c r="N32" i="262"/>
  <c r="M38" i="260"/>
  <c r="M39" i="260" s="1"/>
  <c r="M42" i="260" s="1"/>
  <c r="M45" i="260" s="1"/>
  <c r="L38" i="260"/>
  <c r="L39" i="260" s="1"/>
  <c r="L42" i="260" s="1"/>
  <c r="L45" i="260" s="1"/>
  <c r="O34" i="257"/>
  <c r="O52" i="257" s="1"/>
  <c r="O33" i="257"/>
  <c r="O32" i="257"/>
  <c r="O35" i="257" s="1"/>
  <c r="AL34" i="257"/>
  <c r="AL52" i="257" s="1"/>
  <c r="AL32" i="257"/>
  <c r="AL33" i="257"/>
  <c r="AK34" i="257"/>
  <c r="AK52" i="257" s="1"/>
  <c r="AK33" i="257"/>
  <c r="AK32" i="257"/>
  <c r="AE34" i="257"/>
  <c r="AE52" i="257" s="1"/>
  <c r="AE33" i="257"/>
  <c r="AE32" i="257"/>
  <c r="Y33" i="257"/>
  <c r="Y32" i="257"/>
  <c r="Y35" i="257" s="1"/>
  <c r="Y34" i="257"/>
  <c r="Y52" i="257" s="1"/>
  <c r="AL37" i="260"/>
  <c r="G32" i="262"/>
  <c r="G34" i="262"/>
  <c r="G52" i="262" s="1"/>
  <c r="G33" i="262"/>
  <c r="AS34" i="262"/>
  <c r="AS52" i="262" s="1"/>
  <c r="AS33" i="262"/>
  <c r="AS32" i="262"/>
  <c r="AS35" i="262" s="1"/>
  <c r="AL33" i="262"/>
  <c r="AL34" i="262"/>
  <c r="AL52" i="262" s="1"/>
  <c r="AL32" i="262"/>
  <c r="AM32" i="262"/>
  <c r="AM34" i="262"/>
  <c r="AM52" i="262" s="1"/>
  <c r="AM33" i="262"/>
  <c r="AP34" i="262"/>
  <c r="AP52" i="262" s="1"/>
  <c r="AP33" i="262"/>
  <c r="AP32" i="262"/>
  <c r="R37" i="260"/>
  <c r="AJ38" i="260"/>
  <c r="AJ39" i="260" s="1"/>
  <c r="AJ42" i="260" s="1"/>
  <c r="AJ45" i="260" s="1"/>
  <c r="Z37" i="260"/>
  <c r="AE37" i="260"/>
  <c r="S37" i="260"/>
  <c r="N37" i="260"/>
  <c r="T33" i="257"/>
  <c r="T34" i="257"/>
  <c r="T52" i="257" s="1"/>
  <c r="T32" i="257"/>
  <c r="AB39" i="260"/>
  <c r="AB42" i="260" s="1"/>
  <c r="AB45" i="260" s="1"/>
  <c r="AB38" i="260"/>
  <c r="G34" i="257"/>
  <c r="G52" i="257" s="1"/>
  <c r="G33" i="257"/>
  <c r="G32" i="257"/>
  <c r="X33" i="257"/>
  <c r="X32" i="257"/>
  <c r="X34" i="257"/>
  <c r="X52" i="257" s="1"/>
  <c r="AA32" i="262"/>
  <c r="AA34" i="262"/>
  <c r="AA52" i="262" s="1"/>
  <c r="AA33" i="262"/>
  <c r="Y32" i="262"/>
  <c r="Y35" i="262" s="1"/>
  <c r="Y34" i="262"/>
  <c r="Y52" i="262" s="1"/>
  <c r="Y33" i="262"/>
  <c r="AH38" i="260"/>
  <c r="AH39" i="260"/>
  <c r="AH42" i="260" s="1"/>
  <c r="AH45" i="260" s="1"/>
  <c r="X39" i="260"/>
  <c r="X42" i="260" s="1"/>
  <c r="X45" i="260" s="1"/>
  <c r="X38" i="260"/>
  <c r="AO33" i="257"/>
  <c r="AO32" i="257"/>
  <c r="AO35" i="257" s="1"/>
  <c r="AO34" i="257"/>
  <c r="AO52" i="257" s="1"/>
  <c r="M34" i="257"/>
  <c r="M52" i="257" s="1"/>
  <c r="M32" i="257"/>
  <c r="M33" i="257"/>
  <c r="Z32" i="257"/>
  <c r="Z34" i="257"/>
  <c r="Z52" i="257" s="1"/>
  <c r="Z33" i="257"/>
  <c r="N34" i="257"/>
  <c r="N52" i="257" s="1"/>
  <c r="N33" i="257"/>
  <c r="N32" i="257"/>
  <c r="AN33" i="257"/>
  <c r="AN32" i="257"/>
  <c r="AN34" i="257"/>
  <c r="AN52" i="257" s="1"/>
  <c r="G38" i="263"/>
  <c r="G39" i="263"/>
  <c r="G42" i="263" s="1"/>
  <c r="AL54" i="260"/>
  <c r="AQ39" i="263"/>
  <c r="AQ42" i="263" s="1"/>
  <c r="AQ45" i="263" s="1"/>
  <c r="AQ38" i="263"/>
  <c r="AQ32" i="262"/>
  <c r="AQ34" i="262"/>
  <c r="AQ52" i="262" s="1"/>
  <c r="AQ33" i="262"/>
  <c r="AC34" i="262"/>
  <c r="AC52" i="262" s="1"/>
  <c r="AC33" i="262"/>
  <c r="AC32" i="262"/>
  <c r="AC35" i="262" s="1"/>
  <c r="Z34" i="262"/>
  <c r="Z52" i="262" s="1"/>
  <c r="Z33" i="262"/>
  <c r="Z32" i="262"/>
  <c r="T33" i="262"/>
  <c r="T32" i="262"/>
  <c r="T35" i="262" s="1"/>
  <c r="T34" i="262"/>
  <c r="T52" i="262" s="1"/>
  <c r="S32" i="262"/>
  <c r="S34" i="262"/>
  <c r="S52" i="262" s="1"/>
  <c r="S33" i="262"/>
  <c r="F18" i="261"/>
  <c r="E20" i="261"/>
  <c r="F20" i="261" s="1"/>
  <c r="AO54" i="260"/>
  <c r="AJ54" i="260"/>
  <c r="AC37" i="260"/>
  <c r="AM38" i="263"/>
  <c r="AM39" i="263"/>
  <c r="AM42" i="263" s="1"/>
  <c r="AM45" i="263" s="1"/>
  <c r="AE54" i="260"/>
  <c r="S54" i="260"/>
  <c r="Q37" i="260"/>
  <c r="N54" i="260"/>
  <c r="V38" i="260" l="1"/>
  <c r="V39" i="260" s="1"/>
  <c r="V42" i="260" s="1"/>
  <c r="V45" i="260" s="1"/>
  <c r="Q54" i="257"/>
  <c r="Q53" i="257"/>
  <c r="Q29" i="257" s="1"/>
  <c r="S38" i="260"/>
  <c r="S39" i="260"/>
  <c r="S42" i="260" s="1"/>
  <c r="S45" i="260" s="1"/>
  <c r="AF35" i="262"/>
  <c r="AC35" i="257"/>
  <c r="AO38" i="260"/>
  <c r="AO39" i="260"/>
  <c r="AO42" i="260" s="1"/>
  <c r="AO45" i="260" s="1"/>
  <c r="AC39" i="260"/>
  <c r="AC42" i="260" s="1"/>
  <c r="AC45" i="260" s="1"/>
  <c r="AC38" i="260"/>
  <c r="T53" i="262"/>
  <c r="T29" i="262" s="1"/>
  <c r="T37" i="262" s="1"/>
  <c r="AC53" i="262"/>
  <c r="AC29" i="262" s="1"/>
  <c r="AC37" i="262" s="1"/>
  <c r="AC54" i="262"/>
  <c r="Z53" i="257"/>
  <c r="Z29" i="257" s="1"/>
  <c r="AA53" i="262"/>
  <c r="AA29" i="262" s="1"/>
  <c r="AE38" i="260"/>
  <c r="AE39" i="260" s="1"/>
  <c r="AE42" i="260" s="1"/>
  <c r="AE45" i="260" s="1"/>
  <c r="AS53" i="262"/>
  <c r="AS29" i="262" s="1"/>
  <c r="AS37" i="262" s="1"/>
  <c r="AS54" i="262"/>
  <c r="AE35" i="257"/>
  <c r="AL53" i="257"/>
  <c r="AL29" i="257" s="1"/>
  <c r="AL54" i="257"/>
  <c r="N35" i="262"/>
  <c r="AK53" i="262"/>
  <c r="AK29" i="262" s="1"/>
  <c r="AK37" i="262" s="1"/>
  <c r="AK54" i="262"/>
  <c r="AM35" i="257"/>
  <c r="V53" i="257"/>
  <c r="V29" i="257" s="1"/>
  <c r="V37" i="257" s="1"/>
  <c r="W53" i="262"/>
  <c r="W29" i="262" s="1"/>
  <c r="W54" i="262"/>
  <c r="H35" i="257"/>
  <c r="K53" i="257"/>
  <c r="K29" i="257" s="1"/>
  <c r="H38" i="260"/>
  <c r="H39" i="260" s="1"/>
  <c r="H42" i="260" s="1"/>
  <c r="H45" i="260" s="1"/>
  <c r="AJ53" i="262"/>
  <c r="AJ29" i="262" s="1"/>
  <c r="AJ37" i="262" s="1"/>
  <c r="L35" i="257"/>
  <c r="AI35" i="257"/>
  <c r="AQ35" i="257"/>
  <c r="U53" i="257"/>
  <c r="U29" i="257" s="1"/>
  <c r="U37" i="257" s="1"/>
  <c r="U54" i="257"/>
  <c r="F35" i="257"/>
  <c r="P35" i="257"/>
  <c r="N53" i="257"/>
  <c r="N29" i="257" s="1"/>
  <c r="N54" i="257"/>
  <c r="N38" i="260"/>
  <c r="N39" i="260" s="1"/>
  <c r="N42" i="260" s="1"/>
  <c r="N45" i="260" s="1"/>
  <c r="S35" i="262"/>
  <c r="X35" i="262"/>
  <c r="AB54" i="257"/>
  <c r="AB53" i="257"/>
  <c r="AB29" i="257" s="1"/>
  <c r="AK38" i="260"/>
  <c r="AK39" i="260" s="1"/>
  <c r="AK42" i="260" s="1"/>
  <c r="AK45" i="260" s="1"/>
  <c r="Z35" i="257"/>
  <c r="AM53" i="262"/>
  <c r="AM29" i="262" s="1"/>
  <c r="AM37" i="262" s="1"/>
  <c r="AM54" i="262"/>
  <c r="N53" i="262"/>
  <c r="N29" i="262" s="1"/>
  <c r="N37" i="262" s="1"/>
  <c r="G38" i="260"/>
  <c r="G39" i="260" s="1"/>
  <c r="G42" i="260" s="1"/>
  <c r="G45" i="260" s="1"/>
  <c r="I54" i="262"/>
  <c r="I53" i="262"/>
  <c r="I29" i="262" s="1"/>
  <c r="Y38" i="260"/>
  <c r="Y39" i="260"/>
  <c r="Y42" i="260" s="1"/>
  <c r="Y45" i="260" s="1"/>
  <c r="W35" i="262"/>
  <c r="K35" i="257"/>
  <c r="AA53" i="257"/>
  <c r="AA29" i="257" s="1"/>
  <c r="AE54" i="262"/>
  <c r="AE53" i="262"/>
  <c r="AE29" i="262" s="1"/>
  <c r="S35" i="257"/>
  <c r="R53" i="262"/>
  <c r="R29" i="262" s="1"/>
  <c r="R37" i="262" s="1"/>
  <c r="K53" i="262"/>
  <c r="K29" i="262" s="1"/>
  <c r="K37" i="262" s="1"/>
  <c r="X53" i="262"/>
  <c r="X29" i="262" s="1"/>
  <c r="AF53" i="262"/>
  <c r="AF29" i="262" s="1"/>
  <c r="P38" i="260"/>
  <c r="P39" i="260" s="1"/>
  <c r="P42" i="260" s="1"/>
  <c r="P45" i="260" s="1"/>
  <c r="AR54" i="257"/>
  <c r="AR53" i="257"/>
  <c r="AR29" i="257" s="1"/>
  <c r="AA38" i="260"/>
  <c r="AA39" i="260"/>
  <c r="AA42" i="260" s="1"/>
  <c r="AA45" i="260" s="1"/>
  <c r="AL35" i="257"/>
  <c r="AD53" i="262"/>
  <c r="AD29" i="262" s="1"/>
  <c r="AD37" i="262" s="1"/>
  <c r="P53" i="257"/>
  <c r="P29" i="257" s="1"/>
  <c r="P37" i="257" s="1"/>
  <c r="P54" i="257"/>
  <c r="Z38" i="260"/>
  <c r="Z39" i="260"/>
  <c r="Z42" i="260" s="1"/>
  <c r="Z45" i="260" s="1"/>
  <c r="AQ53" i="262"/>
  <c r="AQ29" i="262" s="1"/>
  <c r="AQ37" i="262" s="1"/>
  <c r="AN35" i="257"/>
  <c r="X53" i="257"/>
  <c r="X29" i="257" s="1"/>
  <c r="X37" i="257" s="1"/>
  <c r="T35" i="257"/>
  <c r="AM35" i="262"/>
  <c r="G53" i="262"/>
  <c r="G29" i="262" s="1"/>
  <c r="AE53" i="257"/>
  <c r="AE29" i="257" s="1"/>
  <c r="AE37" i="257" s="1"/>
  <c r="AB53" i="262"/>
  <c r="AB29" i="262" s="1"/>
  <c r="AB37" i="262" s="1"/>
  <c r="I35" i="262"/>
  <c r="AM53" i="257"/>
  <c r="AM29" i="257" s="1"/>
  <c r="L54" i="262"/>
  <c r="L53" i="262"/>
  <c r="L29" i="262" s="1"/>
  <c r="E38" i="264"/>
  <c r="AU38" i="264" s="1"/>
  <c r="AU37" i="264"/>
  <c r="L54" i="257"/>
  <c r="L53" i="257"/>
  <c r="L29" i="257" s="1"/>
  <c r="AE35" i="262"/>
  <c r="J54" i="262"/>
  <c r="J53" i="262"/>
  <c r="J29" i="262" s="1"/>
  <c r="J37" i="262" s="1"/>
  <c r="F53" i="257"/>
  <c r="F29" i="257" s="1"/>
  <c r="F54" i="257"/>
  <c r="R53" i="257"/>
  <c r="R29" i="257" s="1"/>
  <c r="R37" i="257" s="1"/>
  <c r="E38" i="261"/>
  <c r="F38" i="261" s="1"/>
  <c r="E29" i="260"/>
  <c r="K35" i="262"/>
  <c r="AP53" i="262"/>
  <c r="AP29" i="262" s="1"/>
  <c r="V35" i="257"/>
  <c r="S53" i="257"/>
  <c r="S29" i="257" s="1"/>
  <c r="S37" i="257" s="1"/>
  <c r="AN38" i="260"/>
  <c r="AN39" i="260" s="1"/>
  <c r="AN42" i="260" s="1"/>
  <c r="AN45" i="260" s="1"/>
  <c r="AN53" i="257"/>
  <c r="AN29" i="257" s="1"/>
  <c r="AN37" i="257" s="1"/>
  <c r="AA35" i="262"/>
  <c r="Q38" i="260"/>
  <c r="Q39" i="260"/>
  <c r="Q42" i="260" s="1"/>
  <c r="Q45" i="260" s="1"/>
  <c r="Z35" i="262"/>
  <c r="AQ35" i="262"/>
  <c r="M35" i="257"/>
  <c r="X35" i="257"/>
  <c r="T54" i="257"/>
  <c r="T53" i="257"/>
  <c r="T29" i="257" s="1"/>
  <c r="AL35" i="262"/>
  <c r="G35" i="262"/>
  <c r="AK35" i="257"/>
  <c r="O53" i="257"/>
  <c r="O29" i="257" s="1"/>
  <c r="O37" i="257" s="1"/>
  <c r="AJ35" i="257"/>
  <c r="AB35" i="262"/>
  <c r="V35" i="262"/>
  <c r="AP53" i="257"/>
  <c r="AP29" i="257" s="1"/>
  <c r="AP37" i="257" s="1"/>
  <c r="L35" i="262"/>
  <c r="AH53" i="262"/>
  <c r="AH29" i="262" s="1"/>
  <c r="AH37" i="262" s="1"/>
  <c r="AA35" i="257"/>
  <c r="W35" i="257"/>
  <c r="AN53" i="262"/>
  <c r="AN29" i="262" s="1"/>
  <c r="AN37" i="262" s="1"/>
  <c r="G12" i="261"/>
  <c r="F34" i="261"/>
  <c r="U53" i="262"/>
  <c r="U29" i="262" s="1"/>
  <c r="U37" i="262" s="1"/>
  <c r="U54" i="262"/>
  <c r="E35" i="257"/>
  <c r="AT32" i="257"/>
  <c r="E54" i="260"/>
  <c r="S53" i="262"/>
  <c r="S29" i="262" s="1"/>
  <c r="S37" i="262" s="1"/>
  <c r="S54" i="262"/>
  <c r="AC53" i="257"/>
  <c r="AC29" i="257" s="1"/>
  <c r="AC37" i="257" s="1"/>
  <c r="AC54" i="257"/>
  <c r="G53" i="257"/>
  <c r="G29" i="257" s="1"/>
  <c r="AI54" i="257"/>
  <c r="AI53" i="257"/>
  <c r="AI29" i="257" s="1"/>
  <c r="AI37" i="257" s="1"/>
  <c r="AT34" i="262"/>
  <c r="E52" i="262"/>
  <c r="F38" i="260"/>
  <c r="F39" i="260" s="1"/>
  <c r="F42" i="260" s="1"/>
  <c r="N35" i="257"/>
  <c r="M53" i="257"/>
  <c r="M29" i="257" s="1"/>
  <c r="M37" i="257" s="1"/>
  <c r="M54" i="257"/>
  <c r="R38" i="260"/>
  <c r="R39" i="260"/>
  <c r="R42" i="260" s="1"/>
  <c r="R45" i="260" s="1"/>
  <c r="AL53" i="262"/>
  <c r="AL29" i="262" s="1"/>
  <c r="AL37" i="262" s="1"/>
  <c r="AL39" i="260"/>
  <c r="AL42" i="260" s="1"/>
  <c r="AL45" i="260" s="1"/>
  <c r="AL38" i="260"/>
  <c r="V53" i="262"/>
  <c r="V29" i="262" s="1"/>
  <c r="V37" i="262" s="1"/>
  <c r="AD53" i="257"/>
  <c r="AD29" i="257" s="1"/>
  <c r="AD54" i="257"/>
  <c r="AG53" i="257"/>
  <c r="AG29" i="257" s="1"/>
  <c r="P54" i="262"/>
  <c r="P53" i="262"/>
  <c r="P29" i="262" s="1"/>
  <c r="O53" i="262"/>
  <c r="O29" i="262" s="1"/>
  <c r="O37" i="262" s="1"/>
  <c r="AH53" i="257"/>
  <c r="AH29" i="257" s="1"/>
  <c r="I35" i="257"/>
  <c r="AU29" i="263"/>
  <c r="E37" i="263"/>
  <c r="AT32" i="262"/>
  <c r="E35" i="262"/>
  <c r="Q54" i="262"/>
  <c r="Q53" i="262"/>
  <c r="Q29" i="262" s="1"/>
  <c r="J53" i="257"/>
  <c r="J29" i="257" s="1"/>
  <c r="J37" i="257" s="1"/>
  <c r="H53" i="262"/>
  <c r="H29" i="262" s="1"/>
  <c r="H37" i="262" s="1"/>
  <c r="J38" i="260"/>
  <c r="J39" i="260"/>
  <c r="J42" i="260" s="1"/>
  <c r="J45" i="260" s="1"/>
  <c r="M53" i="262"/>
  <c r="M29" i="262" s="1"/>
  <c r="M37" i="262" s="1"/>
  <c r="AT33" i="257"/>
  <c r="E39" i="261"/>
  <c r="F39" i="261" s="1"/>
  <c r="F37" i="261"/>
  <c r="AG54" i="262"/>
  <c r="AG53" i="262"/>
  <c r="AG29" i="262" s="1"/>
  <c r="AT33" i="262"/>
  <c r="G45" i="263"/>
  <c r="B11" i="256"/>
  <c r="H53" i="257"/>
  <c r="H29" i="257" s="1"/>
  <c r="H37" i="257" s="1"/>
  <c r="AQ53" i="257"/>
  <c r="AQ29" i="257" s="1"/>
  <c r="AQ37" i="257" s="1"/>
  <c r="Q35" i="257"/>
  <c r="F53" i="262"/>
  <c r="F29" i="262" s="1"/>
  <c r="F37" i="262" s="1"/>
  <c r="F54" i="262"/>
  <c r="Z53" i="262"/>
  <c r="Z29" i="262" s="1"/>
  <c r="AO53" i="257"/>
  <c r="AO29" i="257" s="1"/>
  <c r="AO37" i="257" s="1"/>
  <c r="Y54" i="262"/>
  <c r="Y53" i="262"/>
  <c r="Y29" i="262" s="1"/>
  <c r="Y37" i="262" s="1"/>
  <c r="G35" i="257"/>
  <c r="AP35" i="262"/>
  <c r="Y53" i="257"/>
  <c r="Y29" i="257" s="1"/>
  <c r="Y37" i="257" s="1"/>
  <c r="Y54" i="257"/>
  <c r="AK53" i="257"/>
  <c r="AK29" i="257" s="1"/>
  <c r="AK54" i="257"/>
  <c r="AJ54" i="257"/>
  <c r="AJ53" i="257"/>
  <c r="AJ29" i="257" s="1"/>
  <c r="AJ37" i="257" s="1"/>
  <c r="AR53" i="262"/>
  <c r="AR29" i="262" s="1"/>
  <c r="AR37" i="262" s="1"/>
  <c r="AF53" i="257"/>
  <c r="AF29" i="257" s="1"/>
  <c r="AF37" i="257" s="1"/>
  <c r="AF54" i="257"/>
  <c r="AD35" i="257"/>
  <c r="AG35" i="257"/>
  <c r="P35" i="262"/>
  <c r="AB35" i="257"/>
  <c r="O35" i="262"/>
  <c r="AO54" i="262"/>
  <c r="AO53" i="262"/>
  <c r="AO29" i="262" s="1"/>
  <c r="AO37" i="262" s="1"/>
  <c r="AH35" i="257"/>
  <c r="I53" i="257"/>
  <c r="I29" i="257" s="1"/>
  <c r="I37" i="257" s="1"/>
  <c r="W54" i="257"/>
  <c r="W53" i="257"/>
  <c r="W29" i="257" s="1"/>
  <c r="Q35" i="262"/>
  <c r="AR35" i="257"/>
  <c r="J35" i="257"/>
  <c r="H35" i="262"/>
  <c r="AI53" i="262"/>
  <c r="AI29" i="262" s="1"/>
  <c r="AI37" i="262" s="1"/>
  <c r="AI54" i="262"/>
  <c r="U39" i="260"/>
  <c r="U42" i="260" s="1"/>
  <c r="U45" i="260" s="1"/>
  <c r="U38" i="260"/>
  <c r="AT34" i="257"/>
  <c r="E52" i="257"/>
  <c r="AG35" i="262"/>
  <c r="B12" i="256" l="1"/>
  <c r="F45" i="260"/>
  <c r="AO38" i="257"/>
  <c r="AO39" i="257" s="1"/>
  <c r="AO42" i="257" s="1"/>
  <c r="AO45" i="257" s="1"/>
  <c r="AG37" i="257"/>
  <c r="V38" i="257"/>
  <c r="V39" i="257" s="1"/>
  <c r="V42" i="257" s="1"/>
  <c r="V45" i="257" s="1"/>
  <c r="AK37" i="257"/>
  <c r="AG54" i="257"/>
  <c r="AP38" i="257"/>
  <c r="AP39" i="257" s="1"/>
  <c r="AP42" i="257" s="1"/>
  <c r="AP45" i="257" s="1"/>
  <c r="S54" i="257"/>
  <c r="R54" i="257"/>
  <c r="AB38" i="262"/>
  <c r="AB39" i="262" s="1"/>
  <c r="AB42" i="262" s="1"/>
  <c r="AB45" i="262" s="1"/>
  <c r="X38" i="257"/>
  <c r="X39" i="257" s="1"/>
  <c r="X42" i="257" s="1"/>
  <c r="X45" i="257" s="1"/>
  <c r="P38" i="257"/>
  <c r="P39" i="257" s="1"/>
  <c r="P42" i="257" s="1"/>
  <c r="P45" i="257" s="1"/>
  <c r="R38" i="262"/>
  <c r="R39" i="262" s="1"/>
  <c r="R42" i="262" s="1"/>
  <c r="R45" i="262" s="1"/>
  <c r="N54" i="262"/>
  <c r="AS38" i="262"/>
  <c r="AS39" i="262" s="1"/>
  <c r="AS42" i="262" s="1"/>
  <c r="AS45" i="262" s="1"/>
  <c r="AC38" i="262"/>
  <c r="AC39" i="262" s="1"/>
  <c r="AC42" i="262" s="1"/>
  <c r="AC45" i="262" s="1"/>
  <c r="AQ38" i="257"/>
  <c r="AQ39" i="257" s="1"/>
  <c r="AQ42" i="257" s="1"/>
  <c r="AQ45" i="257" s="1"/>
  <c r="E38" i="263"/>
  <c r="AU38" i="263" s="1"/>
  <c r="AU37" i="263"/>
  <c r="E39" i="263"/>
  <c r="AL39" i="262"/>
  <c r="AL42" i="262" s="1"/>
  <c r="AL45" i="262" s="1"/>
  <c r="AL38" i="262"/>
  <c r="R38" i="257"/>
  <c r="R39" i="257" s="1"/>
  <c r="R42" i="257" s="1"/>
  <c r="R45" i="257" s="1"/>
  <c r="K38" i="262"/>
  <c r="K39" i="262"/>
  <c r="K42" i="262" s="1"/>
  <c r="K45" i="262" s="1"/>
  <c r="H38" i="257"/>
  <c r="H39" i="257"/>
  <c r="H42" i="257" s="1"/>
  <c r="H45" i="257" s="1"/>
  <c r="E53" i="262"/>
  <c r="E54" i="262" s="1"/>
  <c r="AT54" i="262" s="1"/>
  <c r="AT52" i="262"/>
  <c r="Z37" i="262"/>
  <c r="H54" i="257"/>
  <c r="AH37" i="257"/>
  <c r="AN38" i="262"/>
  <c r="AN39" i="262" s="1"/>
  <c r="AN42" i="262" s="1"/>
  <c r="AN45" i="262" s="1"/>
  <c r="AP54" i="257"/>
  <c r="AB54" i="262"/>
  <c r="X54" i="257"/>
  <c r="AD38" i="262"/>
  <c r="AD39" i="262" s="1"/>
  <c r="AD42" i="262" s="1"/>
  <c r="AD45" i="262" s="1"/>
  <c r="R54" i="262"/>
  <c r="U38" i="257"/>
  <c r="U39" i="257" s="1"/>
  <c r="U42" i="257" s="1"/>
  <c r="U45" i="257" s="1"/>
  <c r="K37" i="257"/>
  <c r="T38" i="262"/>
  <c r="T39" i="262" s="1"/>
  <c r="T42" i="262" s="1"/>
  <c r="T45" i="262" s="1"/>
  <c r="H38" i="262"/>
  <c r="H39" i="262" s="1"/>
  <c r="H42" i="262" s="1"/>
  <c r="H45" i="262" s="1"/>
  <c r="I39" i="257"/>
  <c r="I42" i="257" s="1"/>
  <c r="I45" i="257" s="1"/>
  <c r="I38" i="257"/>
  <c r="AC38" i="257"/>
  <c r="AC39" i="257" s="1"/>
  <c r="AC42" i="257" s="1"/>
  <c r="AC45" i="257" s="1"/>
  <c r="N38" i="262"/>
  <c r="N39" i="262" s="1"/>
  <c r="N42" i="262" s="1"/>
  <c r="N45" i="262" s="1"/>
  <c r="J38" i="257"/>
  <c r="J39" i="257"/>
  <c r="J42" i="257" s="1"/>
  <c r="J45" i="257" s="1"/>
  <c r="J54" i="257"/>
  <c r="S38" i="262"/>
  <c r="S39" i="262"/>
  <c r="S42" i="262" s="1"/>
  <c r="S45" i="262" s="1"/>
  <c r="AO38" i="262"/>
  <c r="AO39" i="262" s="1"/>
  <c r="AO42" i="262" s="1"/>
  <c r="AO45" i="262" s="1"/>
  <c r="AF38" i="257"/>
  <c r="AF39" i="257" s="1"/>
  <c r="AF42" i="257" s="1"/>
  <c r="AF45" i="257" s="1"/>
  <c r="Y38" i="257"/>
  <c r="Y39" i="257" s="1"/>
  <c r="Y42" i="257" s="1"/>
  <c r="Y45" i="257" s="1"/>
  <c r="Z54" i="262"/>
  <c r="M54" i="262"/>
  <c r="Q37" i="262"/>
  <c r="AH54" i="257"/>
  <c r="AD37" i="257"/>
  <c r="AI38" i="257"/>
  <c r="AI39" i="257"/>
  <c r="AI42" i="257" s="1"/>
  <c r="AI45" i="257" s="1"/>
  <c r="AN54" i="262"/>
  <c r="T37" i="257"/>
  <c r="AP37" i="262"/>
  <c r="F37" i="257"/>
  <c r="E39" i="264"/>
  <c r="AE38" i="257"/>
  <c r="AE39" i="257"/>
  <c r="AE42" i="257" s="1"/>
  <c r="AE45" i="257" s="1"/>
  <c r="AD54" i="262"/>
  <c r="AF37" i="262"/>
  <c r="AM38" i="262"/>
  <c r="AM39" i="262"/>
  <c r="AM42" i="262" s="1"/>
  <c r="AM45" i="262" s="1"/>
  <c r="K54" i="257"/>
  <c r="AK39" i="262"/>
  <c r="AK42" i="262" s="1"/>
  <c r="AK45" i="262" s="1"/>
  <c r="AK38" i="262"/>
  <c r="T54" i="262"/>
  <c r="AN54" i="257"/>
  <c r="AP54" i="262"/>
  <c r="J38" i="262"/>
  <c r="J39" i="262" s="1"/>
  <c r="J42" i="262" s="1"/>
  <c r="J45" i="262" s="1"/>
  <c r="L37" i="262"/>
  <c r="AE54" i="257"/>
  <c r="AQ54" i="262"/>
  <c r="AF54" i="262"/>
  <c r="AE37" i="262"/>
  <c r="I37" i="262"/>
  <c r="AA54" i="262"/>
  <c r="Q37" i="257"/>
  <c r="S38" i="257"/>
  <c r="S39" i="257"/>
  <c r="S42" i="257" s="1"/>
  <c r="S45" i="257" s="1"/>
  <c r="AI38" i="262"/>
  <c r="AI39" i="262"/>
  <c r="AI42" i="262" s="1"/>
  <c r="AI45" i="262" s="1"/>
  <c r="AL54" i="262"/>
  <c r="E53" i="257"/>
  <c r="AT52" i="257"/>
  <c r="E54" i="257"/>
  <c r="AT54" i="257" s="1"/>
  <c r="AR38" i="262"/>
  <c r="AR39" i="262" s="1"/>
  <c r="AR42" i="262" s="1"/>
  <c r="AR45" i="262" s="1"/>
  <c r="M38" i="262"/>
  <c r="M39" i="262" s="1"/>
  <c r="M42" i="262" s="1"/>
  <c r="M45" i="262" s="1"/>
  <c r="O38" i="262"/>
  <c r="O39" i="262" s="1"/>
  <c r="O42" i="262" s="1"/>
  <c r="O45" i="262" s="1"/>
  <c r="F38" i="262"/>
  <c r="F39" i="262" s="1"/>
  <c r="F42" i="262" s="1"/>
  <c r="F45" i="262" s="1"/>
  <c r="AT35" i="262"/>
  <c r="O54" i="262"/>
  <c r="V54" i="262"/>
  <c r="M38" i="257"/>
  <c r="M39" i="257" s="1"/>
  <c r="M42" i="257" s="1"/>
  <c r="M45" i="257" s="1"/>
  <c r="G37" i="257"/>
  <c r="AT35" i="257"/>
  <c r="AN38" i="257"/>
  <c r="AN39" i="257" s="1"/>
  <c r="AN42" i="257" s="1"/>
  <c r="AN45" i="257" s="1"/>
  <c r="G37" i="262"/>
  <c r="AQ38" i="262"/>
  <c r="AQ39" i="262"/>
  <c r="AQ42" i="262" s="1"/>
  <c r="AQ45" i="262" s="1"/>
  <c r="X37" i="262"/>
  <c r="AA37" i="262"/>
  <c r="AQ54" i="257"/>
  <c r="H54" i="262"/>
  <c r="I54" i="257"/>
  <c r="AO54" i="257"/>
  <c r="V38" i="262"/>
  <c r="V39" i="262" s="1"/>
  <c r="V42" i="262" s="1"/>
  <c r="V45" i="262" s="1"/>
  <c r="AR54" i="262"/>
  <c r="W37" i="257"/>
  <c r="AJ38" i="257"/>
  <c r="AJ39" i="257" s="1"/>
  <c r="AJ42" i="257" s="1"/>
  <c r="AJ45" i="257" s="1"/>
  <c r="Y38" i="262"/>
  <c r="Y39" i="262"/>
  <c r="Y42" i="262" s="1"/>
  <c r="Y45" i="262" s="1"/>
  <c r="AG37" i="262"/>
  <c r="P37" i="262"/>
  <c r="G54" i="257"/>
  <c r="AH38" i="262"/>
  <c r="AH39" i="262" s="1"/>
  <c r="AH42" i="262" s="1"/>
  <c r="AH45" i="262" s="1"/>
  <c r="O38" i="257"/>
  <c r="O39" i="257" s="1"/>
  <c r="O42" i="257" s="1"/>
  <c r="O45" i="257" s="1"/>
  <c r="AU29" i="260"/>
  <c r="E14" i="261"/>
  <c r="F14" i="261" s="1"/>
  <c r="E37" i="260"/>
  <c r="AM37" i="257"/>
  <c r="G54" i="262"/>
  <c r="X54" i="262"/>
  <c r="AA37" i="257"/>
  <c r="N37" i="257"/>
  <c r="AJ38" i="262"/>
  <c r="AJ39" i="262" s="1"/>
  <c r="AJ42" i="262" s="1"/>
  <c r="AJ45" i="262" s="1"/>
  <c r="W37" i="262"/>
  <c r="AL37" i="257"/>
  <c r="Z37" i="257"/>
  <c r="U38" i="262"/>
  <c r="U39" i="262" s="1"/>
  <c r="U42" i="262" s="1"/>
  <c r="U45" i="262" s="1"/>
  <c r="AH54" i="262"/>
  <c r="O54" i="257"/>
  <c r="L37" i="257"/>
  <c r="AM54" i="257"/>
  <c r="AR37" i="257"/>
  <c r="K54" i="262"/>
  <c r="AA54" i="257"/>
  <c r="AB37" i="257"/>
  <c r="AJ54" i="262"/>
  <c r="V54" i="257"/>
  <c r="Z54" i="257"/>
  <c r="K38" i="257" l="1"/>
  <c r="K39" i="257"/>
  <c r="K42" i="257" s="1"/>
  <c r="K45" i="257" s="1"/>
  <c r="E42" i="263"/>
  <c r="AU39" i="263"/>
  <c r="Z39" i="257"/>
  <c r="Z42" i="257" s="1"/>
  <c r="Z45" i="257" s="1"/>
  <c r="Z38" i="257"/>
  <c r="W38" i="257"/>
  <c r="W39" i="257"/>
  <c r="W42" i="257" s="1"/>
  <c r="W45" i="257" s="1"/>
  <c r="AA38" i="262"/>
  <c r="AA39" i="262"/>
  <c r="AA42" i="262" s="1"/>
  <c r="AA45" i="262" s="1"/>
  <c r="G38" i="257"/>
  <c r="G39" i="257"/>
  <c r="G42" i="257" s="1"/>
  <c r="G45" i="257" s="1"/>
  <c r="AT53" i="257"/>
  <c r="E29" i="257"/>
  <c r="I38" i="262"/>
  <c r="I39" i="262"/>
  <c r="I42" i="262" s="1"/>
  <c r="I45" i="262" s="1"/>
  <c r="AF38" i="262"/>
  <c r="AF39" i="262" s="1"/>
  <c r="AF42" i="262" s="1"/>
  <c r="AF45" i="262" s="1"/>
  <c r="Q38" i="257"/>
  <c r="Q39" i="257" s="1"/>
  <c r="Q42" i="257" s="1"/>
  <c r="Q45" i="257" s="1"/>
  <c r="AB39" i="257"/>
  <c r="AB42" i="257" s="1"/>
  <c r="AB45" i="257" s="1"/>
  <c r="AB38" i="257"/>
  <c r="T38" i="257"/>
  <c r="T39" i="257" s="1"/>
  <c r="T42" i="257" s="1"/>
  <c r="T45" i="257" s="1"/>
  <c r="AL38" i="257"/>
  <c r="AL39" i="257" s="1"/>
  <c r="AL42" i="257" s="1"/>
  <c r="AL45" i="257" s="1"/>
  <c r="W38" i="262"/>
  <c r="W39" i="262"/>
  <c r="W42" i="262" s="1"/>
  <c r="W45" i="262" s="1"/>
  <c r="L39" i="257"/>
  <c r="L42" i="257" s="1"/>
  <c r="L45" i="257" s="1"/>
  <c r="L38" i="257"/>
  <c r="AG38" i="262"/>
  <c r="AG39" i="262"/>
  <c r="AG42" i="262" s="1"/>
  <c r="AG45" i="262" s="1"/>
  <c r="AD38" i="257"/>
  <c r="AD39" i="257" s="1"/>
  <c r="AD42" i="257" s="1"/>
  <c r="AD45" i="257" s="1"/>
  <c r="Z38" i="262"/>
  <c r="Z39" i="262" s="1"/>
  <c r="Z42" i="262" s="1"/>
  <c r="Z45" i="262" s="1"/>
  <c r="AA39" i="257"/>
  <c r="AA42" i="257" s="1"/>
  <c r="AA45" i="257" s="1"/>
  <c r="AA38" i="257"/>
  <c r="AP38" i="262"/>
  <c r="AP39" i="262" s="1"/>
  <c r="AP42" i="262" s="1"/>
  <c r="AP45" i="262" s="1"/>
  <c r="AK38" i="257"/>
  <c r="AK39" i="257" s="1"/>
  <c r="AK42" i="257" s="1"/>
  <c r="AK45" i="257" s="1"/>
  <c r="AR38" i="257"/>
  <c r="AR39" i="257" s="1"/>
  <c r="AR42" i="257" s="1"/>
  <c r="AR45" i="257" s="1"/>
  <c r="E22" i="261"/>
  <c r="AU37" i="260"/>
  <c r="E38" i="260"/>
  <c r="E39" i="260" s="1"/>
  <c r="G38" i="262"/>
  <c r="G39" i="262"/>
  <c r="G42" i="262" s="1"/>
  <c r="G45" i="262" s="1"/>
  <c r="E42" i="264"/>
  <c r="AU39" i="264"/>
  <c r="E29" i="262"/>
  <c r="AT53" i="262"/>
  <c r="AM38" i="257"/>
  <c r="AM39" i="257"/>
  <c r="AM42" i="257" s="1"/>
  <c r="AM45" i="257" s="1"/>
  <c r="X38" i="262"/>
  <c r="X39" i="262" s="1"/>
  <c r="X42" i="262" s="1"/>
  <c r="X45" i="262" s="1"/>
  <c r="AE38" i="262"/>
  <c r="AE39" i="262"/>
  <c r="AE42" i="262" s="1"/>
  <c r="AE45" i="262" s="1"/>
  <c r="AH38" i="257"/>
  <c r="AH39" i="257" s="1"/>
  <c r="AH42" i="257" s="1"/>
  <c r="AH45" i="257" s="1"/>
  <c r="AG38" i="257"/>
  <c r="AG39" i="257" s="1"/>
  <c r="AG42" i="257" s="1"/>
  <c r="AG45" i="257" s="1"/>
  <c r="P38" i="262"/>
  <c r="P39" i="262" s="1"/>
  <c r="P42" i="262" s="1"/>
  <c r="P45" i="262" s="1"/>
  <c r="N38" i="257"/>
  <c r="N39" i="257" s="1"/>
  <c r="N42" i="257" s="1"/>
  <c r="N45" i="257" s="1"/>
  <c r="L38" i="262"/>
  <c r="L39" i="262" s="1"/>
  <c r="L42" i="262" s="1"/>
  <c r="L45" i="262" s="1"/>
  <c r="F38" i="257"/>
  <c r="F39" i="257" s="1"/>
  <c r="F42" i="257" s="1"/>
  <c r="F45" i="257" s="1"/>
  <c r="Q38" i="262"/>
  <c r="Q39" i="262"/>
  <c r="Q42" i="262" s="1"/>
  <c r="Q45" i="262" s="1"/>
  <c r="AU39" i="260" l="1"/>
  <c r="E42" i="260"/>
  <c r="AT29" i="257"/>
  <c r="E37" i="257"/>
  <c r="F22" i="261"/>
  <c r="AT29" i="262"/>
  <c r="E37" i="262"/>
  <c r="E45" i="264"/>
  <c r="AU42" i="264"/>
  <c r="E45" i="263"/>
  <c r="AU42" i="263"/>
  <c r="E23" i="261"/>
  <c r="F23" i="261" s="1"/>
  <c r="AU38" i="260"/>
  <c r="AT37" i="262" l="1"/>
  <c r="E38" i="262"/>
  <c r="AT38" i="262" s="1"/>
  <c r="E38" i="257"/>
  <c r="AT38" i="257" s="1"/>
  <c r="AT37" i="257"/>
  <c r="E24" i="261"/>
  <c r="E45" i="260"/>
  <c r="E30" i="261" s="1"/>
  <c r="F30" i="261" s="1"/>
  <c r="AU42" i="260"/>
  <c r="F24" i="261" l="1"/>
  <c r="E27" i="261"/>
  <c r="E39" i="257"/>
  <c r="E39" i="262"/>
  <c r="AT39" i="262" l="1"/>
  <c r="E42" i="262"/>
  <c r="F27" i="258"/>
  <c r="F28" i="258" s="1"/>
  <c r="B14" i="256" s="1"/>
  <c r="AT39" i="257"/>
  <c r="E42" i="257"/>
  <c r="E28" i="261"/>
  <c r="F27" i="261"/>
  <c r="E6" i="261"/>
  <c r="F6" i="261" s="1"/>
  <c r="F7" i="261" s="1"/>
  <c r="B13" i="256" s="1"/>
  <c r="B15" i="256" s="1"/>
  <c r="AT42" i="257" l="1"/>
  <c r="E45" i="257"/>
  <c r="AT42" i="262"/>
  <c r="E45" i="262"/>
  <c r="F15" i="252" l="1"/>
  <c r="I14" i="252"/>
  <c r="B2" i="252"/>
  <c r="G15" i="252" l="1"/>
  <c r="H15" i="252"/>
  <c r="I15" i="252"/>
  <c r="F14" i="252"/>
  <c r="G14" i="252"/>
  <c r="G16" i="252" s="1"/>
  <c r="H14" i="252"/>
  <c r="J14" i="252"/>
  <c r="J15" i="252"/>
  <c r="J16" i="252" s="1"/>
  <c r="K14" i="252"/>
  <c r="K15" i="252"/>
  <c r="L14" i="252"/>
  <c r="L15" i="252"/>
  <c r="F16" i="252"/>
  <c r="E16" i="252"/>
  <c r="O16" i="252" s="1"/>
  <c r="H16" i="252"/>
  <c r="N15" i="252" l="1"/>
  <c r="L16" i="252"/>
  <c r="K16" i="252"/>
  <c r="N14" i="252"/>
  <c r="I16" i="252"/>
  <c r="N16" i="252" l="1"/>
  <c r="H21" i="84" l="1"/>
  <c r="E24" i="84"/>
  <c r="O24" i="84" s="1"/>
  <c r="I23" i="84"/>
  <c r="C23" i="84"/>
  <c r="J22" i="84"/>
  <c r="C22" i="84"/>
  <c r="C21" i="84"/>
  <c r="K20" i="84"/>
  <c r="C20" i="84"/>
  <c r="A13" i="113"/>
  <c r="A14" i="113" s="1"/>
  <c r="A15" i="113" s="1"/>
  <c r="A16" i="113" s="1"/>
  <c r="A17" i="113" s="1"/>
  <c r="A18" i="113" s="1"/>
  <c r="A19" i="113" s="1"/>
  <c r="A20" i="113" s="1"/>
  <c r="A21" i="113" s="1"/>
  <c r="A22" i="113" s="1"/>
  <c r="A23" i="113" s="1"/>
  <c r="A12" i="113"/>
  <c r="F23" i="84" l="1"/>
  <c r="F21" i="84"/>
  <c r="G23" i="84"/>
  <c r="H23" i="84"/>
  <c r="J23" i="84"/>
  <c r="K23" i="84"/>
  <c r="L23" i="84"/>
  <c r="G22" i="84"/>
  <c r="F22" i="84"/>
  <c r="I21" i="84"/>
  <c r="H22" i="84"/>
  <c r="J21" i="84"/>
  <c r="I22" i="84"/>
  <c r="K21" i="84"/>
  <c r="L21" i="84"/>
  <c r="L20" i="84"/>
  <c r="F20" i="84"/>
  <c r="G20" i="84"/>
  <c r="H20" i="84"/>
  <c r="I20" i="84"/>
  <c r="K22" i="84"/>
  <c r="J20" i="84"/>
  <c r="G21" i="84"/>
  <c r="L22" i="84"/>
  <c r="N21" i="84" l="1"/>
  <c r="N23" i="84"/>
  <c r="N22" i="84"/>
  <c r="N20" i="84"/>
  <c r="H23" i="224" l="1"/>
  <c r="H22" i="224"/>
  <c r="H19" i="224"/>
  <c r="H17" i="224"/>
  <c r="E17" i="224"/>
  <c r="D17" i="224"/>
  <c r="K16" i="224"/>
  <c r="N16" i="224" s="1"/>
  <c r="I16" i="224"/>
  <c r="F16" i="224"/>
  <c r="F23" i="224" s="1"/>
  <c r="K15" i="224"/>
  <c r="N15" i="224" s="1"/>
  <c r="I15" i="224"/>
  <c r="J15" i="224" s="1"/>
  <c r="F15" i="224"/>
  <c r="F22" i="224" s="1"/>
  <c r="O14" i="224"/>
  <c r="I9" i="224"/>
  <c r="H9" i="224"/>
  <c r="E9" i="224"/>
  <c r="E19" i="224" s="1"/>
  <c r="D9" i="224"/>
  <c r="D19" i="224" s="1"/>
  <c r="I8" i="224"/>
  <c r="F8" i="224"/>
  <c r="J8" i="224" s="1"/>
  <c r="I7" i="224"/>
  <c r="O7" i="224" s="1"/>
  <c r="F7" i="224"/>
  <c r="J7" i="224" s="1"/>
  <c r="I6" i="224"/>
  <c r="F6" i="224"/>
  <c r="F9" i="224" s="1"/>
  <c r="O5" i="224"/>
  <c r="G10" i="252" l="1"/>
  <c r="N10" i="252" s="1"/>
  <c r="H10" i="252"/>
  <c r="K10" i="252"/>
  <c r="I10" i="252"/>
  <c r="J10" i="252"/>
  <c r="L10" i="252"/>
  <c r="F10" i="252"/>
  <c r="G9" i="252"/>
  <c r="I9" i="252"/>
  <c r="L9" i="252"/>
  <c r="F9" i="252"/>
  <c r="J9" i="252"/>
  <c r="E11" i="252"/>
  <c r="O11" i="252" s="1"/>
  <c r="K9" i="252"/>
  <c r="K11" i="252" s="1"/>
  <c r="K19" i="252" s="1"/>
  <c r="K21" i="252" s="1"/>
  <c r="H9" i="252"/>
  <c r="F24" i="224"/>
  <c r="J9" i="224"/>
  <c r="J11" i="224" s="1"/>
  <c r="I22" i="224"/>
  <c r="J6" i="224"/>
  <c r="O15" i="224"/>
  <c r="O6" i="224"/>
  <c r="O8" i="224" s="1"/>
  <c r="F17" i="224"/>
  <c r="J16" i="224"/>
  <c r="I17" i="224"/>
  <c r="I23" i="224"/>
  <c r="J12" i="113" l="1"/>
  <c r="E19" i="252"/>
  <c r="F11" i="252"/>
  <c r="F19" i="252" s="1"/>
  <c r="F21" i="252" s="1"/>
  <c r="L11" i="252"/>
  <c r="L19" i="252" s="1"/>
  <c r="L21" i="252" s="1"/>
  <c r="J11" i="252"/>
  <c r="J19" i="252" s="1"/>
  <c r="J21" i="252" s="1"/>
  <c r="I11" i="252"/>
  <c r="I19" i="252" s="1"/>
  <c r="I21" i="252" s="1"/>
  <c r="N9" i="252"/>
  <c r="G11" i="252"/>
  <c r="G19" i="252" s="1"/>
  <c r="G21" i="252" s="1"/>
  <c r="H11" i="252"/>
  <c r="H19" i="252" s="1"/>
  <c r="H21" i="252" s="1"/>
  <c r="F19" i="224"/>
  <c r="J17" i="224"/>
  <c r="I24" i="224"/>
  <c r="I25" i="224" s="1"/>
  <c r="I26" i="224"/>
  <c r="O16" i="224"/>
  <c r="O17" i="224" s="1"/>
  <c r="I19" i="224"/>
  <c r="J19" i="224" s="1"/>
  <c r="F25" i="224"/>
  <c r="N11" i="252" l="1"/>
  <c r="F12" i="113"/>
  <c r="E21" i="252"/>
  <c r="N19" i="252"/>
  <c r="I12" i="113"/>
  <c r="J23" i="252"/>
  <c r="G12" i="113"/>
  <c r="K12" i="113"/>
  <c r="E12" i="113"/>
  <c r="H12" i="113"/>
  <c r="I23" i="252"/>
  <c r="I27" i="224"/>
  <c r="H23" i="252" l="1"/>
  <c r="O21" i="252"/>
  <c r="F23" i="252"/>
  <c r="D12" i="113"/>
  <c r="N12" i="113" s="1"/>
  <c r="N21" i="252"/>
  <c r="K23" i="252"/>
  <c r="L23" i="252"/>
  <c r="G23" i="252"/>
  <c r="E23" i="252" l="1"/>
  <c r="M12" i="113"/>
  <c r="K32" i="24" l="1"/>
  <c r="J32" i="24"/>
  <c r="I32" i="24"/>
  <c r="H32" i="24"/>
  <c r="G32" i="24"/>
  <c r="F32" i="24"/>
  <c r="E32" i="24"/>
  <c r="D32" i="24"/>
  <c r="K29" i="24"/>
  <c r="J29" i="24"/>
  <c r="I29" i="24"/>
  <c r="H29" i="24"/>
  <c r="G29" i="24"/>
  <c r="F29" i="24"/>
  <c r="E29" i="24"/>
  <c r="D29" i="24"/>
  <c r="G23" i="215" l="1"/>
  <c r="H23" i="215"/>
  <c r="I23" i="215"/>
  <c r="J23" i="215"/>
  <c r="K23" i="215"/>
  <c r="L23" i="215"/>
  <c r="F23" i="215"/>
  <c r="C23" i="215"/>
  <c r="N23" i="215" l="1"/>
  <c r="B2" i="216" l="1"/>
  <c r="C22" i="215"/>
  <c r="C20" i="215" l="1"/>
  <c r="C21" i="215"/>
  <c r="B2" i="215"/>
  <c r="B2" i="24" l="1"/>
  <c r="E24" i="215" l="1"/>
  <c r="K22" i="215" l="1"/>
  <c r="G22" i="215"/>
  <c r="L22" i="215"/>
  <c r="H22" i="215"/>
  <c r="I22" i="215"/>
  <c r="F22" i="215"/>
  <c r="J22" i="215"/>
  <c r="N22" i="215" l="1"/>
  <c r="D22" i="24"/>
  <c r="G23" i="24" s="1"/>
  <c r="H20" i="215" s="1"/>
  <c r="E16" i="216" l="1"/>
  <c r="O16" i="216" s="1"/>
  <c r="K23" i="24"/>
  <c r="L20" i="215" s="1"/>
  <c r="J23" i="24"/>
  <c r="K20" i="215" s="1"/>
  <c r="I23" i="24"/>
  <c r="J20" i="215" s="1"/>
  <c r="H23" i="24"/>
  <c r="I20" i="215" s="1"/>
  <c r="E23" i="24"/>
  <c r="F23" i="24"/>
  <c r="G20" i="215" s="1"/>
  <c r="D23" i="24" l="1"/>
  <c r="F20" i="215"/>
  <c r="N20" i="215" s="1"/>
  <c r="E16" i="84"/>
  <c r="O16" i="84" s="1"/>
  <c r="E16" i="215"/>
  <c r="A2" i="25" l="1"/>
  <c r="B2" i="38"/>
  <c r="B2" i="84"/>
  <c r="E11" i="216" l="1"/>
  <c r="O11" i="216" s="1"/>
  <c r="E19" i="216" l="1"/>
  <c r="E21" i="216" s="1"/>
  <c r="O21" i="216" s="1"/>
  <c r="E11" i="215"/>
  <c r="O16" i="215" l="1"/>
  <c r="O11" i="215"/>
  <c r="E26" i="215"/>
  <c r="E28" i="215" s="1"/>
  <c r="O28" i="215" s="1"/>
  <c r="D25" i="24" l="1"/>
  <c r="J26" i="24" s="1"/>
  <c r="D19" i="24"/>
  <c r="K20" i="24" s="1"/>
  <c r="L19" i="215" l="1"/>
  <c r="L19" i="84"/>
  <c r="K21" i="215"/>
  <c r="H20" i="24"/>
  <c r="E20" i="24"/>
  <c r="G26" i="24"/>
  <c r="K26" i="24"/>
  <c r="I20" i="24"/>
  <c r="H26" i="24"/>
  <c r="F20" i="24"/>
  <c r="J20" i="24"/>
  <c r="E26" i="24"/>
  <c r="I26" i="24"/>
  <c r="G20" i="24"/>
  <c r="F26" i="24"/>
  <c r="L21" i="215" l="1"/>
  <c r="L24" i="215" s="1"/>
  <c r="G21" i="215"/>
  <c r="L24" i="84"/>
  <c r="H19" i="84"/>
  <c r="H19" i="215"/>
  <c r="H21" i="215"/>
  <c r="J21" i="215"/>
  <c r="F19" i="215"/>
  <c r="F19" i="84"/>
  <c r="F21" i="215"/>
  <c r="I19" i="84"/>
  <c r="I19" i="215"/>
  <c r="K19" i="215"/>
  <c r="K24" i="215" s="1"/>
  <c r="K19" i="84"/>
  <c r="K24" i="84" s="1"/>
  <c r="G19" i="215"/>
  <c r="G24" i="215" s="1"/>
  <c r="G19" i="84"/>
  <c r="G24" i="84" s="1"/>
  <c r="I21" i="215"/>
  <c r="J19" i="215"/>
  <c r="J19" i="84"/>
  <c r="D20" i="24"/>
  <c r="D26" i="24"/>
  <c r="J24" i="215" l="1"/>
  <c r="I24" i="84"/>
  <c r="N21" i="215"/>
  <c r="N19" i="215"/>
  <c r="F24" i="215"/>
  <c r="H24" i="215"/>
  <c r="F24" i="84"/>
  <c r="N19" i="84"/>
  <c r="J24" i="84"/>
  <c r="I24" i="215"/>
  <c r="H24" i="84"/>
  <c r="N24" i="84" l="1"/>
  <c r="N24" i="215"/>
  <c r="E11" i="84"/>
  <c r="O17" i="84" l="1"/>
  <c r="O11" i="84"/>
  <c r="E26" i="84"/>
  <c r="E28" i="84" s="1"/>
  <c r="O28" i="84" s="1"/>
  <c r="E11" i="38" l="1"/>
  <c r="O11" i="38" s="1"/>
  <c r="E16" i="38" l="1"/>
  <c r="O16" i="38" s="1"/>
  <c r="M26" i="25"/>
  <c r="L26" i="25"/>
  <c r="K26" i="25"/>
  <c r="J26" i="25"/>
  <c r="I26" i="25"/>
  <c r="H26" i="25"/>
  <c r="G26" i="25"/>
  <c r="F26" i="25"/>
  <c r="E26" i="25"/>
  <c r="D26" i="25"/>
  <c r="C26" i="25"/>
  <c r="B26" i="25"/>
  <c r="M25" i="25"/>
  <c r="L25" i="25"/>
  <c r="K25" i="25"/>
  <c r="J25" i="25"/>
  <c r="I25" i="25"/>
  <c r="H25" i="25"/>
  <c r="G25" i="25"/>
  <c r="F25" i="25"/>
  <c r="E25" i="25"/>
  <c r="D25" i="25"/>
  <c r="C25" i="25"/>
  <c r="B25" i="25"/>
  <c r="M24" i="25"/>
  <c r="L24" i="25"/>
  <c r="K24" i="25"/>
  <c r="J24" i="25"/>
  <c r="I24" i="25"/>
  <c r="H24" i="25"/>
  <c r="G24" i="25"/>
  <c r="F24" i="25"/>
  <c r="E24" i="25"/>
  <c r="D24" i="25"/>
  <c r="C24" i="25"/>
  <c r="B24" i="25"/>
  <c r="M22" i="25"/>
  <c r="L22" i="25"/>
  <c r="K22" i="25"/>
  <c r="J22" i="25"/>
  <c r="I22" i="25"/>
  <c r="H22" i="25"/>
  <c r="G22" i="25"/>
  <c r="F22" i="25"/>
  <c r="E22" i="25"/>
  <c r="D22" i="25"/>
  <c r="C22" i="25"/>
  <c r="B22" i="25"/>
  <c r="N21" i="25"/>
  <c r="N20" i="25"/>
  <c r="N19" i="25"/>
  <c r="N18" i="25"/>
  <c r="N17" i="25"/>
  <c r="N16" i="25"/>
  <c r="N15" i="25"/>
  <c r="N14" i="25"/>
  <c r="N13" i="25"/>
  <c r="N12" i="25"/>
  <c r="N11" i="25"/>
  <c r="N10" i="25"/>
  <c r="N9" i="25"/>
  <c r="N8" i="25"/>
  <c r="C7" i="25"/>
  <c r="D7" i="25" s="1"/>
  <c r="E7" i="25" s="1"/>
  <c r="F7" i="25" s="1"/>
  <c r="G7" i="25" s="1"/>
  <c r="H7" i="25" s="1"/>
  <c r="I7" i="25" s="1"/>
  <c r="J7" i="25" s="1"/>
  <c r="K7" i="25" s="1"/>
  <c r="L7" i="25" s="1"/>
  <c r="M7" i="25" s="1"/>
  <c r="A4" i="25" s="1"/>
  <c r="F19" i="113" l="1"/>
  <c r="H19" i="113"/>
  <c r="K19" i="113"/>
  <c r="J19" i="113"/>
  <c r="I19" i="113"/>
  <c r="E19" i="113"/>
  <c r="B27" i="25"/>
  <c r="B28" i="25" s="1"/>
  <c r="J27" i="25"/>
  <c r="J28" i="25" s="1"/>
  <c r="H27" i="25"/>
  <c r="G19" i="113"/>
  <c r="G27" i="25"/>
  <c r="G28" i="25" s="1"/>
  <c r="I27" i="25"/>
  <c r="I28" i="25" s="1"/>
  <c r="C27" i="25"/>
  <c r="C28" i="25" s="1"/>
  <c r="K27" i="25"/>
  <c r="K28" i="25" s="1"/>
  <c r="D27" i="25"/>
  <c r="D28" i="25" s="1"/>
  <c r="L27" i="25"/>
  <c r="L28" i="25" s="1"/>
  <c r="E27" i="25"/>
  <c r="E28" i="25" s="1"/>
  <c r="M27" i="25"/>
  <c r="M28" i="25" s="1"/>
  <c r="F27" i="25"/>
  <c r="F28" i="25" s="1"/>
  <c r="H28" i="25"/>
  <c r="N25" i="25"/>
  <c r="N26" i="25"/>
  <c r="N22" i="25"/>
  <c r="N24" i="25"/>
  <c r="D19" i="113" l="1"/>
  <c r="N27" i="25"/>
  <c r="N28" i="25" s="1"/>
  <c r="M19" i="113"/>
  <c r="D14" i="24"/>
  <c r="K11" i="24"/>
  <c r="J11" i="24"/>
  <c r="I11" i="24"/>
  <c r="H11" i="24"/>
  <c r="G11" i="24"/>
  <c r="F11" i="24"/>
  <c r="E11" i="24"/>
  <c r="D10" i="24"/>
  <c r="D9" i="24"/>
  <c r="K16" i="24"/>
  <c r="J16" i="24"/>
  <c r="I16" i="24"/>
  <c r="H16" i="24"/>
  <c r="G16" i="24"/>
  <c r="F16" i="24"/>
  <c r="E16" i="24"/>
  <c r="D15" i="24"/>
  <c r="D11" i="24" l="1"/>
  <c r="M11" i="24" s="1"/>
  <c r="D16" i="24"/>
  <c r="M16" i="24" s="1"/>
  <c r="I12" i="24"/>
  <c r="J14" i="216" l="1"/>
  <c r="J14" i="215"/>
  <c r="J9" i="216"/>
  <c r="J9" i="215"/>
  <c r="K17" i="24"/>
  <c r="E17" i="24"/>
  <c r="F15" i="38" s="1"/>
  <c r="J17" i="24"/>
  <c r="G17" i="24"/>
  <c r="H17" i="24"/>
  <c r="F17" i="24"/>
  <c r="I17" i="24"/>
  <c r="H12" i="24"/>
  <c r="I15" i="38"/>
  <c r="J14" i="84"/>
  <c r="J9" i="84"/>
  <c r="J14" i="38"/>
  <c r="E12" i="24"/>
  <c r="F12" i="24"/>
  <c r="G12" i="24"/>
  <c r="J12" i="24"/>
  <c r="K12" i="24"/>
  <c r="H15" i="216" l="1"/>
  <c r="H15" i="215"/>
  <c r="H10" i="216"/>
  <c r="H10" i="215"/>
  <c r="L15" i="216"/>
  <c r="L15" i="215"/>
  <c r="L10" i="216"/>
  <c r="L10" i="215"/>
  <c r="J15" i="216"/>
  <c r="J15" i="215"/>
  <c r="J16" i="215" s="1"/>
  <c r="J10" i="216"/>
  <c r="J11" i="216" s="1"/>
  <c r="J10" i="215"/>
  <c r="J11" i="215" s="1"/>
  <c r="L10" i="84"/>
  <c r="L15" i="84"/>
  <c r="K10" i="84"/>
  <c r="K15" i="216"/>
  <c r="K15" i="215"/>
  <c r="K10" i="216"/>
  <c r="K10" i="215"/>
  <c r="F15" i="216"/>
  <c r="F15" i="215"/>
  <c r="F10" i="216"/>
  <c r="F10" i="215"/>
  <c r="L15" i="38"/>
  <c r="G15" i="216"/>
  <c r="G15" i="215"/>
  <c r="G10" i="216"/>
  <c r="G10" i="215"/>
  <c r="I10" i="84"/>
  <c r="I15" i="216"/>
  <c r="I15" i="215"/>
  <c r="I10" i="216"/>
  <c r="I10" i="215"/>
  <c r="J16" i="216"/>
  <c r="H14" i="216"/>
  <c r="H16" i="216" s="1"/>
  <c r="H14" i="215"/>
  <c r="H16" i="215" s="1"/>
  <c r="H9" i="216"/>
  <c r="H11" i="216" s="1"/>
  <c r="H9" i="215"/>
  <c r="G14" i="216"/>
  <c r="G16" i="216" s="1"/>
  <c r="G14" i="215"/>
  <c r="G16" i="215" s="1"/>
  <c r="G9" i="216"/>
  <c r="G9" i="215"/>
  <c r="I9" i="84"/>
  <c r="I14" i="216"/>
  <c r="I14" i="215"/>
  <c r="I9" i="216"/>
  <c r="I9" i="215"/>
  <c r="I11" i="215" s="1"/>
  <c r="K14" i="216"/>
  <c r="K14" i="215"/>
  <c r="K9" i="216"/>
  <c r="K9" i="215"/>
  <c r="F14" i="84"/>
  <c r="F14" i="216"/>
  <c r="F14" i="215"/>
  <c r="F9" i="216"/>
  <c r="F9" i="215"/>
  <c r="L14" i="216"/>
  <c r="L14" i="215"/>
  <c r="L9" i="216"/>
  <c r="L9" i="215"/>
  <c r="I15" i="84"/>
  <c r="G10" i="84"/>
  <c r="F15" i="84"/>
  <c r="F10" i="84"/>
  <c r="H15" i="84"/>
  <c r="H15" i="38"/>
  <c r="K15" i="84"/>
  <c r="H10" i="84"/>
  <c r="K15" i="38"/>
  <c r="G15" i="84"/>
  <c r="J10" i="84"/>
  <c r="J11" i="84" s="1"/>
  <c r="D17" i="24"/>
  <c r="G15" i="38"/>
  <c r="J15" i="38"/>
  <c r="J16" i="38" s="1"/>
  <c r="J15" i="84"/>
  <c r="I14" i="38"/>
  <c r="I16" i="38" s="1"/>
  <c r="I14" i="84"/>
  <c r="L9" i="84"/>
  <c r="L14" i="84"/>
  <c r="L14" i="38"/>
  <c r="F9" i="84"/>
  <c r="F14" i="38"/>
  <c r="H9" i="84"/>
  <c r="H14" i="84"/>
  <c r="H14" i="38"/>
  <c r="K9" i="84"/>
  <c r="K14" i="84"/>
  <c r="K14" i="38"/>
  <c r="G9" i="84"/>
  <c r="G14" i="84"/>
  <c r="G14" i="38"/>
  <c r="K9" i="38"/>
  <c r="H9" i="38"/>
  <c r="G9" i="38"/>
  <c r="E19" i="38"/>
  <c r="E21" i="38" s="1"/>
  <c r="O21" i="38" s="1"/>
  <c r="F9" i="38"/>
  <c r="L9" i="38"/>
  <c r="J9" i="38"/>
  <c r="I9" i="38"/>
  <c r="J10" i="38"/>
  <c r="G10" i="38"/>
  <c r="F10" i="38"/>
  <c r="L10" i="38"/>
  <c r="I10" i="38"/>
  <c r="H10" i="38"/>
  <c r="K10" i="38"/>
  <c r="D12" i="24"/>
  <c r="K11" i="84" l="1"/>
  <c r="H11" i="215"/>
  <c r="H26" i="215" s="1"/>
  <c r="H28" i="215" s="1"/>
  <c r="I16" i="215"/>
  <c r="L16" i="38"/>
  <c r="N15" i="216"/>
  <c r="K16" i="216"/>
  <c r="I16" i="216"/>
  <c r="L16" i="216"/>
  <c r="H19" i="216"/>
  <c r="H21" i="216" s="1"/>
  <c r="G14" i="113" s="1"/>
  <c r="I11" i="216"/>
  <c r="N10" i="216"/>
  <c r="G11" i="216"/>
  <c r="G19" i="216" s="1"/>
  <c r="G21" i="216" s="1"/>
  <c r="F14" i="113" s="1"/>
  <c r="N15" i="215"/>
  <c r="L11" i="215"/>
  <c r="J26" i="215"/>
  <c r="J28" i="215" s="1"/>
  <c r="I16" i="113" s="1"/>
  <c r="K16" i="215"/>
  <c r="L16" i="84"/>
  <c r="L11" i="84"/>
  <c r="J19" i="216"/>
  <c r="J21" i="216" s="1"/>
  <c r="L11" i="216"/>
  <c r="K11" i="215"/>
  <c r="I11" i="84"/>
  <c r="L16" i="215"/>
  <c r="L26" i="215" s="1"/>
  <c r="L28" i="215" s="1"/>
  <c r="K11" i="216"/>
  <c r="K19" i="216" s="1"/>
  <c r="K21" i="216" s="1"/>
  <c r="K23" i="216" s="1"/>
  <c r="G11" i="215"/>
  <c r="G26" i="215" s="1"/>
  <c r="G28" i="215" s="1"/>
  <c r="F16" i="113" s="1"/>
  <c r="N10" i="215"/>
  <c r="F16" i="215"/>
  <c r="N14" i="215"/>
  <c r="F16" i="216"/>
  <c r="N14" i="216"/>
  <c r="G16" i="113"/>
  <c r="H30" i="215"/>
  <c r="N9" i="215"/>
  <c r="F11" i="215"/>
  <c r="N9" i="216"/>
  <c r="F11" i="216"/>
  <c r="I26" i="215"/>
  <c r="I28" i="215" s="1"/>
  <c r="H16" i="84"/>
  <c r="I16" i="84"/>
  <c r="G11" i="84"/>
  <c r="G16" i="84"/>
  <c r="K16" i="84"/>
  <c r="K26" i="84" s="1"/>
  <c r="K28" i="84" s="1"/>
  <c r="K16" i="38"/>
  <c r="H16" i="38"/>
  <c r="N10" i="84"/>
  <c r="H11" i="84"/>
  <c r="N15" i="84"/>
  <c r="N15" i="38"/>
  <c r="G16" i="38"/>
  <c r="J16" i="84"/>
  <c r="J26" i="84" s="1"/>
  <c r="J28" i="84" s="1"/>
  <c r="F16" i="38"/>
  <c r="N14" i="38"/>
  <c r="F16" i="84"/>
  <c r="N14" i="84"/>
  <c r="F11" i="84"/>
  <c r="N9" i="84"/>
  <c r="L11" i="38"/>
  <c r="H11" i="38"/>
  <c r="I11" i="38"/>
  <c r="K11" i="38"/>
  <c r="N10" i="38"/>
  <c r="J11" i="38"/>
  <c r="J19" i="38" s="1"/>
  <c r="J21" i="38" s="1"/>
  <c r="I13" i="113" s="1"/>
  <c r="G11" i="38"/>
  <c r="F11" i="38"/>
  <c r="N9" i="38"/>
  <c r="H26" i="84" l="1"/>
  <c r="H28" i="84" s="1"/>
  <c r="N16" i="216"/>
  <c r="I19" i="216"/>
  <c r="I21" i="216" s="1"/>
  <c r="H14" i="113" s="1"/>
  <c r="L19" i="38"/>
  <c r="L21" i="38" s="1"/>
  <c r="J30" i="215"/>
  <c r="N16" i="215"/>
  <c r="G23" i="216"/>
  <c r="I23" i="216"/>
  <c r="H23" i="216"/>
  <c r="L19" i="216"/>
  <c r="L21" i="216" s="1"/>
  <c r="L23" i="216" s="1"/>
  <c r="J14" i="113"/>
  <c r="L26" i="84"/>
  <c r="L28" i="84" s="1"/>
  <c r="L30" i="84" s="1"/>
  <c r="K26" i="215"/>
  <c r="K28" i="215" s="1"/>
  <c r="L30" i="215"/>
  <c r="K16" i="113"/>
  <c r="J23" i="216"/>
  <c r="I14" i="113"/>
  <c r="I26" i="84"/>
  <c r="I28" i="84" s="1"/>
  <c r="I30" i="84" s="1"/>
  <c r="G30" i="215"/>
  <c r="I30" i="215"/>
  <c r="H16" i="113"/>
  <c r="F19" i="216"/>
  <c r="N11" i="216"/>
  <c r="N11" i="215"/>
  <c r="F26" i="215"/>
  <c r="G26" i="84"/>
  <c r="G28" i="84" s="1"/>
  <c r="H19" i="38"/>
  <c r="H21" i="38" s="1"/>
  <c r="G13" i="113" s="1"/>
  <c r="F26" i="84"/>
  <c r="F28" i="84" s="1"/>
  <c r="I15" i="113"/>
  <c r="G15" i="113"/>
  <c r="J15" i="113"/>
  <c r="K19" i="38"/>
  <c r="K21" i="38" s="1"/>
  <c r="J13" i="113" s="1"/>
  <c r="G19" i="38"/>
  <c r="G21" i="38" s="1"/>
  <c r="F13" i="113" s="1"/>
  <c r="N16" i="38"/>
  <c r="N16" i="84"/>
  <c r="L23" i="38"/>
  <c r="K13" i="113"/>
  <c r="H30" i="84"/>
  <c r="F19" i="38"/>
  <c r="F21" i="38" s="1"/>
  <c r="E13" i="113" s="1"/>
  <c r="N11" i="84"/>
  <c r="K30" i="84"/>
  <c r="J30" i="84"/>
  <c r="N11" i="38"/>
  <c r="I19" i="38"/>
  <c r="I21" i="38" s="1"/>
  <c r="H13" i="113" s="1"/>
  <c r="J23" i="38"/>
  <c r="I17" i="113" l="1"/>
  <c r="K14" i="113"/>
  <c r="K15" i="113"/>
  <c r="K17" i="113"/>
  <c r="G17" i="113"/>
  <c r="G22" i="113" s="1"/>
  <c r="K30" i="215"/>
  <c r="J16" i="113"/>
  <c r="H15" i="113"/>
  <c r="H17" i="113" s="1"/>
  <c r="F28" i="215"/>
  <c r="N26" i="215"/>
  <c r="F21" i="216"/>
  <c r="N19" i="216"/>
  <c r="K23" i="38"/>
  <c r="H23" i="38"/>
  <c r="I22" i="113"/>
  <c r="K22" i="113"/>
  <c r="F15" i="113"/>
  <c r="F17" i="113" s="1"/>
  <c r="F30" i="84"/>
  <c r="E15" i="113"/>
  <c r="G30" i="84"/>
  <c r="G23" i="38"/>
  <c r="D13" i="113"/>
  <c r="N13" i="113" s="1"/>
  <c r="N26" i="84"/>
  <c r="I23" i="38"/>
  <c r="N19" i="38"/>
  <c r="F23" i="38"/>
  <c r="N21" i="38"/>
  <c r="H22" i="113" l="1"/>
  <c r="J17" i="113"/>
  <c r="J22" i="113" s="1"/>
  <c r="E14" i="113"/>
  <c r="D14" i="113" s="1"/>
  <c r="N14" i="113" s="1"/>
  <c r="F23" i="216"/>
  <c r="E23" i="216" s="1"/>
  <c r="N21" i="216"/>
  <c r="F30" i="215"/>
  <c r="E30" i="215" s="1"/>
  <c r="N28" i="215"/>
  <c r="E16" i="113"/>
  <c r="D15" i="113"/>
  <c r="N15" i="113" s="1"/>
  <c r="F22" i="113"/>
  <c r="M13" i="113"/>
  <c r="E30" i="84"/>
  <c r="N28" i="84"/>
  <c r="E23" i="38"/>
  <c r="M14" i="113" l="1"/>
  <c r="D16" i="113"/>
  <c r="N16" i="113" s="1"/>
  <c r="E17" i="113"/>
  <c r="E22" i="113" s="1"/>
  <c r="M15" i="113"/>
  <c r="M16" i="113"/>
  <c r="E23" i="113" l="1"/>
  <c r="D17" i="113"/>
  <c r="N17" i="113" s="1"/>
</calcChain>
</file>

<file path=xl/sharedStrings.xml><?xml version="1.0" encoding="utf-8"?>
<sst xmlns="http://schemas.openxmlformats.org/spreadsheetml/2006/main" count="1306" uniqueCount="458">
  <si>
    <t>Puget Sound Energy</t>
  </si>
  <si>
    <t>IPL-CRM REVENUE REQUIREMENT MODEL</t>
  </si>
  <si>
    <t>Program Year</t>
  </si>
  <si>
    <t>(Spending November 1 to October 31)</t>
  </si>
  <si>
    <t>Input Capital Costs and Rates</t>
  </si>
  <si>
    <t xml:space="preserve">Weighted </t>
  </si>
  <si>
    <t>Cost of Capital</t>
  </si>
  <si>
    <t>% of Capital</t>
  </si>
  <si>
    <t>Cost</t>
  </si>
  <si>
    <t>Common Equity</t>
  </si>
  <si>
    <t>Total Pre Tax Cost of Capital</t>
  </si>
  <si>
    <t>Federal Tax Rate</t>
  </si>
  <si>
    <t xml:space="preserve">Revenue Sensitive Rate </t>
  </si>
  <si>
    <t>Depreciation Rate</t>
  </si>
  <si>
    <t>Bonus Tax Depreciation toggled  (1 = yes, 2 = no)</t>
  </si>
  <si>
    <t>Replacement Plan Investment</t>
  </si>
  <si>
    <t>Normalized Investment (baseline)</t>
  </si>
  <si>
    <t>Investment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</si>
  <si>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</si>
  <si>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</si>
  <si>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</si>
  <si>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</si>
  <si>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</si>
  <si>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</si>
  <si>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</si>
  <si>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</si>
  <si>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</si>
  <si>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</si>
  <si>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</si>
  <si>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</si>
  <si>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</si>
  <si>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</si>
  <si>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</si>
  <si>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</si>
  <si>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</si>
  <si>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</si>
  <si>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</si>
  <si>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</si>
  <si>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</si>
  <si>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</si>
  <si>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</si>
  <si>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</si>
  <si>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</si>
  <si>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</si>
  <si>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</si>
  <si>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</si>
  <si>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</si>
  <si>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</si>
  <si>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</si>
  <si>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</si>
  <si>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</si>
  <si>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</si>
  <si>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</si>
  <si>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Depreciation</t>
  </si>
  <si>
    <t>Federal Taxes on Equity Return</t>
  </si>
  <si>
    <t>Return on Rate Base</t>
  </si>
  <si>
    <t>Long Term Debt</t>
  </si>
  <si>
    <t>Short Term Debt</t>
  </si>
  <si>
    <t xml:space="preserve">      Total Return</t>
  </si>
  <si>
    <t xml:space="preserve">Cost of Service </t>
  </si>
  <si>
    <t>Revenue Sensitive Items</t>
  </si>
  <si>
    <t>Total  Cost of Service</t>
  </si>
  <si>
    <t>Total Cost of Service (Capital &amp; O&amp;M)</t>
  </si>
  <si>
    <t>Annual Cost of Service as % of Investment</t>
  </si>
  <si>
    <t>Rate Base - net of deprec. &amp; def. tax</t>
  </si>
  <si>
    <t>Federal Taxable Equity Income</t>
  </si>
  <si>
    <t>Less:  Federal Tax</t>
  </si>
  <si>
    <t>Return</t>
  </si>
  <si>
    <t>Book Depreciation</t>
  </si>
  <si>
    <t>Tax Depreciation</t>
  </si>
  <si>
    <t>Book-Tax Difference</t>
  </si>
  <si>
    <t>Tax Effect</t>
  </si>
  <si>
    <t>MACRS Depreciation - 20</t>
  </si>
  <si>
    <t>MACRS Depreciation - 20 year - Bonus</t>
  </si>
  <si>
    <t>Year 36</t>
  </si>
  <si>
    <t>Year 37</t>
  </si>
  <si>
    <t>PUGET SOUND ENERGY</t>
  </si>
  <si>
    <t>COST RECOVERY MECHANISM</t>
  </si>
  <si>
    <t>COST BREAKDOWN BY PROGRAM</t>
  </si>
  <si>
    <t>WBS Element</t>
  </si>
  <si>
    <t>WBS Description</t>
  </si>
  <si>
    <t>Total CRM Actual and Forecast</t>
  </si>
  <si>
    <t>Grand Total</t>
  </si>
  <si>
    <t>Mains</t>
  </si>
  <si>
    <t>Services</t>
  </si>
  <si>
    <t>DEPRECIATION EXPENSE CALCULATION</t>
  </si>
  <si>
    <t>Type</t>
  </si>
  <si>
    <t>Rate per Study</t>
  </si>
  <si>
    <t>FERC G376</t>
  </si>
  <si>
    <t>FERC G380</t>
  </si>
  <si>
    <t>Total</t>
  </si>
  <si>
    <t>Main</t>
  </si>
  <si>
    <t>Total Annual Depr</t>
  </si>
  <si>
    <t>WEIGHTED AVERAGE COMPOSITE RATE</t>
  </si>
  <si>
    <t>Actuals Nov 2016 - July 2017</t>
  </si>
  <si>
    <t>R.10015.03.04.01</t>
  </si>
  <si>
    <t>G-DIMP DUPONT PIPE REPL-MAIN WITH SERV</t>
  </si>
  <si>
    <t>R.10015.03.04.02</t>
  </si>
  <si>
    <t>G-DIMP OLDER STW REPL-MAIN WITH SERVICE</t>
  </si>
  <si>
    <t>R.10015.03.04.03</t>
  </si>
  <si>
    <t>G-DIMP OLDER STW REPL-SERVICE ONLY</t>
  </si>
  <si>
    <t>Program Years</t>
  </si>
  <si>
    <t>True Up Amount</t>
  </si>
  <si>
    <t>Year</t>
  </si>
  <si>
    <t>Check</t>
  </si>
  <si>
    <t>Table</t>
  </si>
  <si>
    <t>Apply 50% Bonus</t>
  </si>
  <si>
    <t>Apply 40% Bonus</t>
  </si>
  <si>
    <t>LINE</t>
  </si>
  <si>
    <t>NO.</t>
  </si>
  <si>
    <t>DESCRIPTION</t>
  </si>
  <si>
    <t>RATE</t>
  </si>
  <si>
    <t>BAD DEBTS</t>
  </si>
  <si>
    <t>ANNUAL FILING FEE</t>
  </si>
  <si>
    <t>SUM OF TAXES OTHER</t>
  </si>
  <si>
    <t>31, 31T</t>
  </si>
  <si>
    <t>41, 41T</t>
  </si>
  <si>
    <t>86, 86T</t>
  </si>
  <si>
    <t>87, 87T</t>
  </si>
  <si>
    <t>Allocation</t>
  </si>
  <si>
    <t>23, 16, 53</t>
  </si>
  <si>
    <t>Commercial &amp;</t>
  </si>
  <si>
    <t>Large</t>
  </si>
  <si>
    <t>85, 85T</t>
  </si>
  <si>
    <t>Limited</t>
  </si>
  <si>
    <t>Non-Exclusive</t>
  </si>
  <si>
    <t>Factor</t>
  </si>
  <si>
    <t>Residential</t>
  </si>
  <si>
    <t>Industrial</t>
  </si>
  <si>
    <t>Volume</t>
  </si>
  <si>
    <t>Interruptible</t>
  </si>
  <si>
    <t>Contracts</t>
  </si>
  <si>
    <t>Rate per Therm</t>
  </si>
  <si>
    <t>Rate per Mantle</t>
  </si>
  <si>
    <t>23, 16</t>
  </si>
  <si>
    <t xml:space="preserve">Plant Revenue Requirement </t>
  </si>
  <si>
    <t>Revenue Requirement Before Other Taxes</t>
  </si>
  <si>
    <t>Revenue Taxes</t>
  </si>
  <si>
    <t>Revenue Requirement</t>
  </si>
  <si>
    <t>Percent of Total</t>
  </si>
  <si>
    <t>Account</t>
  </si>
  <si>
    <t>Description</t>
  </si>
  <si>
    <t>Services - Accum Reserve</t>
  </si>
  <si>
    <t>Services Total</t>
  </si>
  <si>
    <t>Percent</t>
  </si>
  <si>
    <t>Mains - Accum Reserve</t>
  </si>
  <si>
    <t>Mains Total</t>
  </si>
  <si>
    <t>Calculation of Schedule 149 Rates</t>
  </si>
  <si>
    <t>Schedules</t>
  </si>
  <si>
    <t xml:space="preserve">Total Revenue Requirement </t>
  </si>
  <si>
    <t>Line</t>
  </si>
  <si>
    <t>No.</t>
  </si>
  <si>
    <t>(a)</t>
  </si>
  <si>
    <t>(b)</t>
  </si>
  <si>
    <t>(c)</t>
  </si>
  <si>
    <t>(d)</t>
  </si>
  <si>
    <t>(e)</t>
  </si>
  <si>
    <t>(f)</t>
  </si>
  <si>
    <t>(g)</t>
  </si>
  <si>
    <t>(h)</t>
  </si>
  <si>
    <t>(i)</t>
  </si>
  <si>
    <t>Forecasted Therm Volumes</t>
  </si>
  <si>
    <t>Schedule</t>
  </si>
  <si>
    <t>31T</t>
  </si>
  <si>
    <t>41T</t>
  </si>
  <si>
    <t>85T</t>
  </si>
  <si>
    <t>86T</t>
  </si>
  <si>
    <t>87T</t>
  </si>
  <si>
    <t>Total Firm</t>
  </si>
  <si>
    <t>Total Interruptible</t>
  </si>
  <si>
    <t>Total Transportation</t>
  </si>
  <si>
    <t>Total Delivered</t>
  </si>
  <si>
    <t>Current Year</t>
  </si>
  <si>
    <t>Pre Tax Long and Short Term Debt</t>
  </si>
  <si>
    <t>Year 38</t>
  </si>
  <si>
    <t>Year 39</t>
  </si>
  <si>
    <t>Year 40</t>
  </si>
  <si>
    <t>Partial Year 41</t>
  </si>
  <si>
    <t>Actual October 2017</t>
  </si>
  <si>
    <t>Per Depreciation Study Adjustment</t>
  </si>
  <si>
    <t>ACCOUNT</t>
  </si>
  <si>
    <t>Pre Jan 1, 2018</t>
  </si>
  <si>
    <t>17 GRC rate, Jan 1, 2018</t>
  </si>
  <si>
    <t>NUMBER</t>
  </si>
  <si>
    <t>%</t>
  </si>
  <si>
    <t xml:space="preserve">MAINS - PLASTIC                           </t>
  </si>
  <si>
    <t>SERVICES - PLASTIC</t>
  </si>
  <si>
    <t>Rate per 2017 GRC Study</t>
  </si>
  <si>
    <t>FERC G376.2</t>
  </si>
  <si>
    <t>FERC G380.2</t>
  </si>
  <si>
    <t>Percent Mains</t>
  </si>
  <si>
    <t>Percent Services</t>
  </si>
  <si>
    <t>Rate per 2007 GRC Study</t>
  </si>
  <si>
    <t>Revenue Sensitive Items Rate</t>
  </si>
  <si>
    <t>2018 Projects 
In Service November to September Actual Costs</t>
  </si>
  <si>
    <t>2018 Projects 
 October Project Forecast</t>
  </si>
  <si>
    <t>Rates beginning November 1, 2019</t>
  </si>
  <si>
    <t>41 years of depr</t>
  </si>
  <si>
    <t>Partial last year due to composite rate</t>
  </si>
  <si>
    <t>2018 - 2019</t>
  </si>
  <si>
    <t>2019 Projects 
In Service November to September Actual Costs</t>
  </si>
  <si>
    <t>WBS</t>
  </si>
  <si>
    <t>Revenue Requirement:</t>
  </si>
  <si>
    <t>Development of Allocation Factors</t>
  </si>
  <si>
    <t>Oper Mains &amp; Services Exp</t>
  </si>
  <si>
    <t>Oper Meter &amp; House Reg</t>
  </si>
  <si>
    <t>2019 - 2020</t>
  </si>
  <si>
    <t>Depreciation, Capital Spendings</t>
  </si>
  <si>
    <t>Total Cost of Service (Capital)</t>
  </si>
  <si>
    <t>CAPITAL</t>
  </si>
  <si>
    <t>Program</t>
  </si>
  <si>
    <t>Depr. Exp</t>
  </si>
  <si>
    <t>Buried Meters replacements</t>
  </si>
  <si>
    <t>R.10015.03.09.15</t>
  </si>
  <si>
    <t>DuPont Pipe Replacement Program</t>
  </si>
  <si>
    <t>O&amp;M</t>
  </si>
  <si>
    <t>Buried Meters mitigations</t>
  </si>
  <si>
    <t>R.99999.04.20.03</t>
  </si>
  <si>
    <t>InfraSource Labor</t>
  </si>
  <si>
    <t>Legacy Cross Bore inspections</t>
  </si>
  <si>
    <t>R.99999.04.37.10</t>
  </si>
  <si>
    <t>HydroMax Labor</t>
  </si>
  <si>
    <t>Legacy Cross Bore repairs</t>
  </si>
  <si>
    <t>R.99999.04.37.11</t>
  </si>
  <si>
    <t>Total for all programs</t>
  </si>
  <si>
    <t>Total O&amp;M Rev Req</t>
  </si>
  <si>
    <t>2019 Projects 
October Project Actuals</t>
  </si>
  <si>
    <t>Mains (FERC 376)</t>
  </si>
  <si>
    <t>Services (FERC 380)</t>
  </si>
  <si>
    <t>Mains &amp; Services Expense (FERC 874)</t>
  </si>
  <si>
    <t>Sch. 149 CRM Rates:</t>
  </si>
  <si>
    <t>2019 GRC Compliance Filing</t>
  </si>
  <si>
    <t>Total True up</t>
  </si>
  <si>
    <t>EXH. SEF-3G page 2 of 3</t>
  </si>
  <si>
    <t>EXH. SEF-3G page 3 of 4</t>
  </si>
  <si>
    <t>PUGET SOUND ENERGY - NATURAL GAS</t>
  </si>
  <si>
    <t>RESULTS OF OPERATIONS</t>
  </si>
  <si>
    <t>2019 GENERAL RATE CASE</t>
  </si>
  <si>
    <t>12 MONTHS ENDED DECEMBER 31, 2018</t>
  </si>
  <si>
    <t>COST OF CAPITAL - PROFORMA</t>
  </si>
  <si>
    <t>CONVERSION FACTOR</t>
  </si>
  <si>
    <t>WEIGHTED</t>
  </si>
  <si>
    <t>STRUCTURE</t>
  </si>
  <si>
    <t>COST</t>
  </si>
  <si>
    <t>SHORT AND LONG TERM DEBT</t>
  </si>
  <si>
    <t>EQUITY</t>
  </si>
  <si>
    <t>TOTAL</t>
  </si>
  <si>
    <t>STATE UTILITY TAX ( 3.8323% - ( LINE 1 * 3.8323% )  )</t>
  </si>
  <si>
    <t>AFTER TAX SHORT TERM DEBT ( (LINE 1)* 79%)</t>
  </si>
  <si>
    <t>TOTAL AFTER TAX COST OF CAPITAL</t>
  </si>
  <si>
    <t>CONVERSION FACTOR EXCLUDING FEDERAL INCOME TAX ( 1 - LINE 6 )</t>
  </si>
  <si>
    <t>FEDERAL INCOME TAX ( LINE 7  * 21% )</t>
  </si>
  <si>
    <t xml:space="preserve">CONVERSION FACTOR INCL FEDERAL INCOME TAX ( LINE 7 - LINE 8 ) </t>
  </si>
  <si>
    <t>Check1</t>
  </si>
  <si>
    <t>Check2</t>
  </si>
  <si>
    <t>check</t>
  </si>
  <si>
    <t>2017 GRC</t>
  </si>
  <si>
    <t>2019 GRC</t>
  </si>
  <si>
    <t>For the Period November 2019 - October 2020</t>
  </si>
  <si>
    <t>(See detail orders in the Summary All Program Orders Oct 2020 Filing)</t>
  </si>
  <si>
    <t xml:space="preserve">O &amp; M </t>
  </si>
  <si>
    <t>Actual (Nov 2019 - Sept 2020)</t>
  </si>
  <si>
    <t>Forecast Est. (October 2020)</t>
  </si>
  <si>
    <t>Total(Nov 2019 -Oct 2020)</t>
  </si>
  <si>
    <t xml:space="preserve">Total O&amp;M </t>
  </si>
  <si>
    <t>Dupont Plastic Replacement</t>
  </si>
  <si>
    <t>Buried Meters Replacements</t>
  </si>
  <si>
    <t>R.99999.03.09.15</t>
  </si>
  <si>
    <t>Total Capital</t>
  </si>
  <si>
    <t>Total O&amp;M + CAPITAL</t>
  </si>
  <si>
    <t>Maint Mains</t>
  </si>
  <si>
    <t>2020 - 2021</t>
  </si>
  <si>
    <t>PSE Labor</t>
  </si>
  <si>
    <t>Remove Legasy Cross Bore in Rates Estimate</t>
  </si>
  <si>
    <t>Total Capital from 2021 CRM tab</t>
  </si>
  <si>
    <t>Support the Depreciation Rate</t>
  </si>
  <si>
    <t>TM Legend</t>
  </si>
  <si>
    <t>AS FILED 10/16/2020</t>
  </si>
  <si>
    <t>TRUE UP FOR OCTOBER 2020 ACTUALS</t>
  </si>
  <si>
    <t>Actual October 2020 Amounts</t>
  </si>
  <si>
    <t>Total Actual CRM Program Year 2019-2020</t>
  </si>
  <si>
    <t>Capital Investment</t>
  </si>
  <si>
    <t>Maint Services</t>
  </si>
  <si>
    <t>CAPITAL EXPENSE</t>
  </si>
  <si>
    <t>Maint Meters &amp; House Reg</t>
  </si>
  <si>
    <t>RSI</t>
  </si>
  <si>
    <t>Updated for RSI</t>
  </si>
  <si>
    <t>Mains, FERC 376</t>
  </si>
  <si>
    <t>Services, FERC 380</t>
  </si>
  <si>
    <t>G874</t>
  </si>
  <si>
    <t xml:space="preserve">Mains &amp; Services Expense </t>
  </si>
  <si>
    <t>G887</t>
  </si>
  <si>
    <t>Total 2019 CRM Actuals</t>
  </si>
  <si>
    <t>FERC spread for Capital Project</t>
  </si>
  <si>
    <t xml:space="preserve">FERC </t>
  </si>
  <si>
    <t>Depreciation Exp</t>
  </si>
  <si>
    <t>FERC spread for O&amp;M Project</t>
  </si>
  <si>
    <r>
      <t xml:space="preserve">Remove Buried Meters mitigations in Rates </t>
    </r>
    <r>
      <rPr>
        <b/>
        <sz val="10"/>
        <color rgb="FF0000FF"/>
        <rFont val="Calibri"/>
        <family val="2"/>
        <scheme val="minor"/>
      </rPr>
      <t>(a)</t>
    </r>
  </si>
  <si>
    <r>
      <t xml:space="preserve">Remove Legasy Cross Bore in Rates Estimate </t>
    </r>
    <r>
      <rPr>
        <b/>
        <sz val="10"/>
        <color rgb="FF0000FF"/>
        <rFont val="Calibri"/>
        <family val="2"/>
        <scheme val="minor"/>
      </rPr>
      <t>(b)</t>
    </r>
  </si>
  <si>
    <t>Total CRM Program Year 1</t>
  </si>
  <si>
    <t>Similar to above, Legacy Cross Bore costs were included in the test year of PSE's 2019 GRC. As only approximately 300 inspections were completed in 2018 as compared to over 7,300 in 2020-2021, the costs have significantly increased and PSE is removing the estimated 2018 costs from this filing.</t>
  </si>
  <si>
    <t>Total True up (Capital &amp; O&amp;M)</t>
  </si>
  <si>
    <t>Page 3.04</t>
  </si>
  <si>
    <t>PUGET SOUND ENERGY-ELECTRIC</t>
  </si>
  <si>
    <t>CONVERSION FACTOR - GAS</t>
  </si>
  <si>
    <t>FOR THE TWELVE MONTHS ENDED SEPTEMBER 30, 2016</t>
  </si>
  <si>
    <t>STATE UTILITY TAX - NET OF BAD DEBTS ( 3.8734% - ( LINE 1 * 3.8734%) )</t>
  </si>
  <si>
    <t>CONVERSION FACTOR EXCLUDING FEDERAL INCOME TAX ( 1 - LINE 5)</t>
  </si>
  <si>
    <t>FEDERAL INCOME TAX ( LINE 7 * 35%)</t>
  </si>
  <si>
    <t xml:space="preserve">CONVERSION FACTOR INCL FEDERAL INCOME TAX ( LINE 5 + LINE 8 ) </t>
  </si>
  <si>
    <t>2022 PROGRAM YEAR</t>
  </si>
  <si>
    <t>2019 CRM Program, Year 4</t>
  </si>
  <si>
    <t>2020 CRM Program, Year 3</t>
  </si>
  <si>
    <t>2021 CRM Program, Year 2</t>
  </si>
  <si>
    <t>2021 CRM Program, Year 1 True Up to Actuals</t>
  </si>
  <si>
    <t>2022 CRM Program, Year 1</t>
  </si>
  <si>
    <t>2021 - 2022</t>
  </si>
  <si>
    <t>PSE included  buried meter mitigation expenses that were included in its historical test year in its 2019 GRC as an offset to  November 2021 - October 2022 buried meter costs.</t>
  </si>
  <si>
    <t>For the Period November 2020 - October 2021</t>
  </si>
  <si>
    <t>(See detail orders in the Summary All Program Orders Oct 2021 Filing)</t>
  </si>
  <si>
    <t>AS FILED 10/18/2021</t>
  </si>
  <si>
    <t>TRUE UP FOR OCTOBER 2021 ACTUALS</t>
  </si>
  <si>
    <t>See CRM Summary Orders Oct 2021 Actual File for FERC Spread support</t>
  </si>
  <si>
    <t>Actual (Nov 2020 - Sept 2021)</t>
  </si>
  <si>
    <t>Forecast Est. (Oct 2021)</t>
  </si>
  <si>
    <t>Total(Nov 2020 -Oct 2021)</t>
  </si>
  <si>
    <t>Actual Oct 31, 2021</t>
  </si>
  <si>
    <t xml:space="preserve">Total Actual Nov 20 - Oct 21 </t>
  </si>
  <si>
    <t>Buried Meters Mitigations</t>
  </si>
  <si>
    <t>RSI Updated</t>
  </si>
  <si>
    <t>True up of 2021 CRM Year One</t>
  </si>
  <si>
    <t>Program Year 2021</t>
  </si>
  <si>
    <t>As  Filed Oct 2021</t>
  </si>
  <si>
    <t>Oct 2021 True Up</t>
  </si>
  <si>
    <t>ORIGINAL 2019 GRC ANNUAL FILING FEE</t>
  </si>
  <si>
    <t>UPDATED ANNUAL FILING FEE FOR YEAR 2022</t>
  </si>
  <si>
    <t>Projected Therms (Nov. 2022 - Oct. 2023)</t>
  </si>
  <si>
    <t>2022 Program Year Allocated Cost of Service</t>
  </si>
  <si>
    <t>2021 Program Year True Up Allocated Cost of Service</t>
  </si>
  <si>
    <t>2021 Program Year (Year 2) Allocated Cost of Service</t>
  </si>
  <si>
    <t>2020 Program Year (Year 3) Allocated Cost of Service</t>
  </si>
  <si>
    <t>2019 Program Year (Year 4) Allocated Cost of Service</t>
  </si>
  <si>
    <t>Rate Change Impacts by Rate Schedule</t>
  </si>
  <si>
    <t>Proposed Rates Effective November 1, 2022</t>
  </si>
  <si>
    <t>Forecasted</t>
  </si>
  <si>
    <t>UG-190530</t>
  </si>
  <si>
    <t>Base Sch.</t>
  </si>
  <si>
    <t>Therms</t>
  </si>
  <si>
    <t>12ME Oct. 2023</t>
  </si>
  <si>
    <t>Sch. 149</t>
  </si>
  <si>
    <t>Rate</t>
  </si>
  <si>
    <t>Base Schedule</t>
  </si>
  <si>
    <t>Nov. 2022 -</t>
  </si>
  <si>
    <t>Sch. 101</t>
  </si>
  <si>
    <t>Sch. 106</t>
  </si>
  <si>
    <t>Sch. 120</t>
  </si>
  <si>
    <t>Sch. 129</t>
  </si>
  <si>
    <t>Sch. 140</t>
  </si>
  <si>
    <t>Sch. 141X</t>
  </si>
  <si>
    <t>Sch. 141Z</t>
  </si>
  <si>
    <t>Sch. 142</t>
  </si>
  <si>
    <t>Total Forecasted</t>
  </si>
  <si>
    <t>Revenue</t>
  </si>
  <si>
    <t>Rate Class</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</si>
  <si>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</si>
  <si>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</si>
  <si>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</si>
  <si>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Oct. 2023</t>
  </si>
  <si>
    <r>
      <t>Revenue</t>
    </r>
    <r>
      <rPr>
        <vertAlign val="superscript"/>
        <sz val="11"/>
        <color theme="1"/>
        <rFont val="Calibri"/>
        <family val="2"/>
        <scheme val="minor"/>
      </rPr>
      <t xml:space="preserve"> (2)</t>
    </r>
  </si>
  <si>
    <t>Change</t>
  </si>
  <si>
    <t>A</t>
  </si>
  <si>
    <t>B</t>
  </si>
  <si>
    <t>C</t>
  </si>
  <si>
    <t>D</t>
  </si>
  <si>
    <t>E</t>
  </si>
  <si>
    <t xml:space="preserve">F </t>
  </si>
  <si>
    <t xml:space="preserve">G=E*F </t>
  </si>
  <si>
    <t>H</t>
  </si>
  <si>
    <t>I</t>
  </si>
  <si>
    <t>J</t>
  </si>
  <si>
    <t>K</t>
  </si>
  <si>
    <t>L</t>
  </si>
  <si>
    <t>M</t>
  </si>
  <si>
    <t>N</t>
  </si>
  <si>
    <t>O</t>
  </si>
  <si>
    <t>P</t>
  </si>
  <si>
    <t>Q = sum(G:P)</t>
  </si>
  <si>
    <t xml:space="preserve">R </t>
  </si>
  <si>
    <t>S= R/Q</t>
  </si>
  <si>
    <t>23,53</t>
  </si>
  <si>
    <t>Residential Gas Lights</t>
  </si>
  <si>
    <t>Commercial &amp; Industrial</t>
  </si>
  <si>
    <t>Large Volume</t>
  </si>
  <si>
    <t>Limited Interruptible</t>
  </si>
  <si>
    <t>Non-exclusive Interruptible</t>
  </si>
  <si>
    <t>Commercial &amp; Industrial Transportation</t>
  </si>
  <si>
    <t>Large Volume Transportation</t>
  </si>
  <si>
    <t>Interruptible Transportation</t>
  </si>
  <si>
    <t>Limited Interruptible Transportation</t>
  </si>
  <si>
    <t>Non-exclusive Interruptible Transportation</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</si>
  <si>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</si>
  <si>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</si>
  <si>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</si>
  <si>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</si>
  <si>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</si>
  <si>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</si>
  <si>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</si>
  <si>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</si>
  <si>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</si>
  <si>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</si>
  <si>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</si>
  <si>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0"/>
        <rFont val="Arial"/>
        <family val="2"/>
      </rPr>
      <t>Weather normalized volume and base schedule margin for 12 months ending December 2018, at approved rates from UG-190530 GRC IRS PLR compliance filing.</t>
    </r>
  </si>
  <si>
    <t>Typical Residential Bill Impacts</t>
  </si>
  <si>
    <t>Schedule 149 CRM</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</si>
  <si>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</si>
  <si>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</si>
  <si>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</si>
  <si>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</si>
  <si>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</si>
  <si>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</si>
  <si>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</si>
  <si>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</si>
  <si>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</si>
  <si>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Volumetric charges ($/therm)</t>
  </si>
  <si>
    <t>Delivery charge (Sch. 23)</t>
  </si>
  <si>
    <t>Low income charge (Sch. 129)</t>
  </si>
  <si>
    <t>Property tax charge (Sch. 140)</t>
  </si>
  <si>
    <t>EDIT adjusting charge (Sch. 141X)</t>
  </si>
  <si>
    <t>UP EDIT adjusting charge (Sch. 141Z)</t>
  </si>
  <si>
    <t>Decoupling charge (Sch. 142)</t>
  </si>
  <si>
    <t>CRM Charge (Sch. 149)</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</si>
  <si>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</si>
  <si>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</si>
  <si>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</si>
  <si>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</si>
  <si>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</si>
  <si>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</si>
  <si>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</si>
  <si>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</si>
  <si>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t>Gas Schedule 149</t>
  </si>
  <si>
    <t>Pipeline Replacement Cost Recovery Mechanism (CRM)</t>
  </si>
  <si>
    <t>Current</t>
  </si>
  <si>
    <t>Proposed</t>
  </si>
  <si>
    <t>Sched 149</t>
  </si>
  <si>
    <t>Volume (Therms)</t>
  </si>
  <si>
    <t>Proposed Rates</t>
  </si>
  <si>
    <t>Proposed Effective November 1, 2022</t>
  </si>
  <si>
    <t>Source: F2022 Forecast (2-25-2022)</t>
  </si>
  <si>
    <t>Source: 2019 Gas General Rate Case, Docket UG-190530, PLR Update Cost of Service Study.</t>
  </si>
  <si>
    <t>Octobert 2022 FILING</t>
  </si>
  <si>
    <t>Total Revenue Requirement For October 2022 Filing</t>
  </si>
  <si>
    <t>Actual (Nov 2021 - Sept 2022)</t>
  </si>
  <si>
    <t>Forecast Est. (Oct 2022)</t>
  </si>
  <si>
    <t>Updated for new Filing Fee</t>
  </si>
  <si>
    <t>2022 Gas Schedule 149 Cost Recovery Mechanism For Pipeline Replacement (CRM) Filing (FINAL - October Filing)</t>
  </si>
  <si>
    <r>
      <rPr>
        <vertAlign val="superscript"/>
        <sz val="11"/>
        <color theme="1"/>
        <rFont val="Calibri"/>
        <family val="2"/>
      </rPr>
      <t xml:space="preserve">(2) </t>
    </r>
    <r>
      <rPr>
        <sz val="10"/>
        <rFont val="Arial"/>
        <family val="2"/>
      </rPr>
      <t>Forecasted revenues at current rates effective May 1, 2022.</t>
    </r>
  </si>
  <si>
    <r>
      <rPr>
        <vertAlign val="superscript"/>
        <sz val="11"/>
        <rFont val="Calibri"/>
        <family val="2"/>
        <scheme val="minor"/>
      </rPr>
      <t xml:space="preserve">(1) </t>
    </r>
    <r>
      <rPr>
        <sz val="11"/>
        <rFont val="Calibri"/>
        <family val="2"/>
        <scheme val="minor"/>
      </rPr>
      <t>Rates for Schedule 23 customers in effect May 1, 2022</t>
    </r>
  </si>
  <si>
    <t>2022 Gas Schedule 149 CRM (October Final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</si>
</sst>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0.000000"/>
    <numFmt numFmtId="167" formatCode="0.0%"/>
    <numFmt numFmtId="168" formatCode="&quot;$&quot;#,##0"/>
    <numFmt numFmtId="169" formatCode="0.000%"/>
    <numFmt numFmtId="170" formatCode="_(&quot;$&quot;* #,##0.00_);_(&quot;$&quot;* \(#,##0.00\);_(&quot;$&quot;* &quot;-&quot;_);_(@_)"/>
    <numFmt numFmtId="171" formatCode="_(&quot;$&quot;* #,##0.00000_);_(&quot;$&quot;* \(#,##0.00000\);_(&quot;$&quot;* &quot;-&quot;?????_);_(@_)"/>
    <numFmt numFmtId="172" formatCode="#,##0.000000_);\(#,##0.000000\)"/>
    <numFmt numFmtId="173" formatCode="_(* #,##0_);_(* \(#,##0\);_(* &quot;-&quot;??_);_(@_)"/>
    <numFmt numFmtId="174" formatCode="#,##0.000"/>
    <numFmt numFmtId="175" formatCode="_(* #,##0.00000_);_(* \(#,##0.00000\);_(* &quot;-&quot;??_);_(@_)"/>
    <numFmt numFmtId="176" formatCode="_(* #,##0.0_);_(* \(#,##0.0\);_(* &quot;-&quot;??_);_(@_)"/>
    <numFmt numFmtId="177" formatCode="_(* #,##0.0000_);_(* \(#,##0.0000\);_(* &quot;-&quot;??_);_(@_)"/>
    <numFmt numFmtId="178" formatCode="_(* #,##0.000_);_(* \(#,##0.000\);_(* &quot;-&quot;??_);_(@_)"/>
    <numFmt numFmtId="179" formatCode="_(&quot;$&quot;* #,##0.0_);_(&quot;$&quot;* \(#,##0.0\);_(&quot;$&quot;* &quot;-&quot;??_);_(@_)"/>
    <numFmt numFmtId="180" formatCode="_(&quot;$&quot;* #,##0.00000_);_(&quot;$&quot;* \(#,##0.00000\);_(&quot;$&quot;* &quot;-&quot;??_);_(@_)"/>
  </numFmts>
  <fonts count="8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color indexed="8"/>
      <name val="Calibri"/>
      <family val="2"/>
      <scheme val="minor"/>
    </font>
    <font>
      <b/>
      <sz val="11"/>
      <color indexed="8"/>
      <name val="Calibri"/>
      <family val="2"/>
    </font>
    <font>
      <b/>
      <sz val="11"/>
      <name val="Arial"/>
      <family val="2"/>
    </font>
    <font>
      <b/>
      <sz val="11"/>
      <name val="Calibri"/>
      <family val="2"/>
    </font>
    <font>
      <sz val="11"/>
      <color indexed="12"/>
      <name val="Calibri"/>
      <family val="2"/>
    </font>
    <font>
      <sz val="11"/>
      <name val="Calibri"/>
      <family val="2"/>
    </font>
    <font>
      <sz val="11"/>
      <name val="Arial"/>
      <family val="2"/>
    </font>
    <font>
      <sz val="10"/>
      <name val="Arial"/>
      <family val="2"/>
    </font>
    <font>
      <b/>
      <sz val="11"/>
      <color theme="1"/>
      <name val="Calibri"/>
      <family val="2"/>
      <scheme val="minor"/>
    </font>
    <font>
      <sz val="8"/>
      <name val="Helv"/>
    </font>
    <font>
      <b/>
      <sz val="10"/>
      <name val="Arial"/>
      <family val="2"/>
    </font>
    <font>
      <sz val="10"/>
      <color theme="1"/>
      <name val="Arial"/>
      <family val="2"/>
    </font>
    <font>
      <b/>
      <sz val="11"/>
      <name val="Calibri"/>
      <family val="2"/>
      <scheme val="minor"/>
    </font>
    <font>
      <b/>
      <sz val="12"/>
      <color theme="1"/>
      <name val="Calibri"/>
      <family val="2"/>
      <scheme val="minor"/>
    </font>
    <font>
      <sz val="12"/>
      <color theme="1"/>
      <name val="Calibri"/>
      <family val="2"/>
      <scheme val="minor"/>
    </font>
    <font>
      <sz val="12"/>
      <color theme="1"/>
      <name val="Arial"/>
      <family val="2"/>
    </font>
    <font>
      <sz val="11"/>
      <color rgb="FF0000FF"/>
      <name val="Calibri"/>
      <family val="2"/>
      <scheme val="minor"/>
    </font>
    <font>
      <sz val="11"/>
      <color rgb="FF008080"/>
      <name val="Calibri"/>
      <family val="2"/>
      <scheme val="minor"/>
    </font>
    <font>
      <sz val="10"/>
      <color rgb="FF008080"/>
      <name val="Arial"/>
      <family val="2"/>
    </font>
    <font>
      <b/>
      <sz val="9"/>
      <name val="Arial"/>
      <family val="2"/>
    </font>
    <font>
      <sz val="9"/>
      <name val="Arial"/>
      <family val="2"/>
    </font>
    <font>
      <sz val="11"/>
      <color rgb="FF0000FF"/>
      <name val="Calibri"/>
      <family val="2"/>
    </font>
    <font>
      <b/>
      <sz val="11"/>
      <color theme="0"/>
      <name val="Calibri"/>
      <family val="2"/>
    </font>
    <font>
      <sz val="11"/>
      <color rgb="FF000000"/>
      <name val="Calibri"/>
      <family val="2"/>
    </font>
    <font>
      <b/>
      <sz val="11"/>
      <color rgb="FF000000"/>
      <name val="Calibri"/>
      <family val="2"/>
    </font>
    <font>
      <sz val="10"/>
      <color rgb="FFFF0000"/>
      <name val="Arial"/>
      <family val="2"/>
    </font>
    <font>
      <b/>
      <sz val="11"/>
      <color rgb="FF0000FF"/>
      <name val="Calibri"/>
      <family val="2"/>
    </font>
    <font>
      <sz val="10"/>
      <color theme="1"/>
      <name val="Calibri"/>
      <family val="2"/>
      <scheme val="minor"/>
    </font>
    <font>
      <b/>
      <sz val="10"/>
      <color theme="1"/>
      <name val="Calibri"/>
      <family val="2"/>
      <scheme val="minor"/>
    </font>
    <font>
      <b/>
      <sz val="11"/>
      <color rgb="FFFF0000"/>
      <name val="Calibri"/>
      <family val="2"/>
    </font>
    <font>
      <sz val="11"/>
      <color rgb="FF0000FF"/>
      <name val="Times New Roman"/>
      <family val="1"/>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9"/>
      <color theme="0" tint="-0.499984740745262"/>
      <name val="Calibri"/>
      <family val="2"/>
      <scheme val="minor"/>
    </font>
    <font>
      <sz val="9"/>
      <color rgb="FF0000FF"/>
      <name val="Calibri"/>
      <family val="2"/>
      <scheme val="minor"/>
    </font>
    <font>
      <b/>
      <sz val="11"/>
      <color rgb="FF0000FF"/>
      <name val="Calibri"/>
      <family val="2"/>
      <scheme val="minor"/>
    </font>
    <font>
      <b/>
      <sz val="8"/>
      <name val="Arial"/>
      <family val="2"/>
    </font>
    <font>
      <sz val="11"/>
      <color theme="0"/>
      <name val="Calibri"/>
      <family val="2"/>
      <scheme val="minor"/>
    </font>
    <font>
      <b/>
      <sz val="9"/>
      <color rgb="FF0000FF"/>
      <name val="Calibri"/>
      <family val="2"/>
    </font>
    <font>
      <b/>
      <sz val="11"/>
      <color indexed="12"/>
      <name val="Calibri"/>
      <family val="2"/>
    </font>
    <font>
      <b/>
      <sz val="10"/>
      <color theme="0"/>
      <name val="Calibri"/>
      <family val="2"/>
      <scheme val="minor"/>
    </font>
    <font>
      <sz val="10"/>
      <color theme="0"/>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
      <b/>
      <sz val="10"/>
      <color rgb="FF0000FF"/>
      <name val="Calibri"/>
      <family val="2"/>
      <scheme val="minor"/>
    </font>
    <font>
      <sz val="10"/>
      <color theme="0"/>
      <name val="Arial"/>
      <family val="2"/>
    </font>
    <font>
      <b/>
      <u/>
      <sz val="10"/>
      <color theme="1"/>
      <name val="Calibri"/>
      <family val="2"/>
      <scheme val="minor"/>
    </font>
    <font>
      <sz val="10"/>
      <color rgb="FF0000FF"/>
      <name val="Calibri"/>
      <family val="2"/>
      <scheme val="minor"/>
    </font>
    <font>
      <b/>
      <sz val="10"/>
      <name val="Times New Roman"/>
      <family val="1"/>
    </font>
    <font>
      <sz val="10"/>
      <name val="Times New Roman"/>
      <family val="1"/>
    </font>
    <font>
      <b/>
      <sz val="11"/>
      <color rgb="FFFF0000"/>
      <name val="Times New Roman"/>
      <family val="1"/>
    </font>
    <font>
      <sz val="11"/>
      <name val="Times New Roman"/>
      <family val="1"/>
    </font>
    <font>
      <b/>
      <sz val="11"/>
      <name val="Times New Roman"/>
      <family val="1"/>
    </font>
    <font>
      <vertAlign val="superscript"/>
      <sz val="11"/>
      <color theme="1"/>
      <name val="Calibri"/>
      <family val="2"/>
    </font>
    <font>
      <vertAlign val="superscript"/>
      <sz val="11"/>
      <color theme="1"/>
      <name val="Calibri"/>
      <family val="2"/>
      <scheme val="minor"/>
    </font>
    <font>
      <u/>
      <sz val="11"/>
      <name val="Calibri"/>
      <family val="2"/>
    </font>
    <font>
      <vertAlign val="superscript"/>
      <sz val="11"/>
      <name val="Calibri"/>
      <family val="2"/>
      <scheme val="minor"/>
    </font>
    <font>
      <sz val="11"/>
      <color indexed="12"/>
      <name val="Calibri"/>
      <family val="2"/>
      <scheme val="minor"/>
    </font>
    <font>
      <sz val="10"/>
      <color rgb="FF0000FF"/>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CCC"/>
        <bgColor indexed="64"/>
      </patternFill>
    </fill>
  </fills>
  <borders count="56">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33">
    <xf numFmtId="0" fontId="0"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842">
    <xf numFmtId="0" fontId="0" fillId="0" borderId="0" xfId="0"/>
    <xf numFmtId="170" fontId="29" fillId="0" borderId="0" xfId="0" applyNumberFormat="1" applyFont="1" applyFill="1"/>
    <xf numFmtId="171" fontId="29" fillId="0" borderId="0" xfId="0" applyNumberFormat="1" applyFont="1"/>
    <xf numFmtId="42" fontId="29" fillId="0" borderId="0" xfId="0" applyNumberFormat="1" applyFont="1" applyFill="1" applyBorder="1"/>
    <xf numFmtId="42" fontId="29" fillId="0" borderId="0" xfId="0" applyNumberFormat="1" applyFont="1" applyFill="1"/>
    <xf numFmtId="42" fontId="36" fillId="0" borderId="0" xfId="0" applyNumberFormat="1" applyFont="1" applyFill="1" applyBorder="1"/>
    <xf numFmtId="42" fontId="0" fillId="0" borderId="0" xfId="0" applyNumberFormat="1" applyFont="1" applyFill="1" applyBorder="1"/>
    <xf numFmtId="0" fontId="0" fillId="0" borderId="0" xfId="0" applyFont="1" applyFill="1"/>
    <xf numFmtId="0" fontId="0" fillId="0" borderId="0" xfId="0" applyFont="1" applyFill="1" applyAlignment="1"/>
    <xf numFmtId="0" fontId="29" fillId="0" borderId="0" xfId="0" applyFont="1" applyFill="1"/>
    <xf numFmtId="0" fontId="29" fillId="0" borderId="1" xfId="0" applyFont="1" applyBorder="1"/>
    <xf numFmtId="0" fontId="29" fillId="0" borderId="1" xfId="0" applyFont="1" applyBorder="1" applyAlignment="1">
      <alignment horizontal="center"/>
    </xf>
    <xf numFmtId="0" fontId="29" fillId="0" borderId="0" xfId="0" applyFont="1" applyBorder="1" applyAlignment="1">
      <alignment horizontal="center"/>
    </xf>
    <xf numFmtId="0" fontId="29" fillId="0" borderId="0" xfId="0" quotePrefix="1" applyFont="1"/>
    <xf numFmtId="0" fontId="29" fillId="0" borderId="0" xfId="0" applyFont="1" applyAlignment="1">
      <alignment horizontal="centerContinuous"/>
    </xf>
    <xf numFmtId="0" fontId="29" fillId="0" borderId="0" xfId="0" quotePrefix="1" applyFont="1" applyAlignment="1">
      <alignment horizontal="centerContinuous"/>
    </xf>
    <xf numFmtId="0" fontId="29" fillId="0" borderId="0" xfId="0" applyFont="1"/>
    <xf numFmtId="0" fontId="0" fillId="0" borderId="0" xfId="0" applyFont="1" applyFill="1" applyBorder="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21" fillId="0" borderId="0" xfId="0" applyFont="1" applyFill="1" applyAlignment="1" applyProtection="1">
      <alignment horizontal="left"/>
    </xf>
    <xf numFmtId="0" fontId="21" fillId="0" borderId="0" xfId="0" applyFont="1" applyFill="1" applyAlignment="1">
      <alignment vertical="top"/>
    </xf>
    <xf numFmtId="0" fontId="17" fillId="0" borderId="0" xfId="0" applyFont="1" applyFill="1" applyAlignment="1">
      <alignment vertical="top"/>
    </xf>
    <xf numFmtId="0" fontId="19" fillId="0" borderId="0" xfId="0" applyFont="1" applyFill="1" applyAlignment="1">
      <alignment vertical="top"/>
    </xf>
    <xf numFmtId="3" fontId="17" fillId="0" borderId="0" xfId="0" applyNumberFormat="1" applyFont="1" applyFill="1" applyAlignment="1">
      <alignment vertical="top"/>
    </xf>
    <xf numFmtId="0" fontId="21" fillId="0" borderId="0" xfId="0" applyFont="1" applyFill="1" applyAlignment="1">
      <alignment horizontal="left"/>
    </xf>
    <xf numFmtId="0" fontId="21" fillId="0" borderId="3" xfId="0" quotePrefix="1" applyFont="1" applyFill="1" applyBorder="1" applyAlignment="1">
      <alignment horizontal="left" vertical="top"/>
    </xf>
    <xf numFmtId="0" fontId="21" fillId="0" borderId="4" xfId="0" applyFont="1" applyFill="1" applyBorder="1" applyAlignment="1">
      <alignment vertical="top"/>
    </xf>
    <xf numFmtId="0" fontId="17" fillId="0" borderId="4" xfId="0" applyFont="1" applyFill="1" applyBorder="1" applyAlignment="1">
      <alignment vertical="top"/>
    </xf>
    <xf numFmtId="3" fontId="17" fillId="0" borderId="5" xfId="0" applyNumberFormat="1" applyFont="1" applyFill="1" applyBorder="1" applyAlignment="1">
      <alignment vertical="top"/>
    </xf>
    <xf numFmtId="3" fontId="17" fillId="0" borderId="0" xfId="0" applyNumberFormat="1" applyFont="1" applyFill="1" applyBorder="1" applyAlignment="1">
      <alignment vertical="top"/>
    </xf>
    <xf numFmtId="0" fontId="21" fillId="0" borderId="6" xfId="0" applyFont="1" applyFill="1" applyBorder="1" applyAlignment="1">
      <alignment vertical="top"/>
    </xf>
    <xf numFmtId="0" fontId="21" fillId="0" borderId="0" xfId="0" applyFont="1" applyFill="1" applyBorder="1" applyAlignment="1">
      <alignment vertical="top"/>
    </xf>
    <xf numFmtId="0" fontId="17" fillId="0" borderId="0" xfId="0" applyFont="1" applyFill="1" applyBorder="1" applyAlignment="1">
      <alignment vertical="top"/>
    </xf>
    <xf numFmtId="3" fontId="17" fillId="0" borderId="7" xfId="0" applyNumberFormat="1" applyFont="1" applyFill="1" applyBorder="1" applyAlignment="1">
      <alignment vertical="top"/>
    </xf>
    <xf numFmtId="0" fontId="21" fillId="0" borderId="0" xfId="0" applyFont="1" applyFill="1" applyBorder="1" applyAlignment="1">
      <alignment horizontal="center" vertical="top"/>
    </xf>
    <xf numFmtId="0" fontId="21" fillId="0" borderId="7" xfId="0" applyFont="1" applyFill="1" applyBorder="1" applyAlignment="1">
      <alignment horizontal="center" vertical="top"/>
    </xf>
    <xf numFmtId="0" fontId="20" fillId="0" borderId="0" xfId="0" applyFont="1" applyFill="1" applyBorder="1" applyAlignment="1">
      <alignment horizontal="center" vertical="top"/>
    </xf>
    <xf numFmtId="0" fontId="21" fillId="0" borderId="1" xfId="0" applyFont="1" applyFill="1" applyBorder="1" applyAlignment="1">
      <alignment horizontal="center" vertical="top"/>
    </xf>
    <xf numFmtId="0" fontId="21" fillId="0" borderId="8" xfId="0" applyFont="1" applyFill="1" applyBorder="1" applyAlignment="1">
      <alignment horizontal="center" vertical="top"/>
    </xf>
    <xf numFmtId="0" fontId="17" fillId="0" borderId="7" xfId="0" applyFont="1" applyFill="1" applyBorder="1" applyAlignment="1">
      <alignment vertical="top"/>
    </xf>
    <xf numFmtId="42" fontId="17" fillId="0" borderId="0" xfId="0" applyNumberFormat="1" applyFont="1" applyFill="1" applyAlignment="1">
      <alignment vertical="top"/>
    </xf>
    <xf numFmtId="10" fontId="22" fillId="0" borderId="0" xfId="0" applyNumberFormat="1" applyFont="1" applyFill="1" applyBorder="1" applyAlignment="1">
      <alignment vertical="top"/>
    </xf>
    <xf numFmtId="10" fontId="22" fillId="0" borderId="7" xfId="0" applyNumberFormat="1" applyFont="1" applyFill="1" applyBorder="1" applyAlignment="1">
      <alignment vertical="top"/>
    </xf>
    <xf numFmtId="10" fontId="22" fillId="0" borderId="1" xfId="0" applyNumberFormat="1" applyFont="1" applyFill="1" applyBorder="1" applyAlignment="1">
      <alignment vertical="top"/>
    </xf>
    <xf numFmtId="10" fontId="22" fillId="0" borderId="8" xfId="0" applyNumberFormat="1" applyFont="1" applyFill="1" applyBorder="1" applyAlignment="1">
      <alignment vertical="top"/>
    </xf>
    <xf numFmtId="10" fontId="17" fillId="0" borderId="9" xfId="0" applyNumberFormat="1" applyFont="1" applyFill="1" applyBorder="1" applyAlignment="1">
      <alignment vertical="top"/>
    </xf>
    <xf numFmtId="10" fontId="17" fillId="0" borderId="0" xfId="0" applyNumberFormat="1" applyFont="1" applyFill="1" applyBorder="1" applyAlignment="1">
      <alignment vertical="top"/>
    </xf>
    <xf numFmtId="10" fontId="17" fillId="0" borderId="10" xfId="0" applyNumberFormat="1" applyFont="1" applyFill="1" applyBorder="1" applyAlignment="1">
      <alignment vertical="top"/>
    </xf>
    <xf numFmtId="3" fontId="22" fillId="0" borderId="7" xfId="0" applyNumberFormat="1" applyFont="1" applyFill="1" applyBorder="1" applyAlignment="1">
      <alignment vertical="top"/>
    </xf>
    <xf numFmtId="0" fontId="21" fillId="0" borderId="11" xfId="0" applyFont="1" applyFill="1" applyBorder="1" applyAlignment="1">
      <alignment vertical="top"/>
    </xf>
    <xf numFmtId="0" fontId="21" fillId="0" borderId="2" xfId="0" applyFont="1" applyFill="1" applyBorder="1" applyAlignment="1">
      <alignment vertical="top"/>
    </xf>
    <xf numFmtId="0" fontId="17" fillId="0" borderId="2" xfId="0" applyFont="1" applyFill="1" applyBorder="1" applyAlignment="1">
      <alignment vertical="top"/>
    </xf>
    <xf numFmtId="0" fontId="20" fillId="0" borderId="0" xfId="0" applyFont="1" applyFill="1" applyAlignment="1">
      <alignment vertical="top"/>
    </xf>
    <xf numFmtId="3" fontId="17" fillId="0" borderId="0" xfId="0" applyNumberFormat="1" applyFont="1" applyFill="1" applyAlignment="1" applyProtection="1">
      <alignment vertical="top"/>
      <protection hidden="1"/>
    </xf>
    <xf numFmtId="3" fontId="21" fillId="2" borderId="1" xfId="0" quotePrefix="1" applyNumberFormat="1" applyFont="1" applyFill="1" applyBorder="1" applyAlignment="1">
      <alignment horizontal="center" vertical="top"/>
    </xf>
    <xf numFmtId="3" fontId="21" fillId="0" borderId="1" xfId="0" quotePrefix="1" applyNumberFormat="1" applyFont="1" applyFill="1" applyBorder="1" applyAlignment="1">
      <alignment horizontal="center" vertical="top"/>
    </xf>
    <xf numFmtId="42" fontId="16" fillId="2" borderId="0" xfId="0" applyNumberFormat="1" applyFont="1" applyFill="1" applyAlignment="1">
      <alignment vertical="top"/>
    </xf>
    <xf numFmtId="44" fontId="16" fillId="0" borderId="0" xfId="0" applyNumberFormat="1" applyFont="1" applyFill="1" applyAlignment="1">
      <alignment vertical="top"/>
    </xf>
    <xf numFmtId="42" fontId="16" fillId="2" borderId="1" xfId="0" applyNumberFormat="1" applyFont="1" applyFill="1" applyBorder="1" applyAlignment="1">
      <alignment vertical="top"/>
    </xf>
    <xf numFmtId="42" fontId="16" fillId="2" borderId="0" xfId="0" applyNumberFormat="1" applyFont="1" applyFill="1" applyBorder="1" applyAlignment="1">
      <alignment vertical="top"/>
    </xf>
    <xf numFmtId="3" fontId="16" fillId="0" borderId="0" xfId="0" applyNumberFormat="1" applyFont="1" applyFill="1" applyAlignment="1">
      <alignment vertical="top"/>
    </xf>
    <xf numFmtId="5" fontId="16" fillId="2" borderId="0" xfId="0" applyNumberFormat="1" applyFont="1" applyFill="1" applyAlignment="1">
      <alignment vertical="top"/>
    </xf>
    <xf numFmtId="5" fontId="16" fillId="0" borderId="0" xfId="0" applyNumberFormat="1" applyFont="1" applyFill="1" applyAlignment="1">
      <alignment vertical="top"/>
    </xf>
    <xf numFmtId="10" fontId="16" fillId="2" borderId="0" xfId="0" applyNumberFormat="1" applyFont="1" applyFill="1" applyAlignment="1">
      <alignment vertical="top"/>
    </xf>
    <xf numFmtId="0" fontId="21" fillId="0" borderId="0" xfId="0" quotePrefix="1" applyFont="1" applyFill="1" applyAlignment="1">
      <alignment horizontal="left" vertical="top"/>
    </xf>
    <xf numFmtId="0" fontId="23" fillId="0" borderId="0" xfId="0" applyFont="1" applyFill="1" applyAlignment="1">
      <alignment vertical="top"/>
    </xf>
    <xf numFmtId="10" fontId="16" fillId="0" borderId="0" xfId="0" applyNumberFormat="1" applyFont="1" applyFill="1" applyAlignment="1" applyProtection="1">
      <alignment vertical="top"/>
    </xf>
    <xf numFmtId="10" fontId="22" fillId="0" borderId="0" xfId="0" applyNumberFormat="1" applyFont="1" applyFill="1" applyAlignment="1">
      <alignment vertical="top"/>
    </xf>
    <xf numFmtId="0" fontId="24" fillId="0" borderId="0" xfId="0" applyFont="1" applyFill="1" applyAlignment="1">
      <alignment vertical="top"/>
    </xf>
    <xf numFmtId="10" fontId="23" fillId="0" borderId="0" xfId="0" applyNumberFormat="1" applyFont="1" applyFill="1" applyAlignment="1" applyProtection="1">
      <alignment vertical="top"/>
    </xf>
    <xf numFmtId="10" fontId="16" fillId="0" borderId="0" xfId="0" applyNumberFormat="1" applyFont="1" applyFill="1"/>
    <xf numFmtId="10" fontId="24" fillId="0" borderId="0" xfId="0" applyNumberFormat="1" applyFont="1" applyFill="1" applyAlignment="1">
      <alignment vertical="top"/>
    </xf>
    <xf numFmtId="0" fontId="22" fillId="0" borderId="0" xfId="0" applyFont="1" applyFill="1" applyAlignment="1">
      <alignment vertical="top"/>
    </xf>
    <xf numFmtId="0" fontId="15" fillId="0" borderId="0" xfId="0" applyFont="1" applyFill="1"/>
    <xf numFmtId="0" fontId="18" fillId="0" borderId="0" xfId="0" applyFont="1" applyFill="1" applyAlignment="1">
      <alignment vertical="top"/>
    </xf>
    <xf numFmtId="42" fontId="22" fillId="2" borderId="12" xfId="0" applyNumberFormat="1" applyFont="1" applyFill="1" applyBorder="1" applyAlignment="1">
      <alignment vertical="top"/>
    </xf>
    <xf numFmtId="164" fontId="16" fillId="0" borderId="0" xfId="0" applyNumberFormat="1" applyFont="1" applyFill="1" applyAlignment="1" applyProtection="1">
      <alignment vertical="top"/>
    </xf>
    <xf numFmtId="164" fontId="16" fillId="2" borderId="0" xfId="0" applyNumberFormat="1" applyFont="1" applyFill="1" applyAlignment="1" applyProtection="1">
      <alignment vertical="top"/>
    </xf>
    <xf numFmtId="164" fontId="16" fillId="0" borderId="0" xfId="0" applyNumberFormat="1" applyFont="1" applyFill="1"/>
    <xf numFmtId="164" fontId="22" fillId="0" borderId="0" xfId="0" applyNumberFormat="1" applyFont="1" applyFill="1" applyAlignment="1">
      <alignment vertical="top"/>
    </xf>
    <xf numFmtId="164" fontId="23" fillId="2" borderId="0" xfId="0" applyNumberFormat="1" applyFont="1" applyFill="1" applyAlignment="1" applyProtection="1">
      <alignment vertical="top"/>
    </xf>
    <xf numFmtId="0" fontId="14" fillId="0" borderId="0" xfId="0" applyFont="1"/>
    <xf numFmtId="0" fontId="14" fillId="0" borderId="0" xfId="0" applyFont="1" applyBorder="1" applyAlignment="1">
      <alignment horizontal="center"/>
    </xf>
    <xf numFmtId="0" fontId="14" fillId="0" borderId="1" xfId="0" applyFont="1" applyBorder="1" applyAlignment="1">
      <alignment horizontal="center"/>
    </xf>
    <xf numFmtId="42" fontId="14" fillId="0" borderId="0" xfId="0" applyNumberFormat="1" applyFont="1"/>
    <xf numFmtId="0" fontId="14" fillId="0" borderId="0" xfId="0" applyFont="1" applyFill="1"/>
    <xf numFmtId="0" fontId="16" fillId="0" borderId="0" xfId="0" applyFont="1" applyFill="1"/>
    <xf numFmtId="42" fontId="14" fillId="0" borderId="0" xfId="0" applyNumberFormat="1" applyFont="1" applyFill="1"/>
    <xf numFmtId="42" fontId="14" fillId="0" borderId="15" xfId="0" applyNumberFormat="1" applyFont="1" applyFill="1" applyBorder="1"/>
    <xf numFmtId="42" fontId="14" fillId="0" borderId="0" xfId="0" applyNumberFormat="1" applyFont="1" applyFill="1" applyBorder="1"/>
    <xf numFmtId="42" fontId="14" fillId="0" borderId="15" xfId="0" applyNumberFormat="1" applyFont="1" applyBorder="1"/>
    <xf numFmtId="165" fontId="16" fillId="0" borderId="0" xfId="0" applyNumberFormat="1" applyFont="1" applyFill="1"/>
    <xf numFmtId="42" fontId="16" fillId="0" borderId="15" xfId="0" applyNumberFormat="1" applyFont="1" applyFill="1" applyBorder="1"/>
    <xf numFmtId="167" fontId="14" fillId="0" borderId="0" xfId="0" applyNumberFormat="1" applyFont="1"/>
    <xf numFmtId="0" fontId="14" fillId="0" borderId="0" xfId="0" applyFont="1" applyBorder="1" applyAlignment="1">
      <alignment horizontal="left"/>
    </xf>
    <xf numFmtId="0" fontId="14" fillId="0" borderId="0" xfId="0" applyFont="1" applyAlignment="1">
      <alignment horizontal="left"/>
    </xf>
    <xf numFmtId="0" fontId="13" fillId="0" borderId="0" xfId="0" applyFont="1"/>
    <xf numFmtId="0" fontId="13" fillId="0" borderId="0" xfId="0" applyFont="1" applyAlignment="1">
      <alignment horizontal="centerContinuous"/>
    </xf>
    <xf numFmtId="0" fontId="13" fillId="0" borderId="1" xfId="0" applyFont="1" applyBorder="1" applyAlignment="1">
      <alignment horizontal="center"/>
    </xf>
    <xf numFmtId="0" fontId="13" fillId="0" borderId="0" xfId="0" applyFont="1" applyAlignment="1">
      <alignment horizontal="left"/>
    </xf>
    <xf numFmtId="3" fontId="13" fillId="0" borderId="0" xfId="0" applyNumberFormat="1" applyFont="1"/>
    <xf numFmtId="3" fontId="13" fillId="0" borderId="15" xfId="0" applyNumberFormat="1" applyFont="1" applyBorder="1"/>
    <xf numFmtId="3" fontId="13" fillId="0" borderId="1" xfId="0" applyNumberFormat="1" applyFont="1" applyBorder="1"/>
    <xf numFmtId="0" fontId="15" fillId="0" borderId="0" xfId="0" applyFont="1" applyAlignment="1">
      <alignment horizontal="left"/>
    </xf>
    <xf numFmtId="173" fontId="15" fillId="0" borderId="0" xfId="0" applyNumberFormat="1" applyFont="1"/>
    <xf numFmtId="0" fontId="21" fillId="2" borderId="1" xfId="0" quotePrefix="1" applyNumberFormat="1" applyFont="1" applyFill="1" applyBorder="1" applyAlignment="1">
      <alignment horizontal="center" vertical="top"/>
    </xf>
    <xf numFmtId="174" fontId="16" fillId="2" borderId="0" xfId="0" applyNumberFormat="1" applyFont="1" applyFill="1" applyAlignment="1">
      <alignment vertical="top"/>
    </xf>
    <xf numFmtId="3" fontId="15" fillId="2" borderId="0" xfId="0" applyNumberFormat="1" applyFont="1" applyFill="1" applyAlignment="1">
      <alignment vertical="top"/>
    </xf>
    <xf numFmtId="0" fontId="25" fillId="0" borderId="14" xfId="0" applyFont="1" applyFill="1" applyBorder="1"/>
    <xf numFmtId="42" fontId="25" fillId="0" borderId="14" xfId="0" applyNumberFormat="1" applyFont="1" applyFill="1" applyBorder="1"/>
    <xf numFmtId="42" fontId="28" fillId="0" borderId="21" xfId="0" applyNumberFormat="1" applyFont="1" applyFill="1" applyBorder="1"/>
    <xf numFmtId="0" fontId="25" fillId="0" borderId="0" xfId="0" applyFont="1" applyFill="1"/>
    <xf numFmtId="41" fontId="25" fillId="0" borderId="0" xfId="0" applyNumberFormat="1" applyFont="1" applyFill="1"/>
    <xf numFmtId="0" fontId="31" fillId="0" borderId="0" xfId="0" applyFont="1" applyFill="1" applyAlignment="1">
      <alignment horizontal="centerContinuous"/>
    </xf>
    <xf numFmtId="0" fontId="31" fillId="0" borderId="0" xfId="0" applyFont="1" applyFill="1" applyAlignment="1">
      <alignment horizontal="center"/>
    </xf>
    <xf numFmtId="3" fontId="21" fillId="0" borderId="1" xfId="0" applyNumberFormat="1" applyFont="1" applyFill="1" applyBorder="1" applyAlignment="1">
      <alignment horizontal="center" vertical="top"/>
    </xf>
    <xf numFmtId="0" fontId="21" fillId="0" borderId="0" xfId="0" applyFont="1" applyAlignment="1">
      <alignment vertical="top"/>
    </xf>
    <xf numFmtId="3" fontId="0" fillId="0" borderId="0" xfId="0" applyNumberFormat="1" applyFont="1" applyFill="1" applyAlignment="1" applyProtection="1">
      <alignment vertical="top"/>
      <protection hidden="1"/>
    </xf>
    <xf numFmtId="0" fontId="21" fillId="0" borderId="0" xfId="0" applyFont="1" applyAlignment="1">
      <alignment horizontal="center" vertical="top"/>
    </xf>
    <xf numFmtId="42" fontId="16" fillId="0" borderId="0" xfId="0" applyNumberFormat="1" applyFont="1" applyFill="1" applyBorder="1" applyAlignment="1">
      <alignment vertical="top"/>
    </xf>
    <xf numFmtId="42" fontId="16" fillId="0" borderId="1" xfId="0" applyNumberFormat="1" applyFont="1" applyFill="1" applyBorder="1" applyAlignment="1">
      <alignment vertical="top"/>
    </xf>
    <xf numFmtId="10" fontId="16" fillId="0" borderId="0" xfId="0" applyNumberFormat="1" applyFont="1" applyFill="1" applyAlignment="1">
      <alignment vertical="top"/>
    </xf>
    <xf numFmtId="42" fontId="16" fillId="0" borderId="0" xfId="0" applyNumberFormat="1" applyFont="1" applyFill="1" applyAlignment="1">
      <alignment vertical="top"/>
    </xf>
    <xf numFmtId="37" fontId="16" fillId="0" borderId="0" xfId="0" applyNumberFormat="1" applyFont="1" applyFill="1" applyAlignment="1">
      <alignment vertical="top"/>
    </xf>
    <xf numFmtId="169" fontId="16" fillId="0" borderId="0" xfId="0" applyNumberFormat="1" applyFont="1" applyFill="1" applyAlignment="1" applyProtection="1">
      <alignment vertical="top"/>
    </xf>
    <xf numFmtId="43" fontId="17" fillId="0" borderId="0" xfId="0" applyNumberFormat="1" applyFont="1" applyFill="1" applyAlignment="1">
      <alignment vertical="top"/>
    </xf>
    <xf numFmtId="10" fontId="17" fillId="0" borderId="0" xfId="0" applyNumberFormat="1" applyFont="1" applyFill="1" applyAlignment="1">
      <alignment vertical="top"/>
    </xf>
    <xf numFmtId="0" fontId="33" fillId="0" borderId="0" xfId="0" applyFont="1"/>
    <xf numFmtId="169" fontId="33" fillId="0" borderId="0" xfId="0" applyNumberFormat="1" applyFont="1"/>
    <xf numFmtId="0" fontId="33" fillId="0" borderId="0" xfId="0" applyFont="1" applyBorder="1" applyAlignment="1">
      <alignment horizontal="center"/>
    </xf>
    <xf numFmtId="0" fontId="33" fillId="0" borderId="0" xfId="0" applyFont="1" applyAlignment="1">
      <alignment horizontal="center"/>
    </xf>
    <xf numFmtId="0" fontId="33" fillId="0" borderId="14" xfId="0" applyFont="1" applyBorder="1" applyAlignment="1">
      <alignment horizontal="left"/>
    </xf>
    <xf numFmtId="164" fontId="33" fillId="0" borderId="14" xfId="0" applyNumberFormat="1" applyFont="1" applyBorder="1" applyAlignment="1">
      <alignment vertical="center" wrapText="1"/>
    </xf>
    <xf numFmtId="0" fontId="40" fillId="3" borderId="0" xfId="0" applyFont="1" applyFill="1" applyBorder="1" applyAlignment="1">
      <alignment horizontal="centerContinuous" vertical="top"/>
    </xf>
    <xf numFmtId="3" fontId="40" fillId="3" borderId="7" xfId="0" applyNumberFormat="1" applyFont="1" applyFill="1" applyBorder="1" applyAlignment="1">
      <alignment horizontal="centerContinuous" vertical="top"/>
    </xf>
    <xf numFmtId="0" fontId="17" fillId="0" borderId="0" xfId="0" applyFont="1" applyFill="1" applyAlignment="1">
      <alignment horizontal="center" vertical="top"/>
    </xf>
    <xf numFmtId="42" fontId="18" fillId="0" borderId="0" xfId="0" applyNumberFormat="1" applyFont="1" applyFill="1" applyAlignment="1">
      <alignment vertical="top"/>
    </xf>
    <xf numFmtId="165" fontId="16" fillId="0" borderId="0" xfId="0" applyNumberFormat="1" applyFont="1" applyFill="1" applyBorder="1" applyAlignment="1">
      <alignment vertical="top"/>
    </xf>
    <xf numFmtId="165" fontId="16" fillId="0" borderId="14" xfId="0" applyNumberFormat="1" applyFont="1" applyFill="1" applyBorder="1"/>
    <xf numFmtId="10" fontId="16" fillId="0" borderId="14" xfId="0" applyNumberFormat="1" applyFont="1" applyFill="1" applyBorder="1" applyAlignment="1"/>
    <xf numFmtId="41" fontId="25" fillId="0" borderId="22" xfId="0" applyNumberFormat="1" applyFont="1" applyFill="1" applyBorder="1"/>
    <xf numFmtId="0" fontId="16" fillId="0" borderId="0" xfId="0" applyFont="1" applyFill="1" applyAlignment="1">
      <alignment vertical="top"/>
    </xf>
    <xf numFmtId="0" fontId="25" fillId="0" borderId="0" xfId="0" applyFont="1"/>
    <xf numFmtId="17" fontId="26" fillId="0" borderId="13" xfId="0" applyNumberFormat="1" applyFont="1" applyFill="1" applyBorder="1" applyAlignment="1">
      <alignment horizontal="centerContinuous"/>
    </xf>
    <xf numFmtId="0" fontId="16" fillId="0" borderId="18" xfId="0" applyFont="1" applyFill="1" applyBorder="1"/>
    <xf numFmtId="0" fontId="26" fillId="0" borderId="14" xfId="0" applyFont="1" applyFill="1" applyBorder="1" applyAlignment="1">
      <alignment horizontal="center" vertical="center" wrapText="1"/>
    </xf>
    <xf numFmtId="0" fontId="16" fillId="0" borderId="18" xfId="0" applyFont="1" applyFill="1" applyBorder="1" applyAlignment="1">
      <alignment horizontal="center" wrapText="1"/>
    </xf>
    <xf numFmtId="0" fontId="32" fillId="0" borderId="19" xfId="0" applyFont="1" applyFill="1" applyBorder="1"/>
    <xf numFmtId="168" fontId="16" fillId="0" borderId="14" xfId="0" applyNumberFormat="1" applyFont="1" applyFill="1" applyBorder="1"/>
    <xf numFmtId="0" fontId="27" fillId="0" borderId="0" xfId="0" applyNumberFormat="1" applyFont="1" applyFill="1" applyAlignment="1"/>
    <xf numFmtId="0" fontId="26" fillId="0" borderId="0" xfId="0" applyFont="1" applyFill="1" applyAlignment="1">
      <alignment horizontal="centerContinuous"/>
    </xf>
    <xf numFmtId="0" fontId="16" fillId="0" borderId="14" xfId="0" applyFont="1" applyFill="1" applyBorder="1" applyAlignment="1">
      <alignment horizontal="center" wrapText="1"/>
    </xf>
    <xf numFmtId="0" fontId="30" fillId="0" borderId="14" xfId="0" applyFont="1" applyFill="1" applyBorder="1" applyAlignment="1">
      <alignment horizontal="center"/>
    </xf>
    <xf numFmtId="43" fontId="16" fillId="0" borderId="14" xfId="0" applyNumberFormat="1" applyFont="1" applyFill="1" applyBorder="1" applyAlignment="1"/>
    <xf numFmtId="0" fontId="16" fillId="0" borderId="14" xfId="0" applyNumberFormat="1" applyFont="1" applyFill="1" applyBorder="1" applyAlignment="1"/>
    <xf numFmtId="0" fontId="30" fillId="0" borderId="14" xfId="0" applyNumberFormat="1" applyFont="1" applyFill="1" applyBorder="1" applyAlignment="1"/>
    <xf numFmtId="0" fontId="29" fillId="0" borderId="0" xfId="0" applyFont="1" applyAlignment="1">
      <alignment horizontal="center"/>
    </xf>
    <xf numFmtId="0" fontId="29" fillId="0" borderId="0" xfId="0" applyFont="1" applyFill="1" applyAlignment="1">
      <alignment horizontal="center"/>
    </xf>
    <xf numFmtId="42" fontId="29" fillId="0" borderId="15" xfId="0" applyNumberFormat="1" applyFont="1" applyFill="1" applyBorder="1"/>
    <xf numFmtId="0" fontId="11" fillId="0" borderId="0" xfId="0" applyFont="1"/>
    <xf numFmtId="0" fontId="11" fillId="0" borderId="0" xfId="0" applyFont="1" applyFill="1"/>
    <xf numFmtId="0" fontId="16" fillId="0" borderId="0" xfId="0" applyFont="1" applyFill="1" applyBorder="1" applyAlignment="1">
      <alignment vertical="top"/>
    </xf>
    <xf numFmtId="10" fontId="16" fillId="0" borderId="1" xfId="0" applyNumberFormat="1" applyFont="1" applyFill="1" applyBorder="1" applyAlignment="1">
      <alignment vertical="top"/>
    </xf>
    <xf numFmtId="0" fontId="14" fillId="0" borderId="0" xfId="0" applyFont="1" applyFill="1" applyAlignment="1">
      <alignment horizontal="center"/>
    </xf>
    <xf numFmtId="0" fontId="43" fillId="0" borderId="0" xfId="0" applyFont="1"/>
    <xf numFmtId="0" fontId="43" fillId="0" borderId="0" xfId="0" applyFont="1" applyFill="1"/>
    <xf numFmtId="0" fontId="15" fillId="0" borderId="0" xfId="0" applyFont="1"/>
    <xf numFmtId="165" fontId="15" fillId="0" borderId="0" xfId="0" applyNumberFormat="1" applyFont="1"/>
    <xf numFmtId="0" fontId="44" fillId="0" borderId="4" xfId="0" applyFont="1" applyFill="1" applyBorder="1" applyAlignment="1">
      <alignment vertical="top"/>
    </xf>
    <xf numFmtId="10" fontId="39" fillId="0" borderId="10" xfId="0" applyNumberFormat="1" applyFont="1" applyFill="1" applyBorder="1" applyAlignment="1">
      <alignment vertical="top"/>
    </xf>
    <xf numFmtId="3" fontId="47" fillId="0" borderId="0" xfId="0" applyNumberFormat="1" applyFont="1" applyFill="1" applyAlignment="1">
      <alignment vertical="top"/>
    </xf>
    <xf numFmtId="42" fontId="31" fillId="0" borderId="27" xfId="0" applyNumberFormat="1" applyFont="1" applyFill="1" applyBorder="1" applyAlignment="1">
      <alignment horizontal="left"/>
    </xf>
    <xf numFmtId="0" fontId="21" fillId="0" borderId="9" xfId="0" applyFont="1" applyFill="1" applyBorder="1" applyAlignment="1">
      <alignment vertical="top"/>
    </xf>
    <xf numFmtId="3" fontId="16" fillId="0" borderId="9" xfId="0" applyNumberFormat="1" applyFont="1" applyFill="1" applyBorder="1" applyAlignment="1">
      <alignment vertical="top"/>
    </xf>
    <xf numFmtId="0" fontId="48" fillId="0" borderId="0" xfId="0" applyFont="1" applyFill="1"/>
    <xf numFmtId="0" fontId="49" fillId="0" borderId="0" xfId="0" applyFont="1" applyFill="1"/>
    <xf numFmtId="0" fontId="50" fillId="0" borderId="19" xfId="0" applyFont="1" applyFill="1" applyBorder="1" applyAlignment="1">
      <alignment horizontal="centerContinuous"/>
    </xf>
    <xf numFmtId="0" fontId="50" fillId="0" borderId="29" xfId="0" applyFont="1" applyFill="1" applyBorder="1" applyAlignment="1">
      <alignment horizontal="centerContinuous"/>
    </xf>
    <xf numFmtId="0" fontId="50" fillId="0" borderId="0" xfId="0" applyFont="1" applyFill="1" applyAlignment="1">
      <alignment horizontal="centerContinuous"/>
    </xf>
    <xf numFmtId="0" fontId="49" fillId="0" borderId="0" xfId="0" applyFont="1" applyFill="1" applyAlignment="1">
      <alignment horizontal="centerContinuous"/>
    </xf>
    <xf numFmtId="0" fontId="51" fillId="0" borderId="0" xfId="0" applyNumberFormat="1" applyFont="1" applyFill="1" applyAlignment="1">
      <alignment horizontal="center"/>
    </xf>
    <xf numFmtId="0" fontId="51" fillId="0" borderId="0" xfId="0" applyFont="1" applyFill="1" applyAlignment="1">
      <alignment horizontal="center"/>
    </xf>
    <xf numFmtId="0" fontId="52" fillId="0" borderId="0" xfId="0" applyFont="1" applyFill="1"/>
    <xf numFmtId="0" fontId="51" fillId="0" borderId="1" xfId="0" applyNumberFormat="1" applyFont="1" applyFill="1" applyBorder="1" applyAlignment="1">
      <alignment horizontal="center"/>
    </xf>
    <xf numFmtId="0" fontId="51" fillId="0" borderId="1" xfId="0" applyFont="1" applyFill="1" applyBorder="1" applyAlignment="1">
      <alignment horizontal="center"/>
    </xf>
    <xf numFmtId="0" fontId="52" fillId="0" borderId="1" xfId="0" applyFont="1" applyFill="1" applyBorder="1"/>
    <xf numFmtId="0" fontId="49" fillId="0" borderId="0" xfId="0" applyNumberFormat="1" applyFont="1" applyFill="1" applyAlignment="1">
      <alignment horizontal="center"/>
    </xf>
    <xf numFmtId="0" fontId="49" fillId="0" borderId="0" xfId="0" applyNumberFormat="1" applyFont="1" applyFill="1" applyAlignment="1"/>
    <xf numFmtId="10" fontId="49" fillId="0" borderId="0" xfId="0" applyNumberFormat="1" applyFont="1" applyFill="1"/>
    <xf numFmtId="0" fontId="49" fillId="0" borderId="0" xfId="0" applyNumberFormat="1" applyFont="1" applyFill="1" applyAlignment="1">
      <alignment horizontal="left"/>
    </xf>
    <xf numFmtId="166" fontId="49" fillId="0" borderId="0" xfId="0" applyNumberFormat="1" applyFont="1" applyFill="1" applyAlignment="1"/>
    <xf numFmtId="10" fontId="49" fillId="0" borderId="15" xfId="0" applyNumberFormat="1" applyFont="1" applyFill="1" applyBorder="1"/>
    <xf numFmtId="0" fontId="49" fillId="0" borderId="15" xfId="0" applyFont="1" applyFill="1" applyBorder="1"/>
    <xf numFmtId="10" fontId="49" fillId="5" borderId="15" xfId="0" applyNumberFormat="1" applyFont="1" applyFill="1" applyBorder="1"/>
    <xf numFmtId="164" fontId="49" fillId="0" borderId="0" xfId="0" applyNumberFormat="1" applyFont="1" applyFill="1" applyAlignment="1"/>
    <xf numFmtId="166" fontId="49" fillId="0" borderId="1" xfId="0" applyNumberFormat="1" applyFont="1" applyFill="1" applyBorder="1" applyAlignment="1"/>
    <xf numFmtId="166" fontId="49" fillId="0" borderId="0" xfId="0" applyNumberFormat="1" applyFont="1" applyFill="1" applyBorder="1" applyAlignment="1"/>
    <xf numFmtId="9" fontId="49" fillId="0" borderId="0" xfId="0" applyNumberFormat="1" applyFont="1" applyFill="1" applyAlignment="1"/>
    <xf numFmtId="166" fontId="50" fillId="0" borderId="28" xfId="0" applyNumberFormat="1" applyFont="1" applyFill="1" applyBorder="1" applyAlignment="1" applyProtection="1">
      <protection locked="0"/>
    </xf>
    <xf numFmtId="173" fontId="49" fillId="0" borderId="0" xfId="0" applyNumberFormat="1" applyFont="1" applyFill="1"/>
    <xf numFmtId="179" fontId="16" fillId="0" borderId="0" xfId="0" applyNumberFormat="1" applyFont="1" applyFill="1"/>
    <xf numFmtId="0" fontId="53" fillId="0" borderId="0" xfId="0" applyFont="1" applyAlignment="1">
      <alignment horizontal="right"/>
    </xf>
    <xf numFmtId="176" fontId="53" fillId="0" borderId="0" xfId="0" applyNumberFormat="1" applyFont="1"/>
    <xf numFmtId="3" fontId="17" fillId="0" borderId="30" xfId="0" applyNumberFormat="1" applyFont="1" applyFill="1" applyBorder="1" applyAlignment="1">
      <alignment vertical="top"/>
    </xf>
    <xf numFmtId="0" fontId="40" fillId="3" borderId="0" xfId="0" applyFont="1" applyFill="1" applyBorder="1" applyAlignment="1">
      <alignment horizontal="left" vertical="top"/>
    </xf>
    <xf numFmtId="3" fontId="40" fillId="3" borderId="25" xfId="0" applyNumberFormat="1" applyFont="1" applyFill="1" applyBorder="1" applyAlignment="1">
      <alignment horizontal="centerContinuous" vertical="top"/>
    </xf>
    <xf numFmtId="0" fontId="21" fillId="0" borderId="25" xfId="0" applyFont="1" applyFill="1" applyBorder="1" applyAlignment="1">
      <alignment horizontal="center" vertical="top"/>
    </xf>
    <xf numFmtId="0" fontId="21" fillId="0" borderId="31" xfId="0" applyFont="1" applyFill="1" applyBorder="1" applyAlignment="1">
      <alignment horizontal="center" vertical="top"/>
    </xf>
    <xf numFmtId="0" fontId="17" fillId="0" borderId="25" xfId="0" applyFont="1" applyFill="1" applyBorder="1" applyAlignment="1">
      <alignment vertical="top"/>
    </xf>
    <xf numFmtId="10" fontId="22" fillId="0" borderId="25" xfId="0" applyNumberFormat="1" applyFont="1" applyFill="1" applyBorder="1" applyAlignment="1">
      <alignment vertical="top"/>
    </xf>
    <xf numFmtId="10" fontId="22" fillId="0" borderId="31" xfId="0" applyNumberFormat="1" applyFont="1" applyFill="1" applyBorder="1" applyAlignment="1">
      <alignment vertical="top"/>
    </xf>
    <xf numFmtId="44" fontId="17" fillId="0" borderId="0" xfId="0" applyNumberFormat="1" applyFont="1" applyFill="1" applyAlignment="1">
      <alignment vertical="top"/>
    </xf>
    <xf numFmtId="10" fontId="39" fillId="0" borderId="32" xfId="0" applyNumberFormat="1" applyFont="1" applyFill="1" applyBorder="1" applyAlignment="1">
      <alignment vertical="top"/>
    </xf>
    <xf numFmtId="10" fontId="22" fillId="0" borderId="33" xfId="0" applyNumberFormat="1" applyFont="1" applyFill="1" applyBorder="1" applyAlignment="1">
      <alignment vertical="top"/>
    </xf>
    <xf numFmtId="3" fontId="22" fillId="0" borderId="0" xfId="0" applyNumberFormat="1" applyFont="1" applyFill="1" applyBorder="1" applyAlignment="1">
      <alignment vertical="top"/>
    </xf>
    <xf numFmtId="42" fontId="22" fillId="0" borderId="0" xfId="0" applyNumberFormat="1" applyFont="1" applyFill="1" applyBorder="1" applyAlignment="1">
      <alignment vertical="top"/>
    </xf>
    <xf numFmtId="0" fontId="0" fillId="0" borderId="0" xfId="0" applyFill="1"/>
    <xf numFmtId="0" fontId="30" fillId="0" borderId="3" xfId="0" applyFont="1" applyFill="1" applyBorder="1" applyAlignment="1">
      <alignment horizontal="centerContinuous"/>
    </xf>
    <xf numFmtId="0" fontId="20" fillId="0" borderId="4" xfId="0" applyFont="1" applyFill="1" applyBorder="1" applyAlignment="1">
      <alignment horizontal="centerContinuous"/>
    </xf>
    <xf numFmtId="0" fontId="20" fillId="0" borderId="5" xfId="0" applyFont="1" applyFill="1" applyBorder="1" applyAlignment="1">
      <alignment horizontal="centerContinuous"/>
    </xf>
    <xf numFmtId="0" fontId="37" fillId="0" borderId="6" xfId="0" applyFont="1" applyFill="1" applyBorder="1" applyAlignment="1">
      <alignment horizontal="center"/>
    </xf>
    <xf numFmtId="0" fontId="37" fillId="0" borderId="0" xfId="0" applyFont="1" applyFill="1" applyBorder="1" applyAlignment="1">
      <alignment horizontal="center"/>
    </xf>
    <xf numFmtId="43" fontId="37" fillId="0" borderId="0" xfId="0" applyNumberFormat="1" applyFont="1" applyFill="1" applyBorder="1" applyAlignment="1">
      <alignment horizontal="center" wrapText="1"/>
    </xf>
    <xf numFmtId="0" fontId="37" fillId="0" borderId="7" xfId="0" applyFont="1" applyFill="1" applyBorder="1" applyAlignment="1">
      <alignment horizontal="center" wrapText="1"/>
    </xf>
    <xf numFmtId="43" fontId="37" fillId="0" borderId="0" xfId="0" applyNumberFormat="1" applyFont="1" applyFill="1" applyBorder="1" applyAlignment="1">
      <alignment horizontal="center"/>
    </xf>
    <xf numFmtId="0" fontId="37" fillId="0" borderId="7" xfId="0" applyFont="1" applyFill="1" applyBorder="1" applyAlignment="1">
      <alignment horizontal="center"/>
    </xf>
    <xf numFmtId="0" fontId="38" fillId="0" borderId="6" xfId="0" applyFont="1" applyFill="1" applyBorder="1"/>
    <xf numFmtId="0" fontId="38" fillId="0" borderId="0" xfId="0" applyFont="1" applyFill="1" applyBorder="1"/>
    <xf numFmtId="0" fontId="38" fillId="0" borderId="7" xfId="0" applyFont="1" applyFill="1" applyBorder="1"/>
    <xf numFmtId="0" fontId="38" fillId="0" borderId="6" xfId="0" applyFont="1" applyFill="1" applyBorder="1" applyAlignment="1">
      <alignment horizontal="left"/>
    </xf>
    <xf numFmtId="10" fontId="38" fillId="0" borderId="0" xfId="0" applyNumberFormat="1" applyFont="1" applyFill="1" applyBorder="1"/>
    <xf numFmtId="10" fontId="38" fillId="0" borderId="7" xfId="0" applyNumberFormat="1" applyFont="1" applyFill="1" applyBorder="1"/>
    <xf numFmtId="0" fontId="38" fillId="0" borderId="11" xfId="0" applyFont="1" applyFill="1" applyBorder="1" applyAlignment="1">
      <alignment horizontal="left"/>
    </xf>
    <xf numFmtId="0" fontId="38" fillId="0" borderId="2" xfId="0" applyFont="1" applyFill="1" applyBorder="1"/>
    <xf numFmtId="10" fontId="38" fillId="0" borderId="2" xfId="0" applyNumberFormat="1" applyFont="1" applyFill="1" applyBorder="1"/>
    <xf numFmtId="10" fontId="38" fillId="0" borderId="12" xfId="0" applyNumberFormat="1" applyFont="1" applyFill="1" applyBorder="1"/>
    <xf numFmtId="0" fontId="26" fillId="0" borderId="13" xfId="0" applyFont="1" applyFill="1" applyBorder="1" applyAlignment="1">
      <alignment horizontal="centerContinuous"/>
    </xf>
    <xf numFmtId="0" fontId="26" fillId="0" borderId="0" xfId="0" applyFont="1" applyFill="1" applyBorder="1" applyAlignment="1">
      <alignment horizontal="center" vertical="center" wrapText="1"/>
    </xf>
    <xf numFmtId="165" fontId="16" fillId="0" borderId="0" xfId="0" applyNumberFormat="1" applyFont="1" applyFill="1" applyBorder="1"/>
    <xf numFmtId="168" fontId="16" fillId="0" borderId="0" xfId="0" applyNumberFormat="1" applyFont="1" applyFill="1" applyBorder="1"/>
    <xf numFmtId="0" fontId="0" fillId="0" borderId="0" xfId="0" applyFont="1" applyFill="1" applyAlignment="1">
      <alignment horizontal="centerContinuous"/>
    </xf>
    <xf numFmtId="0" fontId="10" fillId="0" borderId="0" xfId="0" applyFont="1" applyFill="1" applyAlignment="1"/>
    <xf numFmtId="0" fontId="10" fillId="0" borderId="0" xfId="0" applyFont="1" applyFill="1" applyAlignment="1">
      <alignment horizontal="centerContinuous"/>
    </xf>
    <xf numFmtId="0" fontId="16" fillId="0" borderId="0" xfId="0" applyFont="1" applyFill="1" applyAlignment="1">
      <alignment horizontal="centerContinuous"/>
    </xf>
    <xf numFmtId="0" fontId="12" fillId="0" borderId="0" xfId="0" applyFont="1" applyAlignment="1">
      <alignment horizontal="centerContinuous"/>
    </xf>
    <xf numFmtId="0" fontId="14" fillId="0" borderId="0" xfId="0" applyFont="1" applyAlignment="1">
      <alignment horizontal="centerContinuous"/>
    </xf>
    <xf numFmtId="0" fontId="9" fillId="0" borderId="0" xfId="0" applyFont="1" applyAlignment="1">
      <alignment horizontal="centerContinuous"/>
    </xf>
    <xf numFmtId="0" fontId="9" fillId="0" borderId="0" xfId="0" applyFont="1" applyFill="1" applyAlignment="1">
      <alignment horizontal="centerContinuous"/>
    </xf>
    <xf numFmtId="0" fontId="9" fillId="0" borderId="0" xfId="0" applyFont="1" applyAlignment="1">
      <alignment horizontal="left"/>
    </xf>
    <xf numFmtId="0" fontId="9" fillId="0" borderId="0" xfId="0" applyFont="1"/>
    <xf numFmtId="42" fontId="9" fillId="0" borderId="0" xfId="0" applyNumberFormat="1" applyFont="1"/>
    <xf numFmtId="167" fontId="9" fillId="0" borderId="0" xfId="0" applyNumberFormat="1" applyFont="1"/>
    <xf numFmtId="0" fontId="43" fillId="0" borderId="0" xfId="0" applyFont="1" applyAlignment="1">
      <alignment horizontal="center"/>
    </xf>
    <xf numFmtId="0" fontId="28" fillId="0" borderId="0" xfId="0" applyFont="1" applyFill="1" applyAlignment="1">
      <alignment horizontal="centerContinuous"/>
    </xf>
    <xf numFmtId="43" fontId="13" fillId="0" borderId="0" xfId="0" applyNumberFormat="1" applyFont="1"/>
    <xf numFmtId="0" fontId="26" fillId="0" borderId="0" xfId="0" applyFont="1"/>
    <xf numFmtId="0" fontId="56" fillId="0" borderId="0" xfId="0" applyFont="1" applyFill="1"/>
    <xf numFmtId="42" fontId="25" fillId="0" borderId="22" xfId="0" applyNumberFormat="1" applyFont="1" applyFill="1" applyBorder="1"/>
    <xf numFmtId="0" fontId="28" fillId="0" borderId="24" xfId="0" applyFont="1" applyFill="1" applyBorder="1"/>
    <xf numFmtId="0" fontId="16" fillId="0" borderId="14" xfId="0" applyFont="1" applyFill="1" applyBorder="1"/>
    <xf numFmtId="3" fontId="58" fillId="0" borderId="1" xfId="0" applyNumberFormat="1" applyFont="1" applyFill="1" applyBorder="1" applyAlignment="1">
      <alignment horizontal="center" vertical="top"/>
    </xf>
    <xf numFmtId="0" fontId="21" fillId="0" borderId="0" xfId="0" applyFont="1" applyBorder="1" applyAlignment="1">
      <alignment vertical="top"/>
    </xf>
    <xf numFmtId="3" fontId="21" fillId="0" borderId="0" xfId="0" applyNumberFormat="1" applyFont="1" applyFill="1" applyBorder="1" applyAlignment="1">
      <alignment horizontal="center" vertical="top"/>
    </xf>
    <xf numFmtId="0" fontId="21" fillId="0" borderId="16" xfId="0" applyFont="1" applyFill="1" applyBorder="1" applyAlignment="1">
      <alignment vertical="top"/>
    </xf>
    <xf numFmtId="0" fontId="21" fillId="0" borderId="13" xfId="0" applyFont="1" applyFill="1" applyBorder="1" applyAlignment="1">
      <alignment vertical="top"/>
    </xf>
    <xf numFmtId="44" fontId="16" fillId="0" borderId="0" xfId="0" applyNumberFormat="1" applyFont="1" applyFill="1"/>
    <xf numFmtId="0" fontId="26" fillId="0" borderId="0" xfId="0" applyFont="1" applyFill="1" applyBorder="1"/>
    <xf numFmtId="42" fontId="8" fillId="0" borderId="15" xfId="0" applyNumberFormat="1" applyFont="1" applyFill="1" applyBorder="1"/>
    <xf numFmtId="42" fontId="8" fillId="0" borderId="0" xfId="0" applyNumberFormat="1" applyFont="1" applyFill="1" applyBorder="1"/>
    <xf numFmtId="17" fontId="34" fillId="0" borderId="1" xfId="0" applyNumberFormat="1" applyFont="1" applyFill="1" applyBorder="1" applyAlignment="1">
      <alignment horizontal="center"/>
    </xf>
    <xf numFmtId="17" fontId="8" fillId="0" borderId="1" xfId="0" applyNumberFormat="1" applyFont="1" applyFill="1" applyBorder="1" applyAlignment="1">
      <alignment horizontal="center"/>
    </xf>
    <xf numFmtId="0" fontId="8" fillId="0" borderId="0" xfId="0" applyFont="1" applyAlignment="1">
      <alignment horizontal="centerContinuous"/>
    </xf>
    <xf numFmtId="0" fontId="8" fillId="0" borderId="0" xfId="0" applyFont="1"/>
    <xf numFmtId="42" fontId="59" fillId="2" borderId="49" xfId="0" applyNumberFormat="1" applyFont="1" applyFill="1" applyBorder="1" applyAlignment="1">
      <alignment vertical="top"/>
    </xf>
    <xf numFmtId="10" fontId="45" fillId="0" borderId="14" xfId="4" applyNumberFormat="1" applyFont="1" applyFill="1" applyBorder="1"/>
    <xf numFmtId="0" fontId="45" fillId="0" borderId="14" xfId="4" applyFont="1" applyFill="1" applyBorder="1"/>
    <xf numFmtId="0" fontId="65" fillId="0" borderId="43" xfId="0" applyNumberFormat="1" applyFont="1" applyFill="1" applyBorder="1" applyAlignment="1"/>
    <xf numFmtId="0" fontId="65" fillId="0" borderId="0" xfId="0" applyNumberFormat="1" applyFont="1" applyFill="1" applyBorder="1" applyAlignment="1"/>
    <xf numFmtId="0" fontId="67" fillId="4" borderId="0" xfId="0" applyFont="1" applyFill="1" applyAlignment="1">
      <alignment horizontal="centerContinuous"/>
    </xf>
    <xf numFmtId="10" fontId="63" fillId="0" borderId="14" xfId="0" applyNumberFormat="1" applyFont="1" applyFill="1" applyBorder="1"/>
    <xf numFmtId="0" fontId="66" fillId="0" borderId="14" xfId="0" applyFont="1" applyFill="1" applyBorder="1"/>
    <xf numFmtId="165" fontId="46" fillId="0" borderId="53" xfId="2" applyNumberFormat="1" applyFont="1" applyFill="1" applyBorder="1"/>
    <xf numFmtId="0" fontId="63" fillId="0" borderId="0" xfId="0" applyFont="1"/>
    <xf numFmtId="0" fontId="60" fillId="4" borderId="0" xfId="0" applyFont="1" applyFill="1" applyAlignment="1">
      <alignment horizontal="centerContinuous"/>
    </xf>
    <xf numFmtId="0" fontId="66" fillId="0" borderId="3" xfId="0" applyFont="1" applyFill="1" applyBorder="1" applyAlignment="1">
      <alignment horizontal="centerContinuous"/>
    </xf>
    <xf numFmtId="0" fontId="65" fillId="0" borderId="4" xfId="0" applyFont="1" applyFill="1" applyBorder="1" applyAlignment="1">
      <alignment horizontal="centerContinuous"/>
    </xf>
    <xf numFmtId="0" fontId="65" fillId="0" borderId="5" xfId="0" applyFont="1" applyFill="1" applyBorder="1" applyAlignment="1">
      <alignment horizontal="centerContinuous"/>
    </xf>
    <xf numFmtId="0" fontId="65" fillId="0" borderId="44" xfId="0" applyFont="1" applyFill="1" applyBorder="1" applyAlignment="1">
      <alignment horizontal="center"/>
    </xf>
    <xf numFmtId="0" fontId="65" fillId="0" borderId="15" xfId="0" applyFont="1" applyFill="1" applyBorder="1" applyAlignment="1">
      <alignment horizontal="center"/>
    </xf>
    <xf numFmtId="43" fontId="65" fillId="0" borderId="15" xfId="0" applyNumberFormat="1" applyFont="1" applyFill="1" applyBorder="1" applyAlignment="1">
      <alignment horizontal="center" wrapText="1"/>
    </xf>
    <xf numFmtId="0" fontId="65" fillId="0" borderId="45" xfId="0" applyFont="1" applyFill="1" applyBorder="1" applyAlignment="1">
      <alignment horizontal="center" wrapText="1"/>
    </xf>
    <xf numFmtId="0" fontId="65" fillId="0" borderId="46" xfId="0" applyFont="1" applyFill="1" applyBorder="1" applyAlignment="1">
      <alignment horizontal="center"/>
    </xf>
    <xf numFmtId="0" fontId="65" fillId="0" borderId="1" xfId="0" applyFont="1" applyFill="1" applyBorder="1" applyAlignment="1">
      <alignment horizontal="center"/>
    </xf>
    <xf numFmtId="43" fontId="65" fillId="0" borderId="1" xfId="0" applyNumberFormat="1" applyFont="1" applyFill="1" applyBorder="1" applyAlignment="1">
      <alignment horizontal="center"/>
    </xf>
    <xf numFmtId="0" fontId="65" fillId="0" borderId="8" xfId="0" applyFont="1" applyFill="1" applyBorder="1" applyAlignment="1">
      <alignment horizontal="center"/>
    </xf>
    <xf numFmtId="0" fontId="63" fillId="0" borderId="6" xfId="0" applyFont="1" applyFill="1" applyBorder="1"/>
    <xf numFmtId="0" fontId="63" fillId="0" borderId="0" xfId="0" applyFont="1" applyFill="1" applyBorder="1"/>
    <xf numFmtId="43" fontId="65" fillId="0" borderId="0" xfId="0" applyNumberFormat="1" applyFont="1" applyFill="1" applyBorder="1" applyAlignment="1">
      <alignment horizontal="center"/>
    </xf>
    <xf numFmtId="0" fontId="63" fillId="0" borderId="7" xfId="0" applyFont="1" applyFill="1" applyBorder="1"/>
    <xf numFmtId="0" fontId="63" fillId="0" borderId="6" xfId="0" applyFont="1" applyFill="1" applyBorder="1" applyAlignment="1">
      <alignment horizontal="left"/>
    </xf>
    <xf numFmtId="10" fontId="63" fillId="0" borderId="0" xfId="0" applyNumberFormat="1" applyFont="1" applyFill="1" applyBorder="1"/>
    <xf numFmtId="10" fontId="63" fillId="0" borderId="7" xfId="0" applyNumberFormat="1" applyFont="1" applyFill="1" applyBorder="1"/>
    <xf numFmtId="0" fontId="63" fillId="0" borderId="11" xfId="0" applyFont="1" applyFill="1" applyBorder="1" applyAlignment="1">
      <alignment horizontal="left"/>
    </xf>
    <xf numFmtId="0" fontId="63" fillId="0" borderId="2" xfId="0" applyFont="1" applyFill="1" applyBorder="1"/>
    <xf numFmtId="10" fontId="63" fillId="0" borderId="2" xfId="0" applyNumberFormat="1" applyFont="1" applyFill="1" applyBorder="1"/>
    <xf numFmtId="10" fontId="63" fillId="0" borderId="12" xfId="0" applyNumberFormat="1" applyFont="1" applyFill="1" applyBorder="1"/>
    <xf numFmtId="0" fontId="31" fillId="0" borderId="0" xfId="7" applyFont="1"/>
    <xf numFmtId="0" fontId="7" fillId="0" borderId="0" xfId="7"/>
    <xf numFmtId="0" fontId="7" fillId="0" borderId="0" xfId="7" applyFill="1"/>
    <xf numFmtId="0" fontId="54" fillId="0" borderId="16" xfId="7" applyFont="1" applyBorder="1"/>
    <xf numFmtId="0" fontId="7" fillId="0" borderId="13" xfId="7" applyBorder="1"/>
    <xf numFmtId="0" fontId="55" fillId="0" borderId="13" xfId="7" applyFont="1" applyFill="1" applyBorder="1" applyAlignment="1">
      <alignment horizontal="centerContinuous"/>
    </xf>
    <xf numFmtId="0" fontId="34" fillId="0" borderId="17" xfId="7" applyFont="1" applyFill="1" applyBorder="1" applyAlignment="1">
      <alignment horizontal="centerContinuous"/>
    </xf>
    <xf numFmtId="0" fontId="7" fillId="0" borderId="0" xfId="7" applyFill="1" applyAlignment="1">
      <alignment horizontal="centerContinuous"/>
    </xf>
    <xf numFmtId="0" fontId="40" fillId="4" borderId="16" xfId="7" applyFont="1" applyFill="1" applyBorder="1" applyAlignment="1">
      <alignment horizontal="centerContinuous" vertical="center"/>
    </xf>
    <xf numFmtId="0" fontId="57" fillId="4" borderId="13" xfId="7" applyFont="1" applyFill="1" applyBorder="1" applyAlignment="1">
      <alignment horizontal="centerContinuous"/>
    </xf>
    <xf numFmtId="0" fontId="57" fillId="4" borderId="17" xfId="7" applyFont="1" applyFill="1" applyBorder="1" applyAlignment="1">
      <alignment horizontal="centerContinuous"/>
    </xf>
    <xf numFmtId="0" fontId="57" fillId="0" borderId="0" xfId="7" applyFont="1" applyFill="1" applyBorder="1" applyAlignment="1">
      <alignment horizontal="centerContinuous"/>
    </xf>
    <xf numFmtId="0" fontId="57" fillId="4" borderId="6" xfId="7" applyFont="1" applyFill="1" applyBorder="1" applyAlignment="1">
      <alignment horizontal="centerContinuous"/>
    </xf>
    <xf numFmtId="0" fontId="57" fillId="4" borderId="0" xfId="7" applyFont="1" applyFill="1" applyBorder="1" applyAlignment="1">
      <alignment horizontal="centerContinuous"/>
    </xf>
    <xf numFmtId="0" fontId="57" fillId="4" borderId="7" xfId="7" applyFont="1" applyFill="1" applyBorder="1" applyAlignment="1">
      <alignment horizontal="centerContinuous"/>
    </xf>
    <xf numFmtId="0" fontId="42" fillId="0" borderId="34" xfId="7" applyFont="1" applyFill="1" applyBorder="1" applyAlignment="1">
      <alignment horizontal="center" vertical="center"/>
    </xf>
    <xf numFmtId="0" fontId="42" fillId="0" borderId="14" xfId="7" applyFont="1" applyFill="1" applyBorder="1" applyAlignment="1">
      <alignment horizontal="center" vertical="center"/>
    </xf>
    <xf numFmtId="0" fontId="26" fillId="0" borderId="14" xfId="7" applyFont="1" applyFill="1" applyBorder="1" applyAlignment="1">
      <alignment horizontal="center" wrapText="1"/>
    </xf>
    <xf numFmtId="0" fontId="26" fillId="0" borderId="35" xfId="7" applyFont="1" applyFill="1" applyBorder="1" applyAlignment="1">
      <alignment wrapText="1"/>
    </xf>
    <xf numFmtId="0" fontId="26" fillId="0" borderId="47" xfId="7" applyFont="1" applyFill="1" applyBorder="1" applyAlignment="1">
      <alignment wrapText="1"/>
    </xf>
    <xf numFmtId="0" fontId="26" fillId="6" borderId="34" xfId="7" applyFont="1" applyFill="1" applyBorder="1" applyAlignment="1">
      <alignment horizontal="center" wrapText="1"/>
    </xf>
    <xf numFmtId="0" fontId="26" fillId="0" borderId="19" xfId="7" applyFont="1" applyFill="1" applyBorder="1" applyAlignment="1">
      <alignment horizontal="center" wrapText="1"/>
    </xf>
    <xf numFmtId="0" fontId="7" fillId="0" borderId="54" xfId="8" applyFill="1" applyBorder="1" applyAlignment="1">
      <alignment wrapText="1"/>
    </xf>
    <xf numFmtId="0" fontId="41" fillId="0" borderId="34" xfId="7" applyFont="1" applyFill="1" applyBorder="1" applyAlignment="1">
      <alignment vertical="center"/>
    </xf>
    <xf numFmtId="0" fontId="41" fillId="0" borderId="14" xfId="7" applyFont="1" applyFill="1" applyBorder="1" applyAlignment="1">
      <alignment vertical="center"/>
    </xf>
    <xf numFmtId="173" fontId="0" fillId="0" borderId="14" xfId="9" applyNumberFormat="1" applyFont="1" applyFill="1" applyBorder="1"/>
    <xf numFmtId="173" fontId="7" fillId="0" borderId="14" xfId="7" applyNumberFormat="1" applyFill="1" applyBorder="1"/>
    <xf numFmtId="173" fontId="0" fillId="0" borderId="36" xfId="9" applyNumberFormat="1" applyFont="1" applyFill="1" applyBorder="1"/>
    <xf numFmtId="173" fontId="0" fillId="0" borderId="1" xfId="9" applyNumberFormat="1" applyFont="1" applyFill="1" applyBorder="1"/>
    <xf numFmtId="173" fontId="7" fillId="0" borderId="34" xfId="7" applyNumberFormat="1" applyFill="1" applyBorder="1"/>
    <xf numFmtId="173" fontId="0" fillId="0" borderId="42" xfId="9" applyNumberFormat="1" applyFont="1" applyFill="1" applyBorder="1"/>
    <xf numFmtId="0" fontId="16" fillId="0" borderId="0" xfId="7" applyFont="1" applyFill="1"/>
    <xf numFmtId="0" fontId="7" fillId="0" borderId="14" xfId="0" applyFont="1" applyFill="1" applyBorder="1"/>
    <xf numFmtId="9" fontId="7" fillId="0" borderId="18" xfId="3" applyFont="1" applyFill="1" applyBorder="1"/>
    <xf numFmtId="0" fontId="41" fillId="0" borderId="34" xfId="4" applyFont="1" applyBorder="1" applyAlignment="1">
      <alignment vertical="center"/>
    </xf>
    <xf numFmtId="0" fontId="41" fillId="0" borderId="19" xfId="4" applyFont="1" applyFill="1" applyBorder="1" applyAlignment="1">
      <alignment vertical="center"/>
    </xf>
    <xf numFmtId="173" fontId="0" fillId="0" borderId="26" xfId="9" applyNumberFormat="1" applyFont="1" applyFill="1" applyBorder="1"/>
    <xf numFmtId="173" fontId="0" fillId="0" borderId="37" xfId="9" applyNumberFormat="1" applyFont="1" applyFill="1" applyBorder="1"/>
    <xf numFmtId="173" fontId="0" fillId="0" borderId="15" xfId="9" applyNumberFormat="1" applyFont="1" applyFill="1" applyBorder="1"/>
    <xf numFmtId="173" fontId="0" fillId="0" borderId="41" xfId="9" applyNumberFormat="1" applyFont="1" applyFill="1" applyBorder="1"/>
    <xf numFmtId="173" fontId="0" fillId="0" borderId="48" xfId="9" applyNumberFormat="1" applyFont="1" applyFill="1" applyBorder="1"/>
    <xf numFmtId="0" fontId="7" fillId="0" borderId="42" xfId="7" applyFill="1" applyBorder="1"/>
    <xf numFmtId="9" fontId="7" fillId="0" borderId="55" xfId="8" applyNumberFormat="1" applyFill="1" applyBorder="1"/>
    <xf numFmtId="0" fontId="42" fillId="0" borderId="38" xfId="7" applyFont="1" applyFill="1" applyBorder="1" applyAlignment="1">
      <alignment vertical="center"/>
    </xf>
    <xf numFmtId="0" fontId="42" fillId="0" borderId="18" xfId="7" applyFont="1" applyFill="1" applyBorder="1" applyAlignment="1">
      <alignment vertical="center"/>
    </xf>
    <xf numFmtId="173" fontId="26" fillId="0" borderId="18" xfId="9" applyNumberFormat="1" applyFont="1" applyFill="1" applyBorder="1"/>
    <xf numFmtId="43" fontId="26" fillId="0" borderId="18" xfId="7" applyNumberFormat="1" applyFont="1" applyFill="1" applyBorder="1"/>
    <xf numFmtId="173" fontId="26" fillId="0" borderId="36" xfId="9" applyNumberFormat="1" applyFont="1" applyFill="1" applyBorder="1"/>
    <xf numFmtId="173" fontId="26" fillId="0" borderId="1" xfId="9" applyNumberFormat="1" applyFont="1" applyFill="1" applyBorder="1"/>
    <xf numFmtId="43" fontId="26" fillId="0" borderId="38" xfId="7" applyNumberFormat="1" applyFont="1" applyFill="1" applyBorder="1"/>
    <xf numFmtId="173" fontId="26" fillId="0" borderId="42" xfId="9" applyNumberFormat="1" applyFont="1" applyFill="1" applyBorder="1"/>
    <xf numFmtId="0" fontId="42" fillId="0" borderId="34" xfId="7" applyFont="1" applyFill="1" applyBorder="1" applyAlignment="1">
      <alignment vertical="center"/>
    </xf>
    <xf numFmtId="10" fontId="42" fillId="0" borderId="14" xfId="7" applyNumberFormat="1" applyFont="1" applyFill="1" applyBorder="1" applyAlignment="1">
      <alignment vertical="center"/>
    </xf>
    <xf numFmtId="173" fontId="28" fillId="0" borderId="14" xfId="9" applyNumberFormat="1" applyFont="1" applyFill="1" applyBorder="1"/>
    <xf numFmtId="173" fontId="26" fillId="0" borderId="14" xfId="7" applyNumberFormat="1" applyFont="1" applyFill="1" applyBorder="1"/>
    <xf numFmtId="173" fontId="28" fillId="0" borderId="36" xfId="9" applyNumberFormat="1" applyFont="1" applyFill="1" applyBorder="1"/>
    <xf numFmtId="173" fontId="28" fillId="0" borderId="1" xfId="9" applyNumberFormat="1" applyFont="1" applyFill="1" applyBorder="1"/>
    <xf numFmtId="173" fontId="26" fillId="0" borderId="34" xfId="7" applyNumberFormat="1" applyFont="1" applyFill="1" applyBorder="1"/>
    <xf numFmtId="173" fontId="28" fillId="0" borderId="42" xfId="9" applyNumberFormat="1" applyFont="1" applyFill="1" applyBorder="1"/>
    <xf numFmtId="0" fontId="42" fillId="0" borderId="6" xfId="7" applyFont="1" applyFill="1" applyBorder="1" applyAlignment="1">
      <alignment vertical="center"/>
    </xf>
    <xf numFmtId="0" fontId="42" fillId="0" borderId="0" xfId="7" applyFont="1" applyFill="1" applyBorder="1" applyAlignment="1">
      <alignment vertical="center"/>
    </xf>
    <xf numFmtId="173" fontId="26" fillId="0" borderId="0" xfId="9" applyNumberFormat="1" applyFont="1" applyFill="1" applyBorder="1"/>
    <xf numFmtId="43" fontId="26" fillId="0" borderId="0" xfId="7" applyNumberFormat="1" applyFont="1" applyFill="1" applyBorder="1"/>
    <xf numFmtId="173" fontId="26" fillId="0" borderId="7" xfId="9" applyNumberFormat="1" applyFont="1" applyFill="1" applyBorder="1"/>
    <xf numFmtId="43" fontId="26" fillId="0" borderId="6" xfId="7" applyNumberFormat="1" applyFont="1" applyFill="1" applyBorder="1"/>
    <xf numFmtId="0" fontId="7" fillId="0" borderId="6" xfId="7" applyFill="1" applyBorder="1"/>
    <xf numFmtId="0" fontId="7" fillId="0" borderId="0" xfId="7" applyFill="1" applyBorder="1"/>
    <xf numFmtId="0" fontId="7" fillId="0" borderId="7" xfId="7" applyFill="1" applyBorder="1"/>
    <xf numFmtId="0" fontId="7" fillId="4" borderId="17" xfId="7" applyFill="1" applyBorder="1" applyAlignment="1">
      <alignment horizontal="centerContinuous"/>
    </xf>
    <xf numFmtId="0" fontId="42" fillId="0" borderId="39" xfId="7" applyFont="1" applyFill="1" applyBorder="1" applyAlignment="1">
      <alignment horizontal="center" vertical="center"/>
    </xf>
    <xf numFmtId="0" fontId="42" fillId="0" borderId="40" xfId="7" applyFont="1" applyFill="1" applyBorder="1" applyAlignment="1">
      <alignment horizontal="center" vertical="center"/>
    </xf>
    <xf numFmtId="0" fontId="26" fillId="0" borderId="14" xfId="7" applyFont="1" applyFill="1" applyBorder="1" applyAlignment="1">
      <alignment wrapText="1"/>
    </xf>
    <xf numFmtId="0" fontId="7" fillId="0" borderId="38" xfId="7" applyFill="1" applyBorder="1"/>
    <xf numFmtId="0" fontId="41" fillId="0" borderId="19" xfId="10" applyFont="1" applyBorder="1" applyAlignment="1">
      <alignment vertical="center"/>
    </xf>
    <xf numFmtId="173" fontId="0" fillId="0" borderId="18" xfId="9" applyNumberFormat="1" applyFont="1" applyFill="1" applyBorder="1"/>
    <xf numFmtId="173" fontId="0" fillId="0" borderId="38" xfId="9" applyNumberFormat="1" applyFont="1" applyFill="1" applyBorder="1"/>
    <xf numFmtId="0" fontId="41" fillId="0" borderId="41" xfId="7" applyFont="1" applyFill="1" applyBorder="1" applyAlignment="1">
      <alignment vertical="center"/>
    </xf>
    <xf numFmtId="0" fontId="41" fillId="0" borderId="26" xfId="7" applyFont="1" applyBorder="1" applyAlignment="1">
      <alignment vertical="center"/>
    </xf>
    <xf numFmtId="173" fontId="7" fillId="0" borderId="26" xfId="7" applyNumberFormat="1" applyFill="1" applyBorder="1"/>
    <xf numFmtId="173" fontId="7" fillId="0" borderId="37" xfId="7" applyNumberFormat="1" applyFill="1" applyBorder="1"/>
    <xf numFmtId="173" fontId="0" fillId="0" borderId="0" xfId="9" applyNumberFormat="1" applyFont="1" applyFill="1" applyBorder="1"/>
    <xf numFmtId="0" fontId="42" fillId="0" borderId="42" xfId="7" applyFont="1" applyBorder="1" applyAlignment="1">
      <alignment vertical="center"/>
    </xf>
    <xf numFmtId="173" fontId="26" fillId="0" borderId="36" xfId="9" applyNumberFormat="1" applyFont="1" applyBorder="1"/>
    <xf numFmtId="173" fontId="26" fillId="0" borderId="38" xfId="9" applyNumberFormat="1" applyFont="1" applyFill="1" applyBorder="1"/>
    <xf numFmtId="0" fontId="7" fillId="0" borderId="0" xfId="7" applyBorder="1"/>
    <xf numFmtId="0" fontId="42" fillId="0" borderId="41" xfId="7" applyFont="1" applyFill="1" applyBorder="1" applyAlignment="1">
      <alignment vertical="center"/>
    </xf>
    <xf numFmtId="0" fontId="42" fillId="0" borderId="26" xfId="7" applyFont="1" applyFill="1" applyBorder="1" applyAlignment="1">
      <alignment vertical="center"/>
    </xf>
    <xf numFmtId="173" fontId="26" fillId="0" borderId="26" xfId="9" applyNumberFormat="1" applyFont="1" applyFill="1" applyBorder="1"/>
    <xf numFmtId="173" fontId="26" fillId="0" borderId="37" xfId="9" applyNumberFormat="1" applyFont="1" applyFill="1" applyBorder="1"/>
    <xf numFmtId="173" fontId="26" fillId="0" borderId="27" xfId="9" applyNumberFormat="1" applyFont="1" applyFill="1" applyBorder="1"/>
    <xf numFmtId="173" fontId="26" fillId="0" borderId="41" xfId="9" applyNumberFormat="1" applyFont="1" applyFill="1" applyBorder="1"/>
    <xf numFmtId="173" fontId="26" fillId="0" borderId="48" xfId="9" applyNumberFormat="1" applyFont="1" applyFill="1" applyBorder="1"/>
    <xf numFmtId="0" fontId="26" fillId="0" borderId="14" xfId="4" applyFont="1" applyFill="1" applyBorder="1" applyAlignment="1">
      <alignment wrapText="1"/>
    </xf>
    <xf numFmtId="0" fontId="26" fillId="0" borderId="14" xfId="4" applyFont="1" applyFill="1" applyBorder="1"/>
    <xf numFmtId="44" fontId="45" fillId="0" borderId="14" xfId="4" applyNumberFormat="1" applyFont="1" applyFill="1" applyBorder="1"/>
    <xf numFmtId="43" fontId="45" fillId="0" borderId="14" xfId="4" applyNumberFormat="1" applyFont="1" applyFill="1" applyBorder="1"/>
    <xf numFmtId="165" fontId="46" fillId="0" borderId="43" xfId="5" applyNumberFormat="1" applyFont="1" applyFill="1" applyBorder="1"/>
    <xf numFmtId="0" fontId="45" fillId="0" borderId="43" xfId="4" applyFont="1" applyFill="1" applyBorder="1"/>
    <xf numFmtId="10" fontId="45" fillId="0" borderId="19" xfId="4" applyNumberFormat="1" applyFont="1" applyFill="1" applyBorder="1"/>
    <xf numFmtId="10" fontId="45" fillId="0" borderId="14" xfId="3" applyNumberFormat="1" applyFont="1" applyFill="1" applyBorder="1"/>
    <xf numFmtId="0" fontId="7" fillId="0" borderId="14" xfId="7" applyFill="1" applyBorder="1"/>
    <xf numFmtId="0" fontId="34" fillId="0" borderId="0" xfId="7" applyFont="1"/>
    <xf numFmtId="44" fontId="21" fillId="0" borderId="13" xfId="2" applyFont="1" applyFill="1" applyBorder="1" applyAlignment="1">
      <alignment horizontal="center" vertical="top"/>
    </xf>
    <xf numFmtId="0" fontId="25" fillId="0" borderId="0" xfId="0" applyNumberFormat="1" applyFont="1" applyAlignment="1"/>
    <xf numFmtId="0" fontId="70" fillId="0" borderId="0" xfId="0" applyNumberFormat="1" applyFont="1" applyFill="1" applyAlignment="1"/>
    <xf numFmtId="0" fontId="70" fillId="0" borderId="49" xfId="0" applyNumberFormat="1" applyFont="1" applyFill="1" applyBorder="1" applyAlignment="1">
      <alignment horizontal="right"/>
    </xf>
    <xf numFmtId="0" fontId="70" fillId="0" borderId="0" xfId="0" applyNumberFormat="1" applyFont="1" applyFill="1" applyAlignment="1">
      <alignment horizontal="centerContinuous"/>
    </xf>
    <xf numFmtId="0" fontId="70" fillId="0" borderId="0" xfId="0" applyNumberFormat="1" applyFont="1" applyFill="1" applyAlignment="1" applyProtection="1">
      <alignment horizontal="centerContinuous"/>
      <protection locked="0"/>
    </xf>
    <xf numFmtId="0" fontId="70" fillId="0" borderId="1" xfId="0" applyNumberFormat="1" applyFont="1" applyFill="1" applyBorder="1" applyAlignment="1">
      <alignment horizontal="center"/>
    </xf>
    <xf numFmtId="0" fontId="70" fillId="0" borderId="1" xfId="0" applyNumberFormat="1" applyFont="1" applyFill="1" applyBorder="1" applyAlignment="1" applyProtection="1">
      <protection locked="0"/>
    </xf>
    <xf numFmtId="0" fontId="70" fillId="0" borderId="1" xfId="0" applyNumberFormat="1" applyFont="1" applyFill="1" applyBorder="1" applyAlignment="1"/>
    <xf numFmtId="0" fontId="70" fillId="0" borderId="1" xfId="0" applyNumberFormat="1" applyFont="1" applyFill="1" applyBorder="1" applyAlignment="1">
      <alignment horizontal="right"/>
    </xf>
    <xf numFmtId="0" fontId="71" fillId="0" borderId="0" xfId="0" applyNumberFormat="1" applyFont="1" applyFill="1" applyAlignment="1"/>
    <xf numFmtId="0" fontId="71" fillId="0" borderId="0" xfId="0" applyNumberFormat="1" applyFont="1" applyFill="1" applyAlignment="1">
      <alignment horizontal="center"/>
    </xf>
    <xf numFmtId="0" fontId="71" fillId="0" borderId="0" xfId="0" applyNumberFormat="1" applyFont="1" applyFill="1" applyAlignment="1">
      <alignment horizontal="left"/>
    </xf>
    <xf numFmtId="166" fontId="71" fillId="0" borderId="0" xfId="0" applyNumberFormat="1" applyFont="1" applyFill="1" applyAlignment="1"/>
    <xf numFmtId="169" fontId="71" fillId="0" borderId="0" xfId="0" applyNumberFormat="1" applyFont="1" applyFill="1" applyAlignment="1"/>
    <xf numFmtId="166" fontId="71" fillId="0" borderId="1" xfId="0" applyNumberFormat="1" applyFont="1" applyFill="1" applyBorder="1" applyAlignment="1"/>
    <xf numFmtId="166" fontId="71" fillId="0" borderId="0" xfId="0" applyNumberFormat="1" applyFont="1" applyFill="1" applyBorder="1" applyAlignment="1"/>
    <xf numFmtId="166" fontId="25" fillId="0" borderId="0" xfId="0" applyNumberFormat="1" applyFont="1" applyAlignment="1"/>
    <xf numFmtId="9" fontId="71" fillId="0" borderId="0" xfId="0" applyNumberFormat="1" applyFont="1" applyFill="1" applyAlignment="1"/>
    <xf numFmtId="166" fontId="71" fillId="0" borderId="14" xfId="0" applyNumberFormat="1" applyFont="1" applyFill="1" applyBorder="1" applyAlignment="1" applyProtection="1">
      <protection locked="0"/>
    </xf>
    <xf numFmtId="42" fontId="6" fillId="0" borderId="15" xfId="0" applyNumberFormat="1" applyFont="1" applyBorder="1"/>
    <xf numFmtId="167" fontId="6" fillId="0" borderId="0" xfId="0" applyNumberFormat="1" applyFont="1"/>
    <xf numFmtId="0" fontId="6" fillId="0" borderId="0" xfId="0" applyFont="1"/>
    <xf numFmtId="43" fontId="6" fillId="0" borderId="0" xfId="0" applyNumberFormat="1" applyFont="1"/>
    <xf numFmtId="0" fontId="6" fillId="0" borderId="0" xfId="0" applyFont="1" applyFill="1" applyAlignment="1">
      <alignment horizontal="centerContinuous"/>
    </xf>
    <xf numFmtId="0" fontId="6" fillId="0" borderId="0" xfId="0" applyFont="1" applyAlignment="1">
      <alignment horizontal="centerContinuous"/>
    </xf>
    <xf numFmtId="0" fontId="25" fillId="0" borderId="14" xfId="0" applyFont="1" applyFill="1" applyBorder="1" applyAlignment="1">
      <alignment horizontal="center"/>
    </xf>
    <xf numFmtId="0" fontId="25" fillId="0" borderId="14" xfId="0" applyFont="1" applyFill="1" applyBorder="1" applyAlignment="1">
      <alignment horizontal="center" wrapText="1"/>
    </xf>
    <xf numFmtId="0" fontId="25" fillId="0" borderId="0" xfId="0" applyFont="1" applyAlignment="1">
      <alignment horizontal="center"/>
    </xf>
    <xf numFmtId="43" fontId="43" fillId="0" borderId="0" xfId="1" applyFont="1" applyFill="1"/>
    <xf numFmtId="0" fontId="5" fillId="0" borderId="0" xfId="0" applyFont="1" applyFill="1"/>
    <xf numFmtId="10" fontId="45" fillId="0" borderId="0" xfId="3" applyNumberFormat="1" applyFont="1" applyFill="1" applyBorder="1"/>
    <xf numFmtId="10" fontId="45" fillId="0" borderId="7" xfId="3" applyNumberFormat="1" applyFont="1" applyFill="1" applyBorder="1"/>
    <xf numFmtId="10" fontId="45" fillId="0" borderId="1" xfId="3" applyNumberFormat="1" applyFont="1" applyFill="1" applyBorder="1"/>
    <xf numFmtId="10" fontId="45" fillId="0" borderId="8" xfId="3" applyNumberFormat="1" applyFont="1" applyFill="1" applyBorder="1"/>
    <xf numFmtId="0" fontId="0" fillId="0" borderId="43" xfId="0" applyBorder="1"/>
    <xf numFmtId="0" fontId="0" fillId="0" borderId="15" xfId="0" applyBorder="1"/>
    <xf numFmtId="10" fontId="0" fillId="0" borderId="14" xfId="0" applyNumberFormat="1" applyBorder="1"/>
    <xf numFmtId="0" fontId="0" fillId="0" borderId="47" xfId="0" applyBorder="1"/>
    <xf numFmtId="0" fontId="0" fillId="0" borderId="14" xfId="0" applyBorder="1"/>
    <xf numFmtId="10" fontId="0" fillId="0" borderId="47" xfId="0" applyNumberFormat="1" applyBorder="1"/>
    <xf numFmtId="0" fontId="0" fillId="0" borderId="19" xfId="0" applyBorder="1"/>
    <xf numFmtId="42" fontId="16" fillId="7" borderId="1" xfId="0" applyNumberFormat="1" applyFont="1" applyFill="1" applyBorder="1" applyAlignment="1">
      <alignment vertical="top"/>
    </xf>
    <xf numFmtId="0" fontId="5" fillId="0" borderId="0" xfId="0" applyFont="1"/>
    <xf numFmtId="3" fontId="44" fillId="0" borderId="1" xfId="0" applyNumberFormat="1" applyFont="1" applyFill="1" applyBorder="1" applyAlignment="1">
      <alignment horizontal="center" vertical="top"/>
    </xf>
    <xf numFmtId="42" fontId="5" fillId="0" borderId="0" xfId="0" applyNumberFormat="1" applyFont="1" applyFill="1"/>
    <xf numFmtId="0" fontId="31" fillId="0" borderId="27" xfId="0" applyFont="1" applyFill="1" applyBorder="1" applyAlignment="1">
      <alignment horizontal="left"/>
    </xf>
    <xf numFmtId="0" fontId="31" fillId="0" borderId="27" xfId="0" applyFont="1" applyFill="1" applyBorder="1" applyAlignment="1">
      <alignment horizontal="centerContinuous"/>
    </xf>
    <xf numFmtId="42" fontId="5" fillId="0" borderId="0" xfId="0" applyNumberFormat="1" applyFont="1" applyFill="1" applyBorder="1"/>
    <xf numFmtId="0" fontId="49" fillId="0" borderId="0" xfId="0" applyFont="1"/>
    <xf numFmtId="0" fontId="50" fillId="0" borderId="19" xfId="0" applyFont="1" applyBorder="1" applyAlignment="1">
      <alignment horizontal="centerContinuous"/>
    </xf>
    <xf numFmtId="0" fontId="50" fillId="0" borderId="29" xfId="0" applyFont="1" applyBorder="1" applyAlignment="1">
      <alignment horizontal="centerContinuous"/>
    </xf>
    <xf numFmtId="0" fontId="50" fillId="0" borderId="0" xfId="0" applyFont="1" applyAlignment="1">
      <alignment horizontal="centerContinuous"/>
    </xf>
    <xf numFmtId="0" fontId="49" fillId="0" borderId="0" xfId="0" applyFont="1" applyAlignment="1">
      <alignment horizontal="centerContinuous"/>
    </xf>
    <xf numFmtId="0" fontId="72" fillId="0" borderId="0" xfId="0" applyFont="1" applyAlignment="1">
      <alignment horizontal="centerContinuous"/>
    </xf>
    <xf numFmtId="0" fontId="52" fillId="0" borderId="0" xfId="0" applyFont="1"/>
    <xf numFmtId="0" fontId="52" fillId="0" borderId="1" xfId="0" applyFont="1" applyBorder="1"/>
    <xf numFmtId="0" fontId="73" fillId="0" borderId="0" xfId="0" applyNumberFormat="1" applyFont="1" applyFill="1" applyAlignment="1">
      <alignment horizontal="center"/>
    </xf>
    <xf numFmtId="0" fontId="73" fillId="0" borderId="0" xfId="0" applyNumberFormat="1" applyFont="1" applyFill="1" applyAlignment="1">
      <alignment horizontal="left"/>
    </xf>
    <xf numFmtId="0" fontId="73" fillId="0" borderId="0" xfId="0" applyNumberFormat="1" applyFont="1" applyFill="1" applyAlignment="1"/>
    <xf numFmtId="166" fontId="73" fillId="0" borderId="0" xfId="0" applyNumberFormat="1" applyFont="1" applyFill="1" applyAlignment="1"/>
    <xf numFmtId="0" fontId="74" fillId="0" borderId="0" xfId="0" applyNumberFormat="1" applyFont="1" applyFill="1" applyAlignment="1">
      <alignment horizontal="left"/>
    </xf>
    <xf numFmtId="0" fontId="74" fillId="0" borderId="0" xfId="0" applyNumberFormat="1" applyFont="1" applyFill="1" applyAlignment="1"/>
    <xf numFmtId="166" fontId="74" fillId="0" borderId="0" xfId="0" applyNumberFormat="1" applyFont="1" applyFill="1" applyAlignment="1"/>
    <xf numFmtId="164" fontId="73" fillId="0" borderId="0" xfId="0" applyNumberFormat="1" applyFont="1" applyFill="1" applyAlignment="1"/>
    <xf numFmtId="166" fontId="73" fillId="0" borderId="1" xfId="0" applyNumberFormat="1" applyFont="1" applyFill="1" applyBorder="1" applyAlignment="1"/>
    <xf numFmtId="166" fontId="73" fillId="0" borderId="0" xfId="0" applyNumberFormat="1" applyFont="1" applyFill="1" applyBorder="1" applyAlignment="1"/>
    <xf numFmtId="9" fontId="73" fillId="0" borderId="0" xfId="0" applyNumberFormat="1" applyFont="1" applyFill="1" applyAlignment="1"/>
    <xf numFmtId="166" fontId="74" fillId="0" borderId="28" xfId="0" applyNumberFormat="1" applyFont="1" applyFill="1" applyBorder="1" applyAlignment="1" applyProtection="1">
      <protection locked="0"/>
    </xf>
    <xf numFmtId="0" fontId="50" fillId="0" borderId="0" xfId="0" applyNumberFormat="1" applyFont="1" applyFill="1" applyAlignment="1">
      <alignment horizontal="left"/>
    </xf>
    <xf numFmtId="0" fontId="50" fillId="0" borderId="0" xfId="0" applyNumberFormat="1" applyFont="1" applyFill="1" applyAlignment="1"/>
    <xf numFmtId="166" fontId="50" fillId="0" borderId="0" xfId="0" applyNumberFormat="1" applyFont="1" applyFill="1" applyAlignment="1"/>
    <xf numFmtId="0" fontId="5" fillId="0" borderId="0" xfId="0" applyFont="1" applyAlignment="1">
      <alignment horizontal="centerContinuous"/>
    </xf>
    <xf numFmtId="0" fontId="5" fillId="0" borderId="0" xfId="0" applyFont="1" applyFill="1" applyAlignment="1">
      <alignment horizontal="center"/>
    </xf>
    <xf numFmtId="42" fontId="5" fillId="0" borderId="15" xfId="0" applyNumberFormat="1" applyFont="1" applyFill="1" applyBorder="1"/>
    <xf numFmtId="42" fontId="5" fillId="0" borderId="0" xfId="0" applyNumberFormat="1" applyFont="1"/>
    <xf numFmtId="10" fontId="69" fillId="0" borderId="14" xfId="4" applyNumberFormat="1" applyFont="1" applyFill="1" applyBorder="1"/>
    <xf numFmtId="0" fontId="21" fillId="0" borderId="0" xfId="0" applyFont="1" applyFill="1" applyAlignment="1">
      <alignment horizontal="center" vertical="top"/>
    </xf>
    <xf numFmtId="0" fontId="70" fillId="0" borderId="0" xfId="0" applyNumberFormat="1" applyFont="1" applyFill="1" applyAlignment="1">
      <alignment horizontal="center"/>
    </xf>
    <xf numFmtId="0" fontId="29" fillId="0" borderId="0" xfId="0" applyFont="1" applyFill="1" applyBorder="1"/>
    <xf numFmtId="0" fontId="0" fillId="0" borderId="0" xfId="0" applyFont="1" applyFill="1" applyBorder="1"/>
    <xf numFmtId="10" fontId="29" fillId="0" borderId="0" xfId="0" applyNumberFormat="1" applyFont="1" applyFill="1"/>
    <xf numFmtId="3" fontId="29" fillId="0" borderId="0" xfId="0" applyNumberFormat="1" applyFont="1" applyFill="1"/>
    <xf numFmtId="3" fontId="36" fillId="0" borderId="0" xfId="0" applyNumberFormat="1" applyFont="1" applyFill="1"/>
    <xf numFmtId="43" fontId="43" fillId="0" borderId="0" xfId="0" applyNumberFormat="1" applyFont="1" applyFill="1"/>
    <xf numFmtId="0" fontId="28" fillId="0" borderId="0" xfId="0" applyFont="1" applyFill="1" applyBorder="1"/>
    <xf numFmtId="0" fontId="14" fillId="0" borderId="0" xfId="0" quotePrefix="1" applyFont="1" applyFill="1"/>
    <xf numFmtId="0" fontId="14" fillId="0" borderId="0" xfId="0" applyFont="1" applyFill="1" applyBorder="1" applyAlignment="1">
      <alignment horizontal="center"/>
    </xf>
    <xf numFmtId="0" fontId="14" fillId="0" borderId="1" xfId="0" applyFont="1" applyFill="1" applyBorder="1" applyAlignment="1">
      <alignment horizontal="center"/>
    </xf>
    <xf numFmtId="165" fontId="15" fillId="0" borderId="0" xfId="0" applyNumberFormat="1" applyFont="1" applyFill="1"/>
    <xf numFmtId="165" fontId="35" fillId="0" borderId="0" xfId="0" applyNumberFormat="1" applyFont="1" applyFill="1" applyBorder="1"/>
    <xf numFmtId="165" fontId="14" fillId="0" borderId="0" xfId="0" applyNumberFormat="1" applyFont="1" applyFill="1" applyBorder="1"/>
    <xf numFmtId="42" fontId="8" fillId="0" borderId="0" xfId="0" applyNumberFormat="1" applyFont="1" applyFill="1"/>
    <xf numFmtId="42" fontId="35" fillId="0" borderId="0" xfId="0" applyNumberFormat="1" applyFont="1" applyFill="1"/>
    <xf numFmtId="0" fontId="35" fillId="0" borderId="0" xfId="0" applyFont="1" applyFill="1" applyAlignment="1">
      <alignment horizontal="center"/>
    </xf>
    <xf numFmtId="172" fontId="35" fillId="0" borderId="0" xfId="0" applyNumberFormat="1" applyFont="1" applyFill="1"/>
    <xf numFmtId="167" fontId="14" fillId="0" borderId="0" xfId="0" applyNumberFormat="1" applyFont="1" applyFill="1"/>
    <xf numFmtId="179" fontId="14" fillId="0" borderId="0" xfId="0" applyNumberFormat="1" applyFont="1" applyFill="1" applyBorder="1"/>
    <xf numFmtId="165" fontId="35" fillId="0" borderId="0" xfId="0" applyNumberFormat="1" applyFont="1" applyFill="1"/>
    <xf numFmtId="0" fontId="3" fillId="0" borderId="0" xfId="0" applyFont="1"/>
    <xf numFmtId="0" fontId="0" fillId="0" borderId="0" xfId="0" applyFont="1"/>
    <xf numFmtId="0" fontId="3" fillId="0" borderId="0" xfId="0" applyFont="1" applyFill="1"/>
    <xf numFmtId="0" fontId="3" fillId="0" borderId="0" xfId="0" applyFont="1" applyFill="1" applyAlignment="1">
      <alignment horizontal="centerContinuous"/>
    </xf>
    <xf numFmtId="0" fontId="5" fillId="0" borderId="14" xfId="8" applyFont="1" applyFill="1" applyBorder="1" applyAlignment="1">
      <alignment horizontal="center" vertical="center" wrapText="1"/>
    </xf>
    <xf numFmtId="0" fontId="45" fillId="0" borderId="14" xfId="8" applyFont="1" applyFill="1" applyBorder="1" applyAlignment="1">
      <alignment horizontal="center" wrapText="1"/>
    </xf>
    <xf numFmtId="9" fontId="7" fillId="0" borderId="14" xfId="3" applyFont="1" applyFill="1" applyBorder="1"/>
    <xf numFmtId="0" fontId="12" fillId="0" borderId="0" xfId="0" applyFont="1" applyFill="1" applyAlignment="1">
      <alignment horizontal="centerContinuous"/>
    </xf>
    <xf numFmtId="0" fontId="14" fillId="0" borderId="0" xfId="0" applyFont="1" applyFill="1" applyAlignment="1">
      <alignment horizontal="centerContinuous"/>
    </xf>
    <xf numFmtId="0" fontId="5" fillId="0" borderId="0" xfId="0" quotePrefix="1" applyFont="1" applyFill="1"/>
    <xf numFmtId="0" fontId="5" fillId="0" borderId="0" xfId="0" applyFont="1" applyFill="1" applyBorder="1" applyAlignment="1">
      <alignment horizontal="center"/>
    </xf>
    <xf numFmtId="0" fontId="5" fillId="0" borderId="1" xfId="0" applyFont="1" applyFill="1" applyBorder="1" applyAlignment="1">
      <alignment horizontal="center"/>
    </xf>
    <xf numFmtId="165" fontId="5" fillId="0" borderId="0" xfId="0" applyNumberFormat="1" applyFont="1" applyFill="1" applyBorder="1"/>
    <xf numFmtId="167" fontId="5" fillId="0" borderId="0" xfId="0" applyNumberFormat="1" applyFont="1" applyFill="1"/>
    <xf numFmtId="0" fontId="80" fillId="0" borderId="0" xfId="0" applyFont="1"/>
    <xf numFmtId="0" fontId="2" fillId="0" borderId="0" xfId="0" applyFont="1" applyFill="1" applyAlignment="1">
      <alignment vertical="top"/>
    </xf>
    <xf numFmtId="0" fontId="45" fillId="0" borderId="0" xfId="21" applyFont="1" applyFill="1"/>
    <xf numFmtId="42" fontId="2" fillId="0" borderId="0" xfId="0" applyNumberFormat="1" applyFont="1" applyFill="1" applyAlignment="1">
      <alignment vertical="top"/>
    </xf>
    <xf numFmtId="42" fontId="2" fillId="2" borderId="0" xfId="0" applyNumberFormat="1" applyFont="1" applyFill="1" applyAlignment="1">
      <alignment vertical="top"/>
    </xf>
    <xf numFmtId="0" fontId="2" fillId="0" borderId="0" xfId="0" applyFont="1" applyFill="1"/>
    <xf numFmtId="164" fontId="2" fillId="2"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Alignment="1">
      <alignment vertical="top"/>
    </xf>
    <xf numFmtId="0" fontId="45" fillId="0" borderId="0" xfId="21" applyFont="1"/>
    <xf numFmtId="0" fontId="60" fillId="4" borderId="23" xfId="21" applyFont="1" applyFill="1" applyBorder="1" applyAlignment="1">
      <alignment horizontal="center" vertical="center"/>
    </xf>
    <xf numFmtId="0" fontId="60" fillId="4" borderId="16" xfId="21" applyFont="1" applyFill="1" applyBorder="1" applyAlignment="1">
      <alignment horizontal="centerContinuous"/>
    </xf>
    <xf numFmtId="0" fontId="61" fillId="4" borderId="13" xfId="21" applyFont="1" applyFill="1" applyBorder="1" applyAlignment="1">
      <alignment horizontal="centerContinuous"/>
    </xf>
    <xf numFmtId="0" fontId="61" fillId="4" borderId="17" xfId="21" applyFont="1" applyFill="1" applyBorder="1" applyAlignment="1">
      <alignment horizontal="centerContinuous"/>
    </xf>
    <xf numFmtId="0" fontId="46" fillId="0" borderId="14" xfId="21" applyFont="1" applyFill="1" applyBorder="1"/>
    <xf numFmtId="0" fontId="46" fillId="0" borderId="19" xfId="21" applyFont="1" applyFill="1" applyBorder="1" applyAlignment="1">
      <alignment horizontal="center"/>
    </xf>
    <xf numFmtId="0" fontId="26" fillId="0" borderId="14" xfId="22" applyFont="1" applyFill="1" applyBorder="1" applyAlignment="1">
      <alignment horizontal="center" wrapText="1"/>
    </xf>
    <xf numFmtId="0" fontId="46" fillId="0" borderId="14" xfId="21" applyFont="1" applyFill="1" applyBorder="1" applyAlignment="1">
      <alignment wrapText="1"/>
    </xf>
    <xf numFmtId="0" fontId="46" fillId="0" borderId="0" xfId="21" applyFont="1" applyFill="1" applyBorder="1"/>
    <xf numFmtId="0" fontId="46" fillId="0" borderId="50" xfId="21" applyFont="1" applyFill="1" applyBorder="1" applyAlignment="1">
      <alignment horizontal="right"/>
    </xf>
    <xf numFmtId="0" fontId="46" fillId="0" borderId="51" xfId="21" applyFont="1" applyFill="1" applyBorder="1"/>
    <xf numFmtId="0" fontId="46" fillId="0" borderId="52" xfId="21" applyFont="1" applyFill="1" applyBorder="1"/>
    <xf numFmtId="0" fontId="62" fillId="0" borderId="14" xfId="21" applyFont="1" applyFill="1" applyBorder="1" applyAlignment="1">
      <alignment vertical="center"/>
    </xf>
    <xf numFmtId="0" fontId="62" fillId="0" borderId="19" xfId="21" applyFont="1" applyFill="1" applyBorder="1" applyAlignment="1">
      <alignment vertical="center"/>
    </xf>
    <xf numFmtId="165" fontId="63" fillId="0" borderId="14" xfId="23" applyNumberFormat="1" applyFont="1" applyFill="1" applyBorder="1"/>
    <xf numFmtId="10" fontId="45" fillId="0" borderId="14" xfId="21" applyNumberFormat="1" applyFont="1" applyFill="1" applyBorder="1"/>
    <xf numFmtId="165" fontId="63" fillId="0" borderId="0" xfId="23" applyNumberFormat="1" applyFont="1" applyFill="1" applyBorder="1"/>
    <xf numFmtId="0" fontId="45" fillId="0" borderId="6" xfId="21" applyFont="1" applyFill="1" applyBorder="1"/>
    <xf numFmtId="0" fontId="45" fillId="0" borderId="0" xfId="21" applyFont="1" applyFill="1" applyBorder="1"/>
    <xf numFmtId="41" fontId="63" fillId="0" borderId="14" xfId="23" applyNumberFormat="1" applyFont="1" applyFill="1" applyBorder="1"/>
    <xf numFmtId="0" fontId="64" fillId="0" borderId="24" xfId="21" applyFont="1" applyFill="1" applyBorder="1" applyAlignment="1">
      <alignment vertical="center"/>
    </xf>
    <xf numFmtId="0" fontId="64" fillId="0" borderId="20" xfId="21" applyFont="1" applyFill="1" applyBorder="1" applyAlignment="1">
      <alignment vertical="center"/>
    </xf>
    <xf numFmtId="165" fontId="46" fillId="0" borderId="24" xfId="23" applyNumberFormat="1" applyFont="1" applyFill="1" applyBorder="1"/>
    <xf numFmtId="0" fontId="45" fillId="0" borderId="14" xfId="21" applyFont="1" applyFill="1" applyBorder="1"/>
    <xf numFmtId="165" fontId="46" fillId="0" borderId="0" xfId="23" applyNumberFormat="1" applyFont="1" applyFill="1" applyBorder="1"/>
    <xf numFmtId="0" fontId="45" fillId="0" borderId="11" xfId="21" applyFont="1" applyFill="1" applyBorder="1"/>
    <xf numFmtId="0" fontId="45" fillId="0" borderId="2" xfId="21" applyFont="1" applyFill="1" applyBorder="1"/>
    <xf numFmtId="10" fontId="45" fillId="0" borderId="2" xfId="21" applyNumberFormat="1" applyFont="1" applyFill="1" applyBorder="1"/>
    <xf numFmtId="10" fontId="45" fillId="0" borderId="12" xfId="21" applyNumberFormat="1" applyFont="1" applyFill="1" applyBorder="1"/>
    <xf numFmtId="10" fontId="65" fillId="0" borderId="14" xfId="21" applyNumberFormat="1" applyFont="1" applyFill="1" applyBorder="1"/>
    <xf numFmtId="10" fontId="45" fillId="0" borderId="0" xfId="21" applyNumberFormat="1" applyFont="1" applyFill="1" applyBorder="1"/>
    <xf numFmtId="0" fontId="61" fillId="4" borderId="0" xfId="21" applyFont="1" applyFill="1" applyAlignment="1">
      <alignment horizontal="centerContinuous"/>
    </xf>
    <xf numFmtId="0" fontId="60" fillId="4" borderId="14" xfId="21" applyFont="1" applyFill="1" applyBorder="1" applyAlignment="1">
      <alignment horizontal="center" vertical="center"/>
    </xf>
    <xf numFmtId="0" fontId="46" fillId="0" borderId="14" xfId="21" applyFont="1" applyFill="1" applyBorder="1" applyAlignment="1">
      <alignment horizontal="right"/>
    </xf>
    <xf numFmtId="0" fontId="45" fillId="0" borderId="14" xfId="21" applyFont="1" applyFill="1" applyBorder="1" applyAlignment="1">
      <alignment horizontal="center"/>
    </xf>
    <xf numFmtId="10" fontId="63" fillId="0" borderId="14" xfId="21" applyNumberFormat="1" applyFont="1" applyFill="1" applyBorder="1"/>
    <xf numFmtId="0" fontId="46" fillId="0" borderId="0" xfId="21" applyFont="1" applyFill="1"/>
    <xf numFmtId="0" fontId="46" fillId="0" borderId="0" xfId="21" applyFont="1"/>
    <xf numFmtId="41" fontId="63" fillId="0" borderId="43" xfId="23" applyNumberFormat="1" applyFont="1" applyFill="1" applyBorder="1"/>
    <xf numFmtId="41" fontId="45" fillId="0" borderId="14" xfId="21" applyNumberFormat="1" applyFont="1" applyFill="1" applyBorder="1"/>
    <xf numFmtId="3" fontId="45" fillId="0" borderId="14" xfId="21" applyNumberFormat="1" applyFont="1" applyFill="1" applyBorder="1"/>
    <xf numFmtId="0" fontId="62" fillId="0" borderId="34" xfId="21" applyFont="1" applyFill="1" applyBorder="1" applyAlignment="1">
      <alignment vertical="center"/>
    </xf>
    <xf numFmtId="41" fontId="45" fillId="0" borderId="43" xfId="21" applyNumberFormat="1" applyFont="1" applyFill="1" applyBorder="1"/>
    <xf numFmtId="0" fontId="64" fillId="0" borderId="14" xfId="21" applyFont="1" applyFill="1" applyBorder="1" applyAlignment="1">
      <alignment vertical="center"/>
    </xf>
    <xf numFmtId="0" fontId="46" fillId="0" borderId="19" xfId="21" applyFont="1" applyFill="1" applyBorder="1"/>
    <xf numFmtId="165" fontId="46" fillId="0" borderId="14" xfId="23" applyNumberFormat="1" applyFont="1" applyFill="1" applyBorder="1"/>
    <xf numFmtId="41" fontId="45" fillId="0" borderId="0" xfId="21" applyNumberFormat="1" applyFont="1" applyFill="1"/>
    <xf numFmtId="176" fontId="45" fillId="0" borderId="0" xfId="1" applyNumberFormat="1" applyFont="1" applyFill="1"/>
    <xf numFmtId="0" fontId="45" fillId="0" borderId="14" xfId="21" applyFont="1" applyBorder="1"/>
    <xf numFmtId="10" fontId="63" fillId="0" borderId="14" xfId="24" applyNumberFormat="1" applyFont="1" applyFill="1" applyBorder="1"/>
    <xf numFmtId="44" fontId="45" fillId="0" borderId="0" xfId="21" applyNumberFormat="1" applyFont="1" applyFill="1"/>
    <xf numFmtId="0" fontId="46" fillId="0" borderId="26" xfId="21" applyFont="1" applyFill="1" applyBorder="1" applyAlignment="1">
      <alignment wrapText="1"/>
    </xf>
    <xf numFmtId="0" fontId="45" fillId="0" borderId="26" xfId="21" applyFont="1" applyFill="1" applyBorder="1"/>
    <xf numFmtId="0" fontId="68" fillId="0" borderId="0" xfId="21" applyFont="1"/>
    <xf numFmtId="0" fontId="66" fillId="0" borderId="0" xfId="21" applyFont="1"/>
    <xf numFmtId="0" fontId="69" fillId="0" borderId="0" xfId="21" applyFont="1" applyAlignment="1"/>
    <xf numFmtId="0" fontId="69" fillId="0" borderId="0" xfId="21" applyFont="1" applyAlignment="1">
      <alignment wrapText="1"/>
    </xf>
    <xf numFmtId="0" fontId="69" fillId="0" borderId="0" xfId="21" applyFont="1"/>
    <xf numFmtId="0" fontId="31" fillId="0" borderId="0" xfId="22" applyFont="1"/>
    <xf numFmtId="0" fontId="2" fillId="0" borderId="0" xfId="22"/>
    <xf numFmtId="0" fontId="2" fillId="0" borderId="0" xfId="22" applyFill="1"/>
    <xf numFmtId="0" fontId="54" fillId="0" borderId="16" xfId="22" applyFont="1" applyBorder="1"/>
    <xf numFmtId="0" fontId="2" fillId="0" borderId="13" xfId="22" applyBorder="1"/>
    <xf numFmtId="0" fontId="55" fillId="0" borderId="13" xfId="22" applyFont="1" applyFill="1" applyBorder="1" applyAlignment="1">
      <alignment horizontal="centerContinuous"/>
    </xf>
    <xf numFmtId="0" fontId="34" fillId="0" borderId="17" xfId="22" applyFont="1" applyFill="1" applyBorder="1" applyAlignment="1">
      <alignment horizontal="centerContinuous"/>
    </xf>
    <xf numFmtId="0" fontId="2" fillId="0" borderId="0" xfId="22" applyFill="1" applyAlignment="1">
      <alignment horizontal="centerContinuous"/>
    </xf>
    <xf numFmtId="0" fontId="40" fillId="4" borderId="16" xfId="22" applyFont="1" applyFill="1" applyBorder="1" applyAlignment="1">
      <alignment horizontal="centerContinuous" vertical="center"/>
    </xf>
    <xf numFmtId="0" fontId="57" fillId="4" borderId="13" xfId="22" applyFont="1" applyFill="1" applyBorder="1" applyAlignment="1">
      <alignment horizontal="centerContinuous"/>
    </xf>
    <xf numFmtId="0" fontId="57" fillId="4" borderId="17" xfId="22" applyFont="1" applyFill="1" applyBorder="1" applyAlignment="1">
      <alignment horizontal="centerContinuous"/>
    </xf>
    <xf numFmtId="0" fontId="57" fillId="0" borderId="0" xfId="22" applyFont="1" applyFill="1" applyBorder="1" applyAlignment="1">
      <alignment horizontal="centerContinuous"/>
    </xf>
    <xf numFmtId="0" fontId="57" fillId="4" borderId="6" xfId="22" applyFont="1" applyFill="1" applyBorder="1" applyAlignment="1">
      <alignment horizontal="centerContinuous"/>
    </xf>
    <xf numFmtId="0" fontId="57" fillId="4" borderId="0" xfId="22" applyFont="1" applyFill="1" applyBorder="1" applyAlignment="1">
      <alignment horizontal="centerContinuous"/>
    </xf>
    <xf numFmtId="0" fontId="57" fillId="4" borderId="7" xfId="22" applyFont="1" applyFill="1" applyBorder="1" applyAlignment="1">
      <alignment horizontal="centerContinuous"/>
    </xf>
    <xf numFmtId="0" fontId="42" fillId="0" borderId="34" xfId="22" applyFont="1" applyFill="1" applyBorder="1" applyAlignment="1">
      <alignment horizontal="center" vertical="center"/>
    </xf>
    <xf numFmtId="0" fontId="42" fillId="0" borderId="14" xfId="22" applyFont="1" applyFill="1" applyBorder="1" applyAlignment="1">
      <alignment horizontal="center" vertical="center"/>
    </xf>
    <xf numFmtId="0" fontId="30" fillId="0" borderId="1" xfId="25" applyFont="1" applyFill="1" applyBorder="1" applyAlignment="1">
      <alignment horizontal="center" wrapText="1"/>
    </xf>
    <xf numFmtId="0" fontId="30" fillId="0" borderId="8" xfId="25" applyFont="1" applyFill="1" applyBorder="1" applyAlignment="1">
      <alignment wrapText="1"/>
    </xf>
    <xf numFmtId="0" fontId="26" fillId="0" borderId="47" xfId="22" applyFont="1" applyFill="1" applyBorder="1" applyAlignment="1">
      <alignment wrapText="1"/>
    </xf>
    <xf numFmtId="0" fontId="26" fillId="0" borderId="35" xfId="22" applyFont="1" applyFill="1" applyBorder="1" applyAlignment="1">
      <alignment wrapText="1"/>
    </xf>
    <xf numFmtId="0" fontId="41" fillId="0" borderId="34" xfId="22" applyFont="1" applyFill="1" applyBorder="1" applyAlignment="1">
      <alignment vertical="center"/>
    </xf>
    <xf numFmtId="0" fontId="41" fillId="0" borderId="14" xfId="22" applyFont="1" applyFill="1" applyBorder="1" applyAlignment="1">
      <alignment vertical="center"/>
    </xf>
    <xf numFmtId="173" fontId="2" fillId="0" borderId="14" xfId="22" applyNumberFormat="1" applyFill="1" applyBorder="1"/>
    <xf numFmtId="173" fontId="0" fillId="0" borderId="36" xfId="26" applyNumberFormat="1" applyFont="1" applyFill="1" applyBorder="1"/>
    <xf numFmtId="173" fontId="0" fillId="0" borderId="1" xfId="26" applyNumberFormat="1" applyFont="1" applyFill="1" applyBorder="1"/>
    <xf numFmtId="173" fontId="2" fillId="0" borderId="34" xfId="22" applyNumberFormat="1" applyFill="1" applyBorder="1"/>
    <xf numFmtId="173" fontId="0" fillId="0" borderId="42" xfId="26" applyNumberFormat="1" applyFont="1" applyFill="1" applyBorder="1"/>
    <xf numFmtId="9" fontId="2" fillId="0" borderId="43" xfId="3" applyFont="1" applyBorder="1"/>
    <xf numFmtId="9" fontId="0" fillId="0" borderId="0" xfId="0" applyNumberFormat="1"/>
    <xf numFmtId="173" fontId="16" fillId="0" borderId="0" xfId="27" applyNumberFormat="1" applyFont="1" applyFill="1" applyBorder="1"/>
    <xf numFmtId="0" fontId="2" fillId="0" borderId="14" xfId="22" applyBorder="1"/>
    <xf numFmtId="0" fontId="23" fillId="0" borderId="46" xfId="25" applyFont="1" applyFill="1" applyBorder="1" applyAlignment="1">
      <alignment vertical="center"/>
    </xf>
    <xf numFmtId="0" fontId="23" fillId="0" borderId="1" xfId="28" applyFont="1" applyFill="1" applyBorder="1" applyAlignment="1">
      <alignment vertical="center"/>
    </xf>
    <xf numFmtId="173" fontId="0" fillId="0" borderId="26" xfId="26" applyNumberFormat="1" applyFont="1" applyFill="1" applyBorder="1"/>
    <xf numFmtId="173" fontId="0" fillId="0" borderId="37" xfId="26" applyNumberFormat="1" applyFont="1" applyFill="1" applyBorder="1"/>
    <xf numFmtId="173" fontId="0" fillId="0" borderId="15" xfId="26" applyNumberFormat="1" applyFont="1" applyFill="1" applyBorder="1"/>
    <xf numFmtId="173" fontId="0" fillId="0" borderId="41" xfId="26" applyNumberFormat="1" applyFont="1" applyFill="1" applyBorder="1"/>
    <xf numFmtId="173" fontId="0" fillId="0" borderId="48" xfId="26" applyNumberFormat="1" applyFont="1" applyFill="1" applyBorder="1"/>
    <xf numFmtId="0" fontId="42" fillId="0" borderId="38" xfId="22" applyFont="1" applyFill="1" applyBorder="1" applyAlignment="1">
      <alignment vertical="center"/>
    </xf>
    <xf numFmtId="0" fontId="42" fillId="0" borderId="18" xfId="22" applyFont="1" applyFill="1" applyBorder="1" applyAlignment="1">
      <alignment vertical="center"/>
    </xf>
    <xf numFmtId="173" fontId="26" fillId="0" borderId="18" xfId="26" applyNumberFormat="1" applyFont="1" applyFill="1" applyBorder="1"/>
    <xf numFmtId="43" fontId="26" fillId="0" borderId="18" xfId="22" applyNumberFormat="1" applyFont="1" applyFill="1" applyBorder="1"/>
    <xf numFmtId="173" fontId="26" fillId="0" borderId="36" xfId="26" applyNumberFormat="1" applyFont="1" applyFill="1" applyBorder="1"/>
    <xf numFmtId="173" fontId="26" fillId="0" borderId="1" xfId="26" applyNumberFormat="1" applyFont="1" applyFill="1" applyBorder="1"/>
    <xf numFmtId="173" fontId="26" fillId="0" borderId="38" xfId="22" applyNumberFormat="1" applyFont="1" applyFill="1" applyBorder="1"/>
    <xf numFmtId="173" fontId="26" fillId="0" borderId="42" xfId="26" applyNumberFormat="1" applyFont="1" applyFill="1" applyBorder="1"/>
    <xf numFmtId="0" fontId="42" fillId="0" borderId="34" xfId="22" applyFont="1" applyFill="1" applyBorder="1" applyAlignment="1">
      <alignment vertical="center"/>
    </xf>
    <xf numFmtId="10" fontId="42" fillId="0" borderId="14" xfId="22" applyNumberFormat="1" applyFont="1" applyFill="1" applyBorder="1" applyAlignment="1">
      <alignment vertical="center"/>
    </xf>
    <xf numFmtId="173" fontId="28" fillId="0" borderId="14" xfId="26" applyNumberFormat="1" applyFont="1" applyFill="1" applyBorder="1"/>
    <xf numFmtId="173" fontId="26" fillId="0" borderId="14" xfId="22" applyNumberFormat="1" applyFont="1" applyFill="1" applyBorder="1"/>
    <xf numFmtId="173" fontId="28" fillId="0" borderId="36" xfId="26" applyNumberFormat="1" applyFont="1" applyFill="1" applyBorder="1"/>
    <xf numFmtId="173" fontId="28" fillId="0" borderId="1" xfId="26" applyNumberFormat="1" applyFont="1" applyFill="1" applyBorder="1"/>
    <xf numFmtId="173" fontId="26" fillId="0" borderId="34" xfId="22" applyNumberFormat="1" applyFont="1" applyFill="1" applyBorder="1"/>
    <xf numFmtId="173" fontId="28" fillId="0" borderId="42" xfId="26" applyNumberFormat="1" applyFont="1" applyFill="1" applyBorder="1"/>
    <xf numFmtId="0" fontId="42" fillId="0" borderId="6" xfId="22" applyFont="1" applyFill="1" applyBorder="1" applyAlignment="1">
      <alignment vertical="center"/>
    </xf>
    <xf numFmtId="0" fontId="42" fillId="0" borderId="0" xfId="22" applyFont="1" applyFill="1" applyBorder="1" applyAlignment="1">
      <alignment vertical="center"/>
    </xf>
    <xf numFmtId="173" fontId="26" fillId="0" borderId="0" xfId="26" applyNumberFormat="1" applyFont="1" applyFill="1" applyBorder="1"/>
    <xf numFmtId="43" fontId="26" fillId="0" borderId="0" xfId="22" applyNumberFormat="1" applyFont="1" applyFill="1" applyBorder="1"/>
    <xf numFmtId="173" fontId="26" fillId="0" borderId="7" xfId="26" applyNumberFormat="1" applyFont="1" applyFill="1" applyBorder="1"/>
    <xf numFmtId="43" fontId="26" fillId="0" borderId="6" xfId="22" applyNumberFormat="1" applyFont="1" applyFill="1" applyBorder="1"/>
    <xf numFmtId="0" fontId="15" fillId="0" borderId="0" xfId="22" quotePrefix="1" applyFont="1" applyFill="1"/>
    <xf numFmtId="0" fontId="2" fillId="0" borderId="6" xfId="22" applyFill="1" applyBorder="1"/>
    <xf numFmtId="0" fontId="2" fillId="0" borderId="0" xfId="22" applyFill="1" applyBorder="1"/>
    <xf numFmtId="0" fontId="2" fillId="0" borderId="7" xfId="22" applyFill="1" applyBorder="1"/>
    <xf numFmtId="0" fontId="2" fillId="4" borderId="17" xfId="22" applyFill="1" applyBorder="1" applyAlignment="1">
      <alignment horizontal="centerContinuous"/>
    </xf>
    <xf numFmtId="0" fontId="42" fillId="0" borderId="39" xfId="22" applyFont="1" applyFill="1" applyBorder="1" applyAlignment="1">
      <alignment horizontal="center" vertical="center"/>
    </xf>
    <xf numFmtId="0" fontId="42" fillId="0" borderId="40" xfId="22" applyFont="1" applyFill="1" applyBorder="1" applyAlignment="1">
      <alignment horizontal="center" vertical="center"/>
    </xf>
    <xf numFmtId="0" fontId="2" fillId="0" borderId="38" xfId="22" applyFill="1" applyBorder="1"/>
    <xf numFmtId="0" fontId="41" fillId="0" borderId="19" xfId="29" applyFont="1" applyFill="1" applyBorder="1" applyAlignment="1">
      <alignment vertical="center"/>
    </xf>
    <xf numFmtId="173" fontId="0" fillId="0" borderId="14" xfId="26" applyNumberFormat="1" applyFont="1" applyFill="1" applyBorder="1"/>
    <xf numFmtId="173" fontId="0" fillId="0" borderId="18" xfId="26" applyNumberFormat="1" applyFont="1" applyFill="1" applyBorder="1"/>
    <xf numFmtId="173" fontId="0" fillId="0" borderId="38" xfId="26" applyNumberFormat="1" applyFont="1" applyFill="1" applyBorder="1"/>
    <xf numFmtId="0" fontId="41" fillId="0" borderId="41" xfId="22" applyFont="1" applyFill="1" applyBorder="1" applyAlignment="1">
      <alignment vertical="center"/>
    </xf>
    <xf numFmtId="0" fontId="41" fillId="0" borderId="26" xfId="22" applyFont="1" applyFill="1" applyBorder="1" applyAlignment="1">
      <alignment vertical="center"/>
    </xf>
    <xf numFmtId="173" fontId="2" fillId="0" borderId="26" xfId="22" applyNumberFormat="1" applyFill="1" applyBorder="1"/>
    <xf numFmtId="173" fontId="2" fillId="0" borderId="37" xfId="22" applyNumberFormat="1" applyFill="1" applyBorder="1"/>
    <xf numFmtId="173" fontId="0" fillId="0" borderId="0" xfId="26" applyNumberFormat="1" applyFont="1" applyFill="1" applyBorder="1"/>
    <xf numFmtId="0" fontId="42" fillId="0" borderId="42" xfId="22" applyFont="1" applyFill="1" applyBorder="1" applyAlignment="1">
      <alignment vertical="center"/>
    </xf>
    <xf numFmtId="173" fontId="26" fillId="0" borderId="38" xfId="26" applyNumberFormat="1" applyFont="1" applyFill="1" applyBorder="1"/>
    <xf numFmtId="0" fontId="42" fillId="0" borderId="41" xfId="22" applyFont="1" applyFill="1" applyBorder="1" applyAlignment="1">
      <alignment vertical="center"/>
    </xf>
    <xf numFmtId="0" fontId="42" fillId="0" borderId="26" xfId="22" applyFont="1" applyFill="1" applyBorder="1" applyAlignment="1">
      <alignment vertical="center"/>
    </xf>
    <xf numFmtId="173" fontId="26" fillId="0" borderId="26" xfId="26" applyNumberFormat="1" applyFont="1" applyFill="1" applyBorder="1"/>
    <xf numFmtId="173" fontId="26" fillId="0" borderId="37" xfId="26" applyNumberFormat="1" applyFont="1" applyFill="1" applyBorder="1"/>
    <xf numFmtId="173" fontId="26" fillId="0" borderId="27" xfId="26" applyNumberFormat="1" applyFont="1" applyFill="1" applyBorder="1"/>
    <xf numFmtId="173" fontId="26" fillId="0" borderId="41" xfId="26" applyNumberFormat="1" applyFont="1" applyFill="1" applyBorder="1"/>
    <xf numFmtId="173" fontId="26" fillId="0" borderId="48" xfId="26" applyNumberFormat="1" applyFont="1" applyFill="1" applyBorder="1"/>
    <xf numFmtId="0" fontId="26" fillId="0" borderId="14" xfId="21" applyFont="1" applyFill="1" applyBorder="1" applyAlignment="1">
      <alignment wrapText="1"/>
    </xf>
    <xf numFmtId="0" fontId="26" fillId="0" borderId="14" xfId="21" applyFont="1" applyFill="1" applyBorder="1"/>
    <xf numFmtId="44" fontId="45" fillId="0" borderId="14" xfId="21" applyNumberFormat="1" applyFont="1" applyFill="1" applyBorder="1"/>
    <xf numFmtId="173" fontId="2" fillId="0" borderId="0" xfId="22" applyNumberFormat="1"/>
    <xf numFmtId="0" fontId="2" fillId="0" borderId="14" xfId="0" applyFont="1" applyFill="1" applyBorder="1"/>
    <xf numFmtId="43" fontId="45" fillId="0" borderId="14" xfId="21" applyNumberFormat="1" applyFont="1" applyFill="1" applyBorder="1"/>
    <xf numFmtId="165" fontId="46" fillId="0" borderId="43" xfId="23" applyNumberFormat="1" applyFont="1" applyFill="1" applyBorder="1"/>
    <xf numFmtId="0" fontId="45" fillId="0" borderId="43" xfId="21" applyFont="1" applyFill="1" applyBorder="1"/>
    <xf numFmtId="10" fontId="45" fillId="0" borderId="19" xfId="21" applyNumberFormat="1" applyFont="1" applyFill="1" applyBorder="1"/>
    <xf numFmtId="0" fontId="2" fillId="0" borderId="14" xfId="22" applyFill="1" applyBorder="1"/>
    <xf numFmtId="0" fontId="34" fillId="0" borderId="0" xfId="22" applyFont="1"/>
    <xf numFmtId="0" fontId="2" fillId="0" borderId="0" xfId="0" applyFont="1"/>
    <xf numFmtId="42" fontId="2" fillId="0" borderId="0" xfId="0" applyNumberFormat="1" applyFont="1" applyFill="1"/>
    <xf numFmtId="10" fontId="2" fillId="0" borderId="0" xfId="0" applyNumberFormat="1" applyFont="1"/>
    <xf numFmtId="44" fontId="2" fillId="0" borderId="0" xfId="0" applyNumberFormat="1" applyFont="1"/>
    <xf numFmtId="10" fontId="2" fillId="0" borderId="0" xfId="3" applyNumberFormat="1" applyFont="1" applyFill="1"/>
    <xf numFmtId="10" fontId="2" fillId="0" borderId="0" xfId="3" applyNumberFormat="1" applyFont="1"/>
    <xf numFmtId="42" fontId="2" fillId="0" borderId="0" xfId="0" applyNumberFormat="1" applyFont="1" applyFill="1" applyBorder="1"/>
    <xf numFmtId="42" fontId="2" fillId="0" borderId="1" xfId="0" applyNumberFormat="1" applyFont="1" applyFill="1" applyBorder="1"/>
    <xf numFmtId="42" fontId="2" fillId="0" borderId="9" xfId="0" applyNumberFormat="1" applyFont="1" applyFill="1" applyBorder="1"/>
    <xf numFmtId="10" fontId="2" fillId="0" borderId="0" xfId="0" applyNumberFormat="1" applyFont="1" applyFill="1"/>
    <xf numFmtId="169" fontId="2" fillId="0" borderId="0" xfId="0" applyNumberFormat="1" applyFont="1" applyFill="1"/>
    <xf numFmtId="0" fontId="2" fillId="0" borderId="0" xfId="0" applyFont="1" applyFill="1" applyAlignment="1">
      <alignment horizontal="centerContinuous"/>
    </xf>
    <xf numFmtId="0" fontId="2" fillId="0" borderId="16" xfId="0" applyFont="1" applyFill="1" applyBorder="1"/>
    <xf numFmtId="0" fontId="2" fillId="0" borderId="13" xfId="0" applyFont="1" applyFill="1" applyBorder="1" applyAlignment="1">
      <alignment horizontal="centerContinuous"/>
    </xf>
    <xf numFmtId="0" fontId="2" fillId="0" borderId="17" xfId="0" applyFont="1" applyFill="1" applyBorder="1" applyAlignment="1">
      <alignment horizontal="centerContinuous"/>
    </xf>
    <xf numFmtId="43" fontId="2" fillId="0" borderId="0" xfId="0" applyNumberFormat="1" applyFont="1" applyFill="1"/>
    <xf numFmtId="43" fontId="2" fillId="0" borderId="0" xfId="0" applyNumberFormat="1" applyFont="1"/>
    <xf numFmtId="168" fontId="2" fillId="0" borderId="14" xfId="0" applyNumberFormat="1" applyFont="1" applyFill="1" applyBorder="1"/>
    <xf numFmtId="0" fontId="2" fillId="0" borderId="14" xfId="0" applyFont="1" applyFill="1" applyBorder="1" applyAlignment="1">
      <alignment horizontal="center"/>
    </xf>
    <xf numFmtId="175" fontId="2" fillId="0" borderId="0" xfId="0" applyNumberFormat="1" applyFont="1" applyFill="1"/>
    <xf numFmtId="43" fontId="2" fillId="0" borderId="0" xfId="0" applyNumberFormat="1" applyFont="1" applyFill="1" applyAlignment="1">
      <alignment wrapText="1"/>
    </xf>
    <xf numFmtId="177" fontId="2" fillId="0" borderId="0" xfId="0" applyNumberFormat="1" applyFont="1" applyFill="1"/>
    <xf numFmtId="178" fontId="2" fillId="0" borderId="0" xfId="0" applyNumberFormat="1" applyFont="1" applyFill="1"/>
    <xf numFmtId="173" fontId="2" fillId="0" borderId="0" xfId="1" applyNumberFormat="1" applyFont="1" applyFill="1"/>
    <xf numFmtId="0" fontId="2" fillId="0" borderId="0" xfId="0" applyFont="1" applyFill="1" applyBorder="1"/>
    <xf numFmtId="44" fontId="2" fillId="0" borderId="0" xfId="0" applyNumberFormat="1" applyFont="1" applyFill="1" applyBorder="1"/>
    <xf numFmtId="43" fontId="2" fillId="0" borderId="0" xfId="0" applyNumberFormat="1" applyFont="1" applyFill="1" applyBorder="1"/>
    <xf numFmtId="0" fontId="2" fillId="0" borderId="0" xfId="0" applyFont="1" applyBorder="1"/>
    <xf numFmtId="44" fontId="2" fillId="0" borderId="0" xfId="0" applyNumberFormat="1" applyFont="1" applyFill="1"/>
    <xf numFmtId="0" fontId="7" fillId="0" borderId="29" xfId="8" applyFill="1" applyBorder="1" applyAlignment="1">
      <alignment wrapText="1"/>
    </xf>
    <xf numFmtId="43" fontId="15" fillId="0" borderId="0" xfId="1" applyFont="1" applyFill="1"/>
    <xf numFmtId="43" fontId="0" fillId="0" borderId="0" xfId="1" applyFont="1" applyFill="1"/>
    <xf numFmtId="43" fontId="14" fillId="0" borderId="0" xfId="1" applyFont="1" applyFill="1"/>
    <xf numFmtId="43" fontId="14" fillId="0" borderId="0" xfId="1" applyFont="1"/>
    <xf numFmtId="43" fontId="15" fillId="0" borderId="0" xfId="1" applyFont="1"/>
    <xf numFmtId="43" fontId="5" fillId="0" borderId="0" xfId="1" applyFont="1" applyFill="1"/>
    <xf numFmtId="0" fontId="16" fillId="0" borderId="0" xfId="30" applyFont="1" applyAlignment="1">
      <alignment horizontal="centerContinuous"/>
    </xf>
    <xf numFmtId="0" fontId="1" fillId="0" borderId="0" xfId="30"/>
    <xf numFmtId="0" fontId="1" fillId="0" borderId="0" xfId="30" applyAlignment="1">
      <alignment horizontal="centerContinuous"/>
    </xf>
    <xf numFmtId="0" fontId="1" fillId="0" borderId="0" xfId="30" applyAlignment="1">
      <alignment horizontal="center"/>
    </xf>
    <xf numFmtId="0" fontId="1" fillId="0" borderId="0" xfId="30" applyBorder="1" applyAlignment="1">
      <alignment horizontal="center"/>
    </xf>
    <xf numFmtId="0" fontId="34" fillId="0" borderId="0" xfId="30" applyFont="1" applyBorder="1" applyAlignment="1">
      <alignment horizontal="center"/>
    </xf>
    <xf numFmtId="0" fontId="1" fillId="0" borderId="1" xfId="30" applyBorder="1" applyAlignment="1">
      <alignment horizontal="center"/>
    </xf>
    <xf numFmtId="0" fontId="34" fillId="0" borderId="1" xfId="30" quotePrefix="1" applyFont="1" applyFill="1" applyBorder="1" applyAlignment="1">
      <alignment horizontal="center"/>
    </xf>
    <xf numFmtId="0" fontId="1" fillId="0" borderId="1" xfId="30" applyFont="1" applyBorder="1" applyAlignment="1">
      <alignment horizontal="center"/>
    </xf>
    <xf numFmtId="3" fontId="1" fillId="0" borderId="0" xfId="30" applyNumberFormat="1" applyBorder="1" applyAlignment="1">
      <alignment horizontal="center"/>
    </xf>
    <xf numFmtId="42" fontId="1" fillId="0" borderId="0" xfId="30" applyNumberFormat="1" applyBorder="1" applyAlignment="1">
      <alignment horizontal="center"/>
    </xf>
    <xf numFmtId="42" fontId="1" fillId="0" borderId="0" xfId="30" applyNumberFormat="1" applyFont="1" applyBorder="1" applyAlignment="1">
      <alignment horizontal="center"/>
    </xf>
    <xf numFmtId="3" fontId="35" fillId="0" borderId="0" xfId="30" applyNumberFormat="1" applyFont="1"/>
    <xf numFmtId="42" fontId="35" fillId="0" borderId="0" xfId="30" applyNumberFormat="1" applyFont="1"/>
    <xf numFmtId="180" fontId="1" fillId="0" borderId="0" xfId="30" applyNumberFormat="1"/>
    <xf numFmtId="42" fontId="1" fillId="0" borderId="0" xfId="30" applyNumberFormat="1"/>
    <xf numFmtId="42" fontId="16" fillId="0" borderId="0" xfId="30" applyNumberFormat="1" applyFont="1"/>
    <xf numFmtId="10" fontId="1" fillId="0" borderId="0" xfId="30" applyNumberFormat="1" applyFont="1"/>
    <xf numFmtId="43" fontId="0" fillId="0" borderId="0" xfId="31" applyFont="1"/>
    <xf numFmtId="42" fontId="34" fillId="0" borderId="0" xfId="30" applyNumberFormat="1" applyFont="1"/>
    <xf numFmtId="180" fontId="1" fillId="0" borderId="1" xfId="30" applyNumberFormat="1" applyBorder="1"/>
    <xf numFmtId="3" fontId="1" fillId="0" borderId="15" xfId="30" applyNumberFormat="1" applyBorder="1"/>
    <xf numFmtId="42" fontId="1" fillId="0" borderId="15" xfId="30" applyNumberFormat="1" applyBorder="1"/>
    <xf numFmtId="42" fontId="16" fillId="0" borderId="15" xfId="30" applyNumberFormat="1" applyFont="1" applyBorder="1"/>
    <xf numFmtId="10" fontId="1" fillId="0" borderId="15" xfId="30" applyNumberFormat="1" applyFont="1" applyBorder="1"/>
    <xf numFmtId="3" fontId="1" fillId="0" borderId="0" xfId="30" applyNumberFormat="1"/>
    <xf numFmtId="10" fontId="1" fillId="0" borderId="0" xfId="30" applyNumberFormat="1"/>
    <xf numFmtId="0" fontId="77" fillId="0" borderId="0" xfId="30" applyFont="1" applyBorder="1" applyAlignment="1">
      <alignment horizontal="left"/>
    </xf>
    <xf numFmtId="0" fontId="21" fillId="0" borderId="0" xfId="30" applyFont="1" applyAlignment="1">
      <alignment horizontal="left"/>
    </xf>
    <xf numFmtId="3" fontId="23" fillId="0" borderId="0" xfId="30" applyNumberFormat="1" applyFont="1" applyBorder="1"/>
    <xf numFmtId="42" fontId="23" fillId="0" borderId="0" xfId="30" applyNumberFormat="1" applyFont="1" applyBorder="1"/>
    <xf numFmtId="0" fontId="23" fillId="0" borderId="0" xfId="30" applyFont="1"/>
    <xf numFmtId="42" fontId="23" fillId="0" borderId="0" xfId="30" applyNumberFormat="1" applyFont="1"/>
    <xf numFmtId="10" fontId="23" fillId="0" borderId="0" xfId="30" applyNumberFormat="1" applyFont="1"/>
    <xf numFmtId="0" fontId="23" fillId="0" borderId="0" xfId="30" applyFont="1" applyAlignment="1">
      <alignment horizontal="left"/>
    </xf>
    <xf numFmtId="0" fontId="23" fillId="0" borderId="0" xfId="30" applyFont="1" applyAlignment="1">
      <alignment horizontal="center"/>
    </xf>
    <xf numFmtId="173" fontId="23" fillId="0" borderId="0" xfId="30" applyNumberFormat="1" applyFont="1" applyFill="1"/>
    <xf numFmtId="165" fontId="23" fillId="0" borderId="0" xfId="30" applyNumberFormat="1" applyFont="1" applyFill="1"/>
    <xf numFmtId="173" fontId="23" fillId="0" borderId="0" xfId="31" applyNumberFormat="1" applyFont="1" applyFill="1"/>
    <xf numFmtId="0" fontId="23" fillId="0" borderId="0" xfId="30" applyFont="1" applyFill="1" applyBorder="1" applyAlignment="1">
      <alignment horizontal="left" vertical="center" textRotation="180"/>
    </xf>
    <xf numFmtId="0" fontId="23" fillId="0" borderId="0" xfId="30" applyFont="1" applyFill="1" applyBorder="1" applyAlignment="1">
      <alignment horizontal="left"/>
    </xf>
    <xf numFmtId="0" fontId="23" fillId="0" borderId="0" xfId="30" applyFont="1" applyBorder="1" applyAlignment="1">
      <alignment horizontal="left"/>
    </xf>
    <xf numFmtId="173" fontId="23" fillId="0" borderId="15" xfId="30" applyNumberFormat="1" applyFont="1" applyFill="1" applyBorder="1"/>
    <xf numFmtId="165" fontId="23" fillId="0" borderId="15" xfId="30" applyNumberFormat="1" applyFont="1" applyFill="1" applyBorder="1"/>
    <xf numFmtId="180" fontId="1" fillId="0" borderId="15" xfId="30" applyNumberFormat="1" applyBorder="1"/>
    <xf numFmtId="173" fontId="23" fillId="0" borderId="15" xfId="31" applyNumberFormat="1" applyFont="1" applyFill="1" applyBorder="1"/>
    <xf numFmtId="0" fontId="23" fillId="0" borderId="0" xfId="30" applyFont="1" applyFill="1"/>
    <xf numFmtId="0" fontId="23" fillId="0" borderId="0" xfId="30" applyFont="1" applyBorder="1"/>
    <xf numFmtId="44" fontId="23" fillId="0" borderId="0" xfId="30" applyNumberFormat="1" applyFont="1"/>
    <xf numFmtId="165" fontId="1" fillId="0" borderId="0" xfId="30" applyNumberFormat="1"/>
    <xf numFmtId="0" fontId="16" fillId="0" borderId="0" xfId="30" applyFont="1" applyFill="1" applyAlignment="1">
      <alignment horizontal="centerContinuous"/>
    </xf>
    <xf numFmtId="0" fontId="16" fillId="0" borderId="0" xfId="30" applyFont="1"/>
    <xf numFmtId="0" fontId="16" fillId="0" borderId="0" xfId="30" applyFont="1" applyBorder="1"/>
    <xf numFmtId="0" fontId="16" fillId="0" borderId="0" xfId="30" applyFont="1" applyBorder="1" applyAlignment="1">
      <alignment horizontal="centerContinuous"/>
    </xf>
    <xf numFmtId="0" fontId="16" fillId="0" borderId="1" xfId="30" applyFont="1" applyBorder="1" applyAlignment="1">
      <alignment horizontal="centerContinuous"/>
    </xf>
    <xf numFmtId="0" fontId="16" fillId="0" borderId="0" xfId="30" applyFont="1" applyBorder="1" applyAlignment="1">
      <alignment horizontal="left"/>
    </xf>
    <xf numFmtId="0" fontId="16" fillId="0" borderId="1" xfId="30" applyFont="1" applyBorder="1" applyAlignment="1">
      <alignment horizontal="center"/>
    </xf>
    <xf numFmtId="0" fontId="16" fillId="0" borderId="0" xfId="30" applyFont="1" applyBorder="1" applyAlignment="1">
      <alignment horizontal="center"/>
    </xf>
    <xf numFmtId="0" fontId="79" fillId="0" borderId="0" xfId="30" applyFont="1"/>
    <xf numFmtId="170" fontId="16" fillId="0" borderId="0" xfId="30" applyNumberFormat="1" applyFont="1"/>
    <xf numFmtId="0" fontId="79" fillId="0" borderId="0" xfId="30" applyFont="1" applyBorder="1"/>
    <xf numFmtId="44" fontId="79" fillId="0" borderId="0" xfId="30" applyNumberFormat="1" applyFont="1" applyBorder="1"/>
    <xf numFmtId="44" fontId="16" fillId="0" borderId="0" xfId="30" applyNumberFormat="1" applyFont="1"/>
    <xf numFmtId="44" fontId="16" fillId="0" borderId="15" xfId="30" applyNumberFormat="1" applyFont="1" applyBorder="1"/>
    <xf numFmtId="44" fontId="79" fillId="0" borderId="0" xfId="30" applyNumberFormat="1" applyFont="1"/>
    <xf numFmtId="171" fontId="35" fillId="0" borderId="0" xfId="30" applyNumberFormat="1" applyFont="1"/>
    <xf numFmtId="171" fontId="79" fillId="0" borderId="0" xfId="30" applyNumberFormat="1" applyFont="1" applyBorder="1"/>
    <xf numFmtId="171" fontId="16" fillId="0" borderId="0" xfId="30" applyNumberFormat="1" applyFont="1"/>
    <xf numFmtId="171" fontId="1" fillId="0" borderId="0" xfId="30" applyNumberFormat="1" applyFont="1"/>
    <xf numFmtId="171" fontId="16" fillId="0" borderId="15" xfId="30" applyNumberFormat="1" applyFont="1" applyBorder="1"/>
    <xf numFmtId="171" fontId="1" fillId="0" borderId="0" xfId="30" applyNumberFormat="1" applyFont="1" applyFill="1"/>
    <xf numFmtId="170" fontId="16" fillId="0" borderId="15" xfId="30" applyNumberFormat="1" applyFont="1" applyBorder="1"/>
    <xf numFmtId="171" fontId="16" fillId="0" borderId="0" xfId="30" applyNumberFormat="1" applyFont="1" applyBorder="1"/>
    <xf numFmtId="44" fontId="16" fillId="0" borderId="0" xfId="30" applyNumberFormat="1" applyFont="1" applyBorder="1"/>
    <xf numFmtId="167" fontId="16" fillId="0" borderId="0" xfId="30" applyNumberFormat="1" applyFont="1"/>
    <xf numFmtId="167" fontId="16" fillId="0" borderId="0" xfId="30" applyNumberFormat="1" applyFont="1" applyBorder="1"/>
    <xf numFmtId="10" fontId="16" fillId="0" borderId="0" xfId="30" applyNumberFormat="1" applyFont="1"/>
    <xf numFmtId="0" fontId="16" fillId="0" borderId="0" xfId="30" applyFont="1" applyFill="1" applyAlignment="1"/>
    <xf numFmtId="0" fontId="16" fillId="0" borderId="0" xfId="30" applyFont="1" applyAlignment="1"/>
    <xf numFmtId="0" fontId="1" fillId="0" borderId="0" xfId="30" applyFont="1"/>
    <xf numFmtId="0" fontId="1" fillId="0" borderId="0" xfId="30" applyFont="1" applyAlignment="1">
      <alignment horizontal="center"/>
    </xf>
    <xf numFmtId="0" fontId="1" fillId="0" borderId="0" xfId="30" applyFont="1" applyBorder="1" applyAlignment="1">
      <alignment horizontal="center"/>
    </xf>
    <xf numFmtId="0" fontId="16" fillId="0" borderId="0" xfId="30" applyFont="1" applyAlignment="1">
      <alignment horizontal="center"/>
    </xf>
    <xf numFmtId="180" fontId="34" fillId="0" borderId="0" xfId="30" applyNumberFormat="1" applyFont="1"/>
    <xf numFmtId="180" fontId="35" fillId="0" borderId="0" xfId="30" applyNumberFormat="1" applyFont="1"/>
    <xf numFmtId="42" fontId="1" fillId="0" borderId="0" xfId="30" applyNumberFormat="1" applyFont="1"/>
    <xf numFmtId="167" fontId="1" fillId="0" borderId="0" xfId="30" applyNumberFormat="1" applyFont="1"/>
    <xf numFmtId="180" fontId="34" fillId="0" borderId="1" xfId="30" applyNumberFormat="1" applyFont="1" applyBorder="1"/>
    <xf numFmtId="180" fontId="35" fillId="0" borderId="1" xfId="30" applyNumberFormat="1" applyFont="1" applyBorder="1"/>
    <xf numFmtId="3" fontId="1" fillId="0" borderId="15" xfId="30" applyNumberFormat="1" applyFont="1" applyBorder="1"/>
    <xf numFmtId="180" fontId="1" fillId="0" borderId="0" xfId="30" applyNumberFormat="1" applyFont="1"/>
    <xf numFmtId="42" fontId="1" fillId="0" borderId="15" xfId="30" applyNumberFormat="1" applyFont="1" applyBorder="1"/>
    <xf numFmtId="167" fontId="1" fillId="0" borderId="15" xfId="30" applyNumberFormat="1" applyFont="1" applyBorder="1"/>
    <xf numFmtId="3" fontId="16" fillId="0" borderId="0" xfId="30" applyNumberFormat="1" applyFont="1" applyFill="1" applyBorder="1"/>
    <xf numFmtId="171" fontId="16" fillId="0" borderId="0" xfId="30" applyNumberFormat="1" applyFont="1" applyFill="1"/>
    <xf numFmtId="171" fontId="16" fillId="0" borderId="0" xfId="30" applyNumberFormat="1" applyFont="1" applyFill="1" applyBorder="1"/>
    <xf numFmtId="3" fontId="1" fillId="0" borderId="0" xfId="30" applyNumberFormat="1" applyFont="1"/>
    <xf numFmtId="165" fontId="0" fillId="0" borderId="0" xfId="32" applyNumberFormat="1" applyFont="1"/>
    <xf numFmtId="0" fontId="1" fillId="0" borderId="0" xfId="30" quotePrefix="1" applyFont="1"/>
    <xf numFmtId="3" fontId="34" fillId="0" borderId="0" xfId="30" applyNumberFormat="1" applyFont="1"/>
    <xf numFmtId="0" fontId="34" fillId="0" borderId="1" xfId="30" applyFont="1" applyFill="1" applyBorder="1" applyAlignment="1">
      <alignment horizontal="center"/>
    </xf>
    <xf numFmtId="44" fontId="34" fillId="0" borderId="0" xfId="30" applyNumberFormat="1" applyFont="1"/>
    <xf numFmtId="171" fontId="34" fillId="0" borderId="0" xfId="30" applyNumberFormat="1" applyFont="1"/>
    <xf numFmtId="171" fontId="34" fillId="0" borderId="0" xfId="30" applyNumberFormat="1" applyFont="1" applyFill="1"/>
    <xf numFmtId="3" fontId="34" fillId="0" borderId="0" xfId="0" applyNumberFormat="1" applyFont="1" applyFill="1"/>
    <xf numFmtId="42" fontId="34" fillId="0" borderId="0" xfId="0" applyNumberFormat="1" applyFont="1"/>
    <xf numFmtId="0" fontId="1" fillId="0" borderId="0" xfId="30" applyFont="1" applyAlignment="1">
      <alignment horizontal="center"/>
    </xf>
    <xf numFmtId="0" fontId="21" fillId="0" borderId="0" xfId="0" applyFont="1" applyFill="1" applyAlignment="1">
      <alignment horizontal="center" vertical="top"/>
    </xf>
    <xf numFmtId="0" fontId="69" fillId="0" borderId="0" xfId="21" applyFont="1" applyAlignment="1">
      <alignment horizontal="left" wrapText="1"/>
    </xf>
    <xf numFmtId="0" fontId="55" fillId="0" borderId="16" xfId="22" applyFont="1" applyFill="1" applyBorder="1" applyAlignment="1">
      <alignment horizontal="center"/>
    </xf>
    <xf numFmtId="0" fontId="55" fillId="0" borderId="13" xfId="22" applyFont="1" applyFill="1" applyBorder="1" applyAlignment="1">
      <alignment horizontal="center"/>
    </xf>
    <xf numFmtId="0" fontId="55" fillId="0" borderId="17" xfId="22" applyFont="1" applyFill="1" applyBorder="1" applyAlignment="1">
      <alignment horizontal="center"/>
    </xf>
    <xf numFmtId="0" fontId="55" fillId="0" borderId="16" xfId="7" applyFont="1" applyFill="1" applyBorder="1" applyAlignment="1">
      <alignment horizontal="center"/>
    </xf>
    <xf numFmtId="0" fontId="55" fillId="0" borderId="13" xfId="7" applyFont="1" applyFill="1" applyBorder="1" applyAlignment="1">
      <alignment horizontal="center"/>
    </xf>
    <xf numFmtId="0" fontId="55" fillId="0" borderId="17" xfId="7" applyFont="1" applyFill="1" applyBorder="1" applyAlignment="1">
      <alignment horizontal="center"/>
    </xf>
    <xf numFmtId="0" fontId="70" fillId="0" borderId="0" xfId="0" applyNumberFormat="1" applyFont="1" applyFill="1" applyAlignment="1" applyProtection="1">
      <alignment horizontal="center"/>
      <protection locked="0"/>
    </xf>
    <xf numFmtId="0" fontId="70" fillId="0" borderId="0" xfId="0" applyNumberFormat="1" applyFont="1" applyAlignment="1">
      <alignment horizontal="center"/>
    </xf>
    <xf numFmtId="0" fontId="70" fillId="0" borderId="0" xfId="0" applyNumberFormat="1" applyFont="1" applyFill="1" applyAlignment="1">
      <alignment horizontal="center"/>
    </xf>
  </cellXfs>
  <cellStyles count="33">
    <cellStyle name="Comma" xfId="1" builtinId="3"/>
    <cellStyle name="Comma 2" xfId="9"/>
    <cellStyle name="Comma 2 2" xfId="15"/>
    <cellStyle name="Comma 2 2 2" xfId="27"/>
    <cellStyle name="Comma 2 3" xfId="26"/>
    <cellStyle name="Comma 3" xfId="19"/>
    <cellStyle name="Comma 4" xfId="31"/>
    <cellStyle name="Currency" xfId="2" builtinId="4"/>
    <cellStyle name="Currency 2" xfId="20"/>
    <cellStyle name="Currency 3" xfId="5"/>
    <cellStyle name="Currency 3 2" xfId="13"/>
    <cellStyle name="Currency 3 3" xfId="23"/>
    <cellStyle name="Currency 4" xfId="32"/>
    <cellStyle name="Normal" xfId="0" builtinId="0"/>
    <cellStyle name="Normal 2" xfId="18"/>
    <cellStyle name="Normal 3" xfId="4"/>
    <cellStyle name="Normal 3 2" xfId="10"/>
    <cellStyle name="Normal 3 2 2" xfId="17"/>
    <cellStyle name="Normal 3 2 3" xfId="29"/>
    <cellStyle name="Normal 3 3" xfId="11"/>
    <cellStyle name="Normal 3 4" xfId="16"/>
    <cellStyle name="Normal 3 4 2" xfId="28"/>
    <cellStyle name="Normal 3 5" xfId="21"/>
    <cellStyle name="Normal 4" xfId="7"/>
    <cellStyle name="Normal 4 2" xfId="8"/>
    <cellStyle name="Normal 4 3" xfId="12"/>
    <cellStyle name="Normal 4 3 2" xfId="25"/>
    <cellStyle name="Normal 4 4" xfId="22"/>
    <cellStyle name="Normal 5" xfId="30"/>
    <cellStyle name="Percent" xfId="3" builtinId="5"/>
    <cellStyle name="Percent 2" xfId="6"/>
    <cellStyle name="Percent 2 2" xfId="14"/>
    <cellStyle name="Percent 2 3" xfId="24"/>
  </cellStyles>
  <dxfs count="0"/>
  <tableStyles count="0" defaultTableStyle="TableStyleMedium2" defaultPivotStyle="PivotStyleLight16"/>
  <colors>
    <mruColors>
      <color rgb="FF0000FF"/>
      <color rgb="FFFFCCFF"/>
      <color rgb="FF008080"/>
      <color rgb="FFE31D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pageSetUpPr fitToPage="1"/>
  </sheetPr>
  <dimension ref="A1:N24"/>
  <sheetViews>
    <sheetView zoomScale="90" zoomScaleNormal="90" workbookViewId="0">
      <selection activeCell="E12" sqref="E12"/>
    </sheetView>
  </sheetViews>
  <sheetFormatPr defaultColWidth="8.7109375" defaultRowHeight="12.75" outlineLevelCol="1" x14ac:dyDescent="0.2"/>
  <cols>
    <col min="1" max="1" width="4.5703125" style="16" customWidth="1"/>
    <col min="2" max="2" width="3" style="16" customWidth="1"/>
    <col min="3" max="3" width="42.85546875" style="16" bestFit="1" customWidth="1"/>
    <col min="4" max="4" width="13.7109375" style="16" customWidth="1"/>
    <col min="5" max="5" width="15.28515625" style="16" bestFit="1" customWidth="1"/>
    <col min="6" max="6" width="13.7109375" style="16" bestFit="1" customWidth="1"/>
    <col min="7" max="8" width="13" style="16" bestFit="1" customWidth="1"/>
    <col min="9" max="9" width="12.5703125" style="16" bestFit="1" customWidth="1"/>
    <col min="10" max="10" width="13.85546875" style="16" bestFit="1" customWidth="1"/>
    <col min="11" max="11" width="12" style="16" bestFit="1" customWidth="1"/>
    <col min="12" max="12" width="8.7109375" style="16"/>
    <col min="13" max="13" width="12.140625" style="16" bestFit="1" customWidth="1" outlineLevel="1"/>
    <col min="14" max="14" width="10.85546875" style="16" bestFit="1" customWidth="1"/>
    <col min="15" max="15" width="20.140625" style="16" customWidth="1"/>
    <col min="16" max="16384" width="8.7109375" style="16"/>
  </cols>
  <sheetData>
    <row r="1" spans="1:14" x14ac:dyDescent="0.2">
      <c r="A1" s="241" t="s">
        <v>0</v>
      </c>
      <c r="B1" s="241"/>
      <c r="C1" s="241"/>
      <c r="D1" s="241"/>
      <c r="E1" s="241"/>
      <c r="F1" s="241"/>
      <c r="G1" s="241"/>
      <c r="H1" s="241"/>
      <c r="I1" s="241"/>
      <c r="J1" s="241"/>
      <c r="K1" s="241"/>
    </row>
    <row r="2" spans="1:14" s="9" customFormat="1" x14ac:dyDescent="0.2">
      <c r="A2" s="241" t="s">
        <v>454</v>
      </c>
      <c r="B2" s="241"/>
      <c r="C2" s="241"/>
      <c r="D2" s="241"/>
      <c r="E2" s="241"/>
      <c r="F2" s="241"/>
      <c r="G2" s="241"/>
      <c r="H2" s="241"/>
      <c r="I2" s="241"/>
      <c r="J2" s="241"/>
      <c r="K2" s="241"/>
    </row>
    <row r="3" spans="1:14" x14ac:dyDescent="0.2">
      <c r="A3" s="241" t="s">
        <v>147</v>
      </c>
      <c r="B3" s="241"/>
      <c r="C3" s="241"/>
      <c r="D3" s="241"/>
      <c r="E3" s="241"/>
      <c r="F3" s="241"/>
      <c r="G3" s="241"/>
      <c r="H3" s="241"/>
      <c r="I3" s="241"/>
      <c r="J3" s="241"/>
      <c r="K3" s="241"/>
    </row>
    <row r="4" spans="1:14" x14ac:dyDescent="0.2">
      <c r="A4" s="241" t="s">
        <v>446</v>
      </c>
      <c r="B4" s="241"/>
      <c r="C4" s="241"/>
      <c r="D4" s="241"/>
      <c r="E4" s="241"/>
      <c r="F4" s="241"/>
      <c r="G4" s="241"/>
      <c r="H4" s="241"/>
      <c r="I4" s="241"/>
      <c r="J4" s="241"/>
      <c r="K4" s="241"/>
    </row>
    <row r="5" spans="1:14" x14ac:dyDescent="0.2">
      <c r="B5" s="15"/>
      <c r="C5" s="14"/>
      <c r="D5" s="14"/>
      <c r="E5" s="14"/>
      <c r="F5" s="14"/>
      <c r="G5" s="14"/>
      <c r="H5" s="14"/>
      <c r="I5" s="14"/>
      <c r="J5" s="14"/>
      <c r="K5" s="14"/>
    </row>
    <row r="6" spans="1:14" x14ac:dyDescent="0.2">
      <c r="B6" s="13"/>
      <c r="F6" s="12" t="s">
        <v>148</v>
      </c>
      <c r="G6" s="12" t="s">
        <v>148</v>
      </c>
      <c r="I6" s="12" t="s">
        <v>148</v>
      </c>
      <c r="J6" s="12" t="s">
        <v>148</v>
      </c>
    </row>
    <row r="7" spans="1:14" x14ac:dyDescent="0.2">
      <c r="E7" s="12" t="s">
        <v>148</v>
      </c>
      <c r="F7" s="12" t="s">
        <v>115</v>
      </c>
      <c r="G7" s="12" t="s">
        <v>116</v>
      </c>
      <c r="H7" s="12" t="s">
        <v>148</v>
      </c>
      <c r="I7" s="12" t="s">
        <v>117</v>
      </c>
      <c r="J7" s="12" t="s">
        <v>118</v>
      </c>
      <c r="K7" s="12"/>
    </row>
    <row r="8" spans="1:14" x14ac:dyDescent="0.2">
      <c r="A8" s="157" t="s">
        <v>150</v>
      </c>
      <c r="E8" s="12" t="s">
        <v>120</v>
      </c>
      <c r="F8" s="12" t="s">
        <v>121</v>
      </c>
      <c r="G8" s="12" t="s">
        <v>122</v>
      </c>
      <c r="H8" s="12" t="s">
        <v>123</v>
      </c>
      <c r="I8" s="12" t="s">
        <v>124</v>
      </c>
      <c r="J8" s="12" t="s">
        <v>125</v>
      </c>
      <c r="K8" s="12"/>
    </row>
    <row r="9" spans="1:14" x14ac:dyDescent="0.2">
      <c r="A9" s="11" t="s">
        <v>151</v>
      </c>
      <c r="B9" s="10"/>
      <c r="C9" s="10"/>
      <c r="D9" s="11" t="s">
        <v>90</v>
      </c>
      <c r="E9" s="11" t="s">
        <v>127</v>
      </c>
      <c r="F9" s="11" t="s">
        <v>128</v>
      </c>
      <c r="G9" s="11" t="s">
        <v>129</v>
      </c>
      <c r="H9" s="11" t="s">
        <v>130</v>
      </c>
      <c r="I9" s="11" t="s">
        <v>130</v>
      </c>
      <c r="J9" s="11" t="s">
        <v>130</v>
      </c>
      <c r="K9" s="11" t="s">
        <v>131</v>
      </c>
      <c r="M9" s="253" t="s">
        <v>253</v>
      </c>
      <c r="N9" s="253" t="s">
        <v>254</v>
      </c>
    </row>
    <row r="10" spans="1:14" x14ac:dyDescent="0.2">
      <c r="C10" s="19" t="s">
        <v>152</v>
      </c>
      <c r="D10" s="19" t="s">
        <v>153</v>
      </c>
      <c r="E10" s="18" t="s">
        <v>154</v>
      </c>
      <c r="F10" s="17" t="s">
        <v>155</v>
      </c>
      <c r="G10" s="18" t="s">
        <v>156</v>
      </c>
      <c r="H10" s="17" t="s">
        <v>157</v>
      </c>
      <c r="I10" s="17" t="s">
        <v>158</v>
      </c>
      <c r="J10" s="17" t="s">
        <v>159</v>
      </c>
      <c r="K10" s="17" t="s">
        <v>160</v>
      </c>
      <c r="L10" s="17"/>
      <c r="M10" s="165"/>
      <c r="N10" s="165"/>
    </row>
    <row r="11" spans="1:14" s="9" customFormat="1" x14ac:dyDescent="0.2">
      <c r="A11" s="158">
        <v>1</v>
      </c>
      <c r="B11" s="8" t="s">
        <v>202</v>
      </c>
      <c r="C11" s="7"/>
      <c r="D11" s="6"/>
      <c r="E11" s="5"/>
      <c r="F11" s="5"/>
      <c r="G11" s="5"/>
      <c r="H11" s="5"/>
      <c r="I11" s="5"/>
      <c r="J11" s="5"/>
      <c r="K11" s="5"/>
      <c r="M11" s="166"/>
      <c r="N11" s="166"/>
    </row>
    <row r="12" spans="1:14" s="9" customFormat="1" x14ac:dyDescent="0.2">
      <c r="A12" s="158">
        <f>A11+1</f>
        <v>2</v>
      </c>
      <c r="B12" s="8"/>
      <c r="C12" s="9" t="s">
        <v>311</v>
      </c>
      <c r="D12" s="6">
        <f t="shared" ref="D12" si="0">SUM(E12:K12)</f>
        <v>6423676.0933971079</v>
      </c>
      <c r="E12" s="5">
        <f>'CRM 2019 Rev Req Alloc (YEAR 4)'!F21</f>
        <v>4224945.709007442</v>
      </c>
      <c r="F12" s="5">
        <f>'CRM 2019 Rev Req Alloc (YEAR 4)'!G21</f>
        <v>1541002.3809881792</v>
      </c>
      <c r="G12" s="5">
        <f>'CRM 2019 Rev Req Alloc (YEAR 4)'!H21</f>
        <v>338016.72557797428</v>
      </c>
      <c r="H12" s="5">
        <f>'CRM 2019 Rev Req Alloc (YEAR 4)'!I21</f>
        <v>164685.4970016233</v>
      </c>
      <c r="I12" s="5">
        <f>'CRM 2019 Rev Req Alloc (YEAR 4)'!J21</f>
        <v>17739.016182300718</v>
      </c>
      <c r="J12" s="5">
        <f>'CRM 2019 Rev Req Alloc (YEAR 4)'!K21</f>
        <v>128770.71414928188</v>
      </c>
      <c r="K12" s="5">
        <f>'CRM 2019 Rev Req Alloc (YEAR 4)'!L21</f>
        <v>8516.0504903057899</v>
      </c>
      <c r="M12" s="438">
        <f>D12-'CRM 2019 Rev Req Alloc (YEAR 4)'!E21</f>
        <v>0</v>
      </c>
      <c r="N12" s="438">
        <f>D12-'Summary - Revenue Requirement'!B10</f>
        <v>0</v>
      </c>
    </row>
    <row r="13" spans="1:14" s="9" customFormat="1" x14ac:dyDescent="0.2">
      <c r="A13" s="158">
        <f>A12+1</f>
        <v>3</v>
      </c>
      <c r="C13" s="9" t="s">
        <v>312</v>
      </c>
      <c r="D13" s="6">
        <f t="shared" ref="D13:D14" si="1">SUM(E13:K13)</f>
        <v>5846522.4739019321</v>
      </c>
      <c r="E13" s="5">
        <f>'CRM 2020 Rev Req Alloc (YEAR 3)'!F21</f>
        <v>3810751.6609562072</v>
      </c>
      <c r="F13" s="5">
        <f>'CRM 2020 Rev Req Alloc (YEAR 3)'!G21</f>
        <v>1472709.4544460238</v>
      </c>
      <c r="G13" s="5">
        <f>'CRM 2020 Rev Req Alloc (YEAR 3)'!H21</f>
        <v>288551.01068105531</v>
      </c>
      <c r="H13" s="5">
        <f>'CRM 2020 Rev Req Alloc (YEAR 3)'!I21</f>
        <v>142155.47611025127</v>
      </c>
      <c r="I13" s="5">
        <f>'CRM 2020 Rev Req Alloc (YEAR 3)'!J21</f>
        <v>15464.458607497729</v>
      </c>
      <c r="J13" s="5">
        <f>'CRM 2020 Rev Req Alloc (YEAR 3)'!K21</f>
        <v>109161.0963973202</v>
      </c>
      <c r="K13" s="5">
        <f>'CRM 2020 Rev Req Alloc (YEAR 3)'!L21</f>
        <v>7729.3167035768793</v>
      </c>
      <c r="M13" s="438">
        <f>D13-'CRM 2020 Rev Req Alloc (YEAR 3)'!E21</f>
        <v>0</v>
      </c>
      <c r="N13" s="438">
        <f>D13-'Summary - Revenue Requirement'!B11</f>
        <v>0</v>
      </c>
    </row>
    <row r="14" spans="1:14" s="9" customFormat="1" x14ac:dyDescent="0.2">
      <c r="A14" s="158">
        <f t="shared" ref="A14:A23" si="2">A13+1</f>
        <v>4</v>
      </c>
      <c r="B14" s="488"/>
      <c r="C14" s="488" t="s">
        <v>313</v>
      </c>
      <c r="D14" s="6">
        <f t="shared" si="1"/>
        <v>4966809.2821760057</v>
      </c>
      <c r="E14" s="5">
        <f>'CRM 2021 Rev Req Alloc (YEAR 2)'!F21</f>
        <v>3233658.2297764649</v>
      </c>
      <c r="F14" s="5">
        <f>'CRM 2021 Rev Req Alloc (YEAR 2)'!G21</f>
        <v>1258615.1294422392</v>
      </c>
      <c r="G14" s="5">
        <f>'CRM 2021 Rev Req Alloc (YEAR 2)'!H21</f>
        <v>243091.90539263425</v>
      </c>
      <c r="H14" s="5">
        <f>'CRM 2021 Rev Req Alloc (YEAR 2)'!I21</f>
        <v>119938.8975460314</v>
      </c>
      <c r="I14" s="5">
        <f>'CRM 2021 Rev Req Alloc (YEAR 2)'!J21</f>
        <v>13064.778869512809</v>
      </c>
      <c r="J14" s="5">
        <f>'CRM 2021 Rev Req Alloc (YEAR 2)'!K21</f>
        <v>91876.345073114484</v>
      </c>
      <c r="K14" s="5">
        <f>'CRM 2021 Rev Req Alloc (YEAR 2)'!L21</f>
        <v>6563.9960760090398</v>
      </c>
      <c r="M14" s="438">
        <f>D14-'CRM 2021 Rev Req Alloc (YEAR 2)'!E21</f>
        <v>0</v>
      </c>
      <c r="N14" s="438">
        <f>D14-'Summary - Revenue Requirement'!B12</f>
        <v>0</v>
      </c>
    </row>
    <row r="15" spans="1:14" s="9" customFormat="1" x14ac:dyDescent="0.2">
      <c r="A15" s="158">
        <f t="shared" si="2"/>
        <v>5</v>
      </c>
      <c r="B15" s="488"/>
      <c r="C15" s="488" t="s">
        <v>314</v>
      </c>
      <c r="D15" s="6">
        <f t="shared" ref="D15" si="3">SUM(E15:K15)</f>
        <v>123138.08693615513</v>
      </c>
      <c r="E15" s="5">
        <f>'CRM 2021 Rev Req Alloc TrueUp'!F28</f>
        <v>76216.506805686702</v>
      </c>
      <c r="F15" s="5">
        <f>'CRM 2021 Rev Req Alloc TrueUp'!G28</f>
        <v>39285.770841016521</v>
      </c>
      <c r="G15" s="5">
        <f>'CRM 2021 Rev Req Alloc TrueUp'!H28</f>
        <v>3811.3664627841931</v>
      </c>
      <c r="H15" s="5">
        <f>'CRM 2021 Rev Req Alloc TrueUp'!I28</f>
        <v>2074.7340993891935</v>
      </c>
      <c r="I15" s="5">
        <f>'CRM 2021 Rev Req Alloc TrueUp'!J28</f>
        <v>244.65093514364511</v>
      </c>
      <c r="J15" s="5">
        <f>'CRM 2021 Rev Req Alloc TrueUp'!K28</f>
        <v>1345.168776557616</v>
      </c>
      <c r="K15" s="5">
        <f>'CRM 2021 Rev Req Alloc TrueUp'!L28</f>
        <v>159.88901557725003</v>
      </c>
      <c r="M15" s="438">
        <f>D15-'CRM 2021 Rev Req Alloc TrueUp'!E28</f>
        <v>0</v>
      </c>
      <c r="N15" s="438">
        <f>D15-'Summary - Revenue Requirement'!B13</f>
        <v>1.6007106751203537E-10</v>
      </c>
    </row>
    <row r="16" spans="1:14" s="9" customFormat="1" x14ac:dyDescent="0.2">
      <c r="A16" s="158">
        <f t="shared" si="2"/>
        <v>6</v>
      </c>
      <c r="B16" s="488"/>
      <c r="C16" s="488" t="s">
        <v>315</v>
      </c>
      <c r="D16" s="6">
        <f t="shared" ref="D16" si="4">SUM(E16:K16)</f>
        <v>8662904.883976778</v>
      </c>
      <c r="E16" s="5">
        <f>'CRM 2022 Rev Req Alloc'!F28</f>
        <v>5483089.2613735599</v>
      </c>
      <c r="F16" s="5">
        <f>'CRM 2022 Rev Req Alloc'!G28</f>
        <v>2514019.4026573105</v>
      </c>
      <c r="G16" s="5">
        <f>'CRM 2022 Rev Req Alloc'!H28</f>
        <v>337103.45165080176</v>
      </c>
      <c r="H16" s="5">
        <f>'CRM 2022 Rev Req Alloc'!I28</f>
        <v>173992.05567537036</v>
      </c>
      <c r="I16" s="5">
        <f>'CRM 2022 Rev Req Alloc'!J28</f>
        <v>19687.420302090042</v>
      </c>
      <c r="J16" s="5">
        <f>'CRM 2022 Rev Req Alloc'!K28</f>
        <v>123665.53555189083</v>
      </c>
      <c r="K16" s="5">
        <f>'CRM 2022 Rev Req Alloc'!L28</f>
        <v>11347.756765753995</v>
      </c>
      <c r="M16" s="438">
        <f>D16-'CRM 2022 Rev Req Alloc'!E28</f>
        <v>0</v>
      </c>
      <c r="N16" s="438">
        <f>D16-'Summary - Revenue Requirement'!B14</f>
        <v>0</v>
      </c>
    </row>
    <row r="17" spans="1:14" s="9" customFormat="1" x14ac:dyDescent="0.2">
      <c r="A17" s="158">
        <f t="shared" si="2"/>
        <v>7</v>
      </c>
      <c r="B17" s="489" t="s">
        <v>149</v>
      </c>
      <c r="C17" s="3"/>
      <c r="D17" s="159">
        <f>SUM(D12:D16)</f>
        <v>26023050.820387974</v>
      </c>
      <c r="E17" s="159">
        <f>SUM(E12:E16)</f>
        <v>16828661.367919359</v>
      </c>
      <c r="F17" s="159">
        <f t="shared" ref="F17:J17" si="5">SUM(F12:F16)</f>
        <v>6825632.1383747691</v>
      </c>
      <c r="G17" s="159">
        <f t="shared" si="5"/>
        <v>1210574.4597652499</v>
      </c>
      <c r="H17" s="159">
        <f t="shared" si="5"/>
        <v>602846.66043266549</v>
      </c>
      <c r="I17" s="159">
        <f t="shared" si="5"/>
        <v>66200.324896544946</v>
      </c>
      <c r="J17" s="159">
        <f t="shared" si="5"/>
        <v>454818.85994816502</v>
      </c>
      <c r="K17" s="159">
        <f>SUM(K12:K16)</f>
        <v>34317.009051222951</v>
      </c>
      <c r="M17" s="438">
        <f>SUM(E17:K17)-D17</f>
        <v>0</v>
      </c>
      <c r="N17" s="438">
        <f>D17-'Summary - Revenue Requirement'!B15</f>
        <v>0</v>
      </c>
    </row>
    <row r="18" spans="1:14" s="9" customFormat="1" x14ac:dyDescent="0.2">
      <c r="A18" s="158">
        <f t="shared" si="2"/>
        <v>8</v>
      </c>
      <c r="E18" s="490"/>
      <c r="F18" s="490"/>
      <c r="G18" s="490"/>
      <c r="H18" s="490"/>
      <c r="I18" s="490"/>
      <c r="J18" s="490"/>
      <c r="K18" s="490"/>
    </row>
    <row r="19" spans="1:14" s="9" customFormat="1" x14ac:dyDescent="0.2">
      <c r="A19" s="158">
        <f t="shared" si="2"/>
        <v>9</v>
      </c>
      <c r="B19" s="9" t="s">
        <v>336</v>
      </c>
      <c r="D19" s="491">
        <f>SUM(E19:K19)</f>
        <v>1170264197</v>
      </c>
      <c r="E19" s="492">
        <f>SUM('Forecasted Volume'!N8:N10)</f>
        <v>592792077</v>
      </c>
      <c r="F19" s="492">
        <f>SUM('Forecasted Volume'!N11,'Forecasted Volume'!N16)</f>
        <v>239352531</v>
      </c>
      <c r="G19" s="492">
        <f>SUM('Forecasted Volume'!N12,'Forecasted Volume'!N17)</f>
        <v>88827838</v>
      </c>
      <c r="H19" s="492">
        <f>SUM('Forecasted Volume'!N13,'Forecasted Volume'!N18)</f>
        <v>86211930</v>
      </c>
      <c r="I19" s="492">
        <f>SUM('Forecasted Volume'!N14,'Forecasted Volume'!N19)</f>
        <v>6738707</v>
      </c>
      <c r="J19" s="492">
        <f>SUM('Forecasted Volume'!N15,'Forecasted Volume'!N20)</f>
        <v>119430070</v>
      </c>
      <c r="K19" s="492">
        <f>'Forecasted Volume'!N21</f>
        <v>36911044</v>
      </c>
      <c r="L19" s="4"/>
      <c r="M19" s="438">
        <f>D19-'Forecasted Volume'!N22</f>
        <v>0</v>
      </c>
      <c r="N19" s="493"/>
    </row>
    <row r="20" spans="1:14" s="9" customFormat="1" x14ac:dyDescent="0.2">
      <c r="A20" s="158">
        <f t="shared" si="2"/>
        <v>10</v>
      </c>
      <c r="B20" s="494"/>
      <c r="C20" s="3"/>
      <c r="D20" s="3"/>
      <c r="E20" s="3"/>
      <c r="F20" s="3"/>
      <c r="G20" s="3"/>
      <c r="H20" s="3"/>
      <c r="I20" s="3"/>
      <c r="J20" s="3"/>
      <c r="K20" s="3"/>
      <c r="L20" s="4"/>
    </row>
    <row r="21" spans="1:14" x14ac:dyDescent="0.2">
      <c r="A21" s="158">
        <f t="shared" si="2"/>
        <v>11</v>
      </c>
      <c r="B21" s="7" t="s">
        <v>230</v>
      </c>
      <c r="C21" s="4"/>
      <c r="D21" s="4"/>
      <c r="E21" s="4"/>
      <c r="F21" s="4"/>
      <c r="G21" s="4"/>
      <c r="H21" s="4"/>
      <c r="I21" s="4"/>
      <c r="J21" s="4"/>
      <c r="K21" s="4"/>
      <c r="L21" s="4"/>
    </row>
    <row r="22" spans="1:14" x14ac:dyDescent="0.2">
      <c r="A22" s="158">
        <f t="shared" si="2"/>
        <v>12</v>
      </c>
      <c r="C22" s="16" t="s">
        <v>132</v>
      </c>
      <c r="D22" s="2"/>
      <c r="E22" s="2">
        <f t="shared" ref="E22:K22" si="6">ROUND(E17/E19,5)</f>
        <v>2.8389999999999999E-2</v>
      </c>
      <c r="F22" s="2">
        <f t="shared" si="6"/>
        <v>2.852E-2</v>
      </c>
      <c r="G22" s="2">
        <f t="shared" si="6"/>
        <v>1.363E-2</v>
      </c>
      <c r="H22" s="2">
        <f t="shared" si="6"/>
        <v>6.9899999999999997E-3</v>
      </c>
      <c r="I22" s="2">
        <f t="shared" si="6"/>
        <v>9.8200000000000006E-3</v>
      </c>
      <c r="J22" s="2">
        <f t="shared" si="6"/>
        <v>3.81E-3</v>
      </c>
      <c r="K22" s="2">
        <f t="shared" si="6"/>
        <v>9.3000000000000005E-4</v>
      </c>
    </row>
    <row r="23" spans="1:14" x14ac:dyDescent="0.2">
      <c r="A23" s="158">
        <f t="shared" si="2"/>
        <v>13</v>
      </c>
      <c r="C23" s="16" t="s">
        <v>133</v>
      </c>
      <c r="D23" s="4"/>
      <c r="E23" s="1">
        <f>ROUND(E22*19,2)</f>
        <v>0.54</v>
      </c>
      <c r="F23" s="4"/>
      <c r="G23" s="4"/>
      <c r="H23" s="4"/>
      <c r="I23" s="4"/>
      <c r="J23" s="4"/>
      <c r="K23" s="4"/>
      <c r="L23" s="4"/>
    </row>
    <row r="24" spans="1:14" x14ac:dyDescent="0.2">
      <c r="A24" s="158"/>
      <c r="C24" s="4"/>
      <c r="D24" s="4"/>
      <c r="E24" s="1"/>
      <c r="F24" s="4"/>
      <c r="G24" s="4"/>
      <c r="H24" s="4"/>
      <c r="I24" s="4"/>
      <c r="J24" s="4"/>
      <c r="K24" s="4"/>
      <c r="L24" s="4"/>
    </row>
  </sheetData>
  <printOptions horizontalCentered="1"/>
  <pageMargins left="0.7" right="0.7" top="0.75" bottom="0.75" header="0.3" footer="0.3"/>
  <pageSetup scale="79" orientation="landscape" blackAndWhite="1" horizontalDpi="300" verticalDpi="300" r:id="rId1"/>
  <headerFooter>
    <oddFooter>&amp;L&amp;F
&amp;A&amp;RPage &amp;P of &amp;N</oddFoot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145"/>
  <sheetViews>
    <sheetView zoomScale="90" zoomScaleNormal="90" workbookViewId="0">
      <selection activeCell="E14" sqref="E14"/>
    </sheetView>
  </sheetViews>
  <sheetFormatPr defaultColWidth="8.7109375" defaultRowHeight="15" outlineLevelCol="1" x14ac:dyDescent="0.25"/>
  <cols>
    <col min="1" max="1" width="3.5703125" style="82" customWidth="1"/>
    <col min="2" max="2" width="2.5703125" style="82" customWidth="1"/>
    <col min="3" max="3" width="31.140625" style="82" customWidth="1"/>
    <col min="4" max="4" width="9.140625" style="82" bestFit="1" customWidth="1"/>
    <col min="5" max="5" width="13.7109375" style="82" customWidth="1"/>
    <col min="6" max="12" width="12.85546875" style="82" customWidth="1"/>
    <col min="13" max="13" width="8.7109375" style="82"/>
    <col min="14" max="14" width="9.140625" style="82" customWidth="1" outlineLevel="1"/>
    <col min="15" max="15" width="9.140625" customWidth="1"/>
    <col min="16" max="16384" width="8.7109375" style="82"/>
  </cols>
  <sheetData>
    <row r="1" spans="1:15" s="86" customFormat="1" x14ac:dyDescent="0.25">
      <c r="B1" s="515" t="s">
        <v>0</v>
      </c>
      <c r="C1" s="516"/>
      <c r="D1" s="516"/>
      <c r="E1" s="516"/>
      <c r="F1" s="516"/>
      <c r="G1" s="516"/>
      <c r="H1" s="516"/>
      <c r="I1" s="516"/>
      <c r="J1" s="516"/>
      <c r="K1" s="516"/>
      <c r="L1" s="516"/>
      <c r="O1" s="217"/>
    </row>
    <row r="2" spans="1:15" s="7" customFormat="1" x14ac:dyDescent="0.25">
      <c r="A2" s="510"/>
      <c r="B2" s="244" t="str">
        <f>'CRM Rates'!$A$2</f>
        <v>2022 Gas Schedule 149 Cost Recovery Mechanism For Pipeline Replacement (CRM) Filing (FINAL - October Filing)</v>
      </c>
      <c r="C2" s="244"/>
      <c r="D2" s="244"/>
      <c r="E2" s="244"/>
      <c r="F2" s="244"/>
      <c r="G2" s="244"/>
      <c r="H2" s="244"/>
      <c r="I2" s="244"/>
      <c r="J2" s="244"/>
      <c r="K2" s="244"/>
      <c r="L2" s="244"/>
      <c r="M2" s="510"/>
      <c r="N2" s="510"/>
    </row>
    <row r="3" spans="1:15" s="7" customFormat="1" x14ac:dyDescent="0.25">
      <c r="A3" s="510"/>
      <c r="B3" s="511" t="s">
        <v>339</v>
      </c>
      <c r="C3" s="511"/>
      <c r="D3" s="511"/>
      <c r="E3" s="511"/>
      <c r="F3" s="511"/>
      <c r="G3" s="511"/>
      <c r="H3" s="511"/>
      <c r="I3" s="511"/>
      <c r="J3" s="511"/>
      <c r="K3" s="511"/>
      <c r="L3" s="511"/>
      <c r="M3" s="510"/>
      <c r="N3" s="510"/>
    </row>
    <row r="4" spans="1:15" s="217" customFormat="1" x14ac:dyDescent="0.25">
      <c r="A4" s="86"/>
      <c r="B4" s="495"/>
      <c r="C4" s="86"/>
      <c r="D4" s="86"/>
      <c r="E4" s="86"/>
      <c r="F4" s="86"/>
      <c r="G4" s="86"/>
      <c r="H4" s="86"/>
      <c r="I4" s="86"/>
      <c r="J4" s="86"/>
      <c r="K4" s="86"/>
      <c r="L4" s="86"/>
      <c r="M4" s="86"/>
      <c r="N4" s="86"/>
    </row>
    <row r="5" spans="1:15" s="217" customFormat="1" x14ac:dyDescent="0.25">
      <c r="A5" s="86"/>
      <c r="B5" s="86"/>
      <c r="C5" s="86"/>
      <c r="D5" s="86"/>
      <c r="E5" s="86"/>
      <c r="F5" s="496"/>
      <c r="G5" s="496" t="s">
        <v>115</v>
      </c>
      <c r="H5" s="496" t="s">
        <v>116</v>
      </c>
      <c r="I5" s="496"/>
      <c r="J5" s="496" t="s">
        <v>117</v>
      </c>
      <c r="K5" s="496" t="s">
        <v>118</v>
      </c>
      <c r="L5" s="496"/>
      <c r="M5" s="86"/>
      <c r="N5" s="86"/>
    </row>
    <row r="6" spans="1:15" s="217" customFormat="1" x14ac:dyDescent="0.25">
      <c r="A6" s="86"/>
      <c r="B6" s="86"/>
      <c r="C6" s="86"/>
      <c r="D6" s="496" t="s">
        <v>119</v>
      </c>
      <c r="E6" s="86"/>
      <c r="F6" s="496" t="s">
        <v>134</v>
      </c>
      <c r="G6" s="496" t="s">
        <v>121</v>
      </c>
      <c r="H6" s="496" t="s">
        <v>122</v>
      </c>
      <c r="I6" s="496" t="s">
        <v>123</v>
      </c>
      <c r="J6" s="496" t="s">
        <v>124</v>
      </c>
      <c r="K6" s="496" t="s">
        <v>125</v>
      </c>
      <c r="L6" s="496"/>
      <c r="M6" s="86"/>
      <c r="N6" s="86"/>
    </row>
    <row r="7" spans="1:15" s="217" customFormat="1" x14ac:dyDescent="0.25">
      <c r="A7" s="86"/>
      <c r="B7" s="86"/>
      <c r="C7" s="86"/>
      <c r="D7" s="497" t="s">
        <v>126</v>
      </c>
      <c r="E7" s="497" t="s">
        <v>90</v>
      </c>
      <c r="F7" s="497" t="s">
        <v>127</v>
      </c>
      <c r="G7" s="497" t="s">
        <v>128</v>
      </c>
      <c r="H7" s="497" t="s">
        <v>129</v>
      </c>
      <c r="I7" s="497" t="s">
        <v>130</v>
      </c>
      <c r="J7" s="497" t="s">
        <v>130</v>
      </c>
      <c r="K7" s="497" t="s">
        <v>130</v>
      </c>
      <c r="L7" s="497" t="s">
        <v>131</v>
      </c>
      <c r="M7" s="86"/>
      <c r="N7" s="74" t="s">
        <v>104</v>
      </c>
      <c r="O7" s="74" t="s">
        <v>254</v>
      </c>
    </row>
    <row r="8" spans="1:15" s="217" customFormat="1" x14ac:dyDescent="0.25">
      <c r="A8" s="86"/>
      <c r="B8" s="86" t="s">
        <v>135</v>
      </c>
      <c r="C8" s="86"/>
      <c r="D8" s="86"/>
      <c r="E8" s="90"/>
      <c r="F8" s="90"/>
      <c r="G8" s="90"/>
      <c r="H8" s="90"/>
      <c r="I8" s="90"/>
      <c r="J8" s="90"/>
      <c r="K8" s="90"/>
      <c r="L8" s="90"/>
      <c r="M8" s="86"/>
      <c r="N8" s="498"/>
    </row>
    <row r="9" spans="1:15" s="217" customFormat="1" x14ac:dyDescent="0.25">
      <c r="A9" s="86"/>
      <c r="B9" s="86"/>
      <c r="C9" s="161" t="s">
        <v>227</v>
      </c>
      <c r="D9" s="164">
        <v>376</v>
      </c>
      <c r="E9" s="499">
        <f>('2021 + true up CAP'!$F$29+'2021 + true up CAP'!$F$35)*'Summary 2021'!O15</f>
        <v>3344799.70643837</v>
      </c>
      <c r="F9" s="500">
        <f>$E$9*'Allocation Factors'!E12</f>
        <v>2200450.1792821037</v>
      </c>
      <c r="G9" s="500">
        <f>$E$9*'Allocation Factors'!F12</f>
        <v>801330.01431120571</v>
      </c>
      <c r="H9" s="500">
        <f>$E$9*'Allocation Factors'!G12</f>
        <v>176295.50696354025</v>
      </c>
      <c r="I9" s="500">
        <f>$E$9*'Allocation Factors'!H12</f>
        <v>85869.226623070266</v>
      </c>
      <c r="J9" s="500">
        <f>$E$9*'Allocation Factors'!I12</f>
        <v>9247.0435917553568</v>
      </c>
      <c r="K9" s="500">
        <f>$E$9*'Allocation Factors'!J12</f>
        <v>67173.110831903468</v>
      </c>
      <c r="L9" s="500">
        <f>$E$9*'Allocation Factors'!K12</f>
        <v>4434.624834791076</v>
      </c>
      <c r="M9" s="86"/>
      <c r="N9" s="718">
        <f>SUM(F9:L9)-E9</f>
        <v>0</v>
      </c>
      <c r="O9" s="719"/>
    </row>
    <row r="10" spans="1:15" s="217" customFormat="1" x14ac:dyDescent="0.25">
      <c r="A10" s="86"/>
      <c r="B10" s="86"/>
      <c r="C10" s="161" t="s">
        <v>228</v>
      </c>
      <c r="D10" s="164">
        <v>380</v>
      </c>
      <c r="E10" s="499">
        <f>('2021 + true up CAP'!$F$29+'2021 + true up CAP'!$F$35)*'Summary 2021'!O16</f>
        <v>281897.83992116293</v>
      </c>
      <c r="F10" s="500">
        <f>$E$10*'Allocation Factors'!E17</f>
        <v>162226.8559370226</v>
      </c>
      <c r="G10" s="500">
        <f>$E$10*'Allocation Factors'!F17</f>
        <v>114645.01384074712</v>
      </c>
      <c r="H10" s="500">
        <f>$E$10*'Allocation Factors'!G17</f>
        <v>2036.7269072923839</v>
      </c>
      <c r="I10" s="500">
        <f>$E$10*'Allocation Factors'!H17</f>
        <v>2044.5954676697609</v>
      </c>
      <c r="J10" s="500">
        <f>$E$10*'Allocation Factors'!I17</f>
        <v>322.26393486294688</v>
      </c>
      <c r="K10" s="500">
        <f>$E$10*'Allocation Factors'!J17</f>
        <v>263.12879149060183</v>
      </c>
      <c r="L10" s="500">
        <f>$E$10*'Allocation Factors'!K17</f>
        <v>359.25504207757064</v>
      </c>
      <c r="M10" s="86"/>
      <c r="N10" s="718">
        <f t="shared" ref="N10:N15" si="0">SUM(F10:L10)-E10</f>
        <v>0</v>
      </c>
      <c r="O10" s="719"/>
    </row>
    <row r="11" spans="1:15" s="217" customFormat="1" x14ac:dyDescent="0.25">
      <c r="A11" s="86"/>
      <c r="B11" s="86"/>
      <c r="C11" s="86" t="s">
        <v>90</v>
      </c>
      <c r="D11" s="164"/>
      <c r="E11" s="89">
        <f>SUM(E9:E10)</f>
        <v>3626697.546359533</v>
      </c>
      <c r="F11" s="89">
        <f t="shared" ref="F11:L11" si="1">SUM(F9:F10)</f>
        <v>2362677.0352191264</v>
      </c>
      <c r="G11" s="89">
        <f t="shared" si="1"/>
        <v>915975.02815195289</v>
      </c>
      <c r="H11" s="89">
        <f t="shared" si="1"/>
        <v>178332.23387083263</v>
      </c>
      <c r="I11" s="89">
        <f t="shared" si="1"/>
        <v>87913.822090740025</v>
      </c>
      <c r="J11" s="89">
        <f t="shared" si="1"/>
        <v>9569.3075266183041</v>
      </c>
      <c r="K11" s="89">
        <f t="shared" si="1"/>
        <v>67436.239623394067</v>
      </c>
      <c r="L11" s="89">
        <f t="shared" si="1"/>
        <v>4793.8798768686465</v>
      </c>
      <c r="M11" s="86"/>
      <c r="N11" s="718">
        <f>SUM(F11:L11)-E11</f>
        <v>0</v>
      </c>
      <c r="O11" s="718">
        <f>E11-'2021 + true up CAP'!F35-'2021 + true up CAP'!F29</f>
        <v>0</v>
      </c>
    </row>
    <row r="12" spans="1:15" s="217" customFormat="1" x14ac:dyDescent="0.25">
      <c r="A12" s="86"/>
      <c r="B12" s="86"/>
      <c r="C12" s="86"/>
      <c r="D12" s="164"/>
      <c r="E12" s="90"/>
      <c r="F12" s="90"/>
      <c r="G12" s="90"/>
      <c r="H12" s="90"/>
      <c r="I12" s="90"/>
      <c r="J12" s="90"/>
      <c r="K12" s="90"/>
      <c r="L12" s="90"/>
      <c r="M12" s="86"/>
      <c r="N12" s="718"/>
      <c r="O12" s="719"/>
    </row>
    <row r="13" spans="1:15" s="86" customFormat="1" x14ac:dyDescent="0.25">
      <c r="B13" s="86" t="s">
        <v>53</v>
      </c>
      <c r="D13" s="164"/>
      <c r="E13" s="88"/>
      <c r="F13" s="88"/>
      <c r="G13" s="88"/>
      <c r="H13" s="88"/>
      <c r="I13" s="88"/>
      <c r="J13" s="88"/>
      <c r="K13" s="88"/>
      <c r="L13" s="88"/>
      <c r="N13" s="718"/>
      <c r="O13" s="720"/>
    </row>
    <row r="14" spans="1:15" s="86" customFormat="1" x14ac:dyDescent="0.25">
      <c r="C14" s="161" t="s">
        <v>227</v>
      </c>
      <c r="D14" s="164">
        <v>376</v>
      </c>
      <c r="E14" s="507">
        <f>'2021 + true up CAP'!$F$27*'Summary 2021'!I26</f>
        <v>994804.09867374541</v>
      </c>
      <c r="F14" s="92">
        <f>$E$14*'Allocation Factors'!E12</f>
        <v>654453.79376935458</v>
      </c>
      <c r="G14" s="92">
        <f>$E$14*'Allocation Factors'!F12</f>
        <v>238330.08030125729</v>
      </c>
      <c r="H14" s="92">
        <f>$E$14*'Allocation Factors'!G12</f>
        <v>52433.481313547571</v>
      </c>
      <c r="I14" s="92">
        <f>$E$14*'Allocation Factors'!H12</f>
        <v>25539.065442437419</v>
      </c>
      <c r="J14" s="92">
        <f>$E$14*'Allocation Factors'!I12</f>
        <v>2750.2384815407531</v>
      </c>
      <c r="K14" s="92">
        <f>$E$14*'Allocation Factors'!J12</f>
        <v>19978.501507164794</v>
      </c>
      <c r="L14" s="92">
        <f>$E$14*'Allocation Factors'!K12</f>
        <v>1318.9378584429835</v>
      </c>
      <c r="N14" s="718">
        <f t="shared" si="0"/>
        <v>0</v>
      </c>
      <c r="O14" s="720"/>
    </row>
    <row r="15" spans="1:15" s="86" customFormat="1" x14ac:dyDescent="0.25">
      <c r="C15" s="161" t="s">
        <v>228</v>
      </c>
      <c r="D15" s="164">
        <v>380</v>
      </c>
      <c r="E15" s="502">
        <f>'2021 + true up CAP'!$F$27*'Summary 2021'!I27</f>
        <v>109647.43713132309</v>
      </c>
      <c r="F15" s="92">
        <f>$E$15*'Allocation Factors'!E17</f>
        <v>63100.018759780192</v>
      </c>
      <c r="G15" s="92">
        <f>$E$15*'Allocation Factors'!F17</f>
        <v>44592.508942383276</v>
      </c>
      <c r="H15" s="92">
        <f>$E$15*'Allocation Factors'!G17</f>
        <v>792.20857308970938</v>
      </c>
      <c r="I15" s="92">
        <f>$E$15*'Allocation Factors'!H17</f>
        <v>795.26914098740497</v>
      </c>
      <c r="J15" s="92">
        <f>$E$15*'Allocation Factors'!I17</f>
        <v>125.34829833197681</v>
      </c>
      <c r="K15" s="92">
        <f>$E$15*'Allocation Factors'!J17</f>
        <v>102.34699787155348</v>
      </c>
      <c r="L15" s="92">
        <f>$E$15*'Allocation Factors'!K17</f>
        <v>139.73641887900834</v>
      </c>
      <c r="N15" s="718">
        <f t="shared" si="0"/>
        <v>0</v>
      </c>
      <c r="O15" s="720"/>
    </row>
    <row r="16" spans="1:15" s="86" customFormat="1" x14ac:dyDescent="0.25">
      <c r="C16" s="86" t="s">
        <v>90</v>
      </c>
      <c r="E16" s="89">
        <f>SUM(E14:E15)</f>
        <v>1104451.5358050684</v>
      </c>
      <c r="F16" s="89">
        <f t="shared" ref="F16:L16" si="2">SUM(F14:F15)</f>
        <v>717553.8125291348</v>
      </c>
      <c r="G16" s="89">
        <f t="shared" si="2"/>
        <v>282922.58924364054</v>
      </c>
      <c r="H16" s="89">
        <f t="shared" si="2"/>
        <v>53225.689886637279</v>
      </c>
      <c r="I16" s="89">
        <f t="shared" si="2"/>
        <v>26334.334583424825</v>
      </c>
      <c r="J16" s="89">
        <f t="shared" si="2"/>
        <v>2875.5867798727299</v>
      </c>
      <c r="K16" s="89">
        <f t="shared" si="2"/>
        <v>20080.848505036349</v>
      </c>
      <c r="L16" s="89">
        <f t="shared" si="2"/>
        <v>1458.6742773219919</v>
      </c>
      <c r="N16" s="718">
        <f>SUM(F16:L16)-E16</f>
        <v>0</v>
      </c>
      <c r="O16" s="718">
        <f>E16-'2021 + true up CAP'!F27</f>
        <v>0</v>
      </c>
    </row>
    <row r="17" spans="1:15" s="86" customFormat="1" x14ac:dyDescent="0.25">
      <c r="E17" s="90"/>
      <c r="F17" s="90"/>
      <c r="G17" s="90"/>
      <c r="H17" s="90"/>
      <c r="I17" s="90"/>
      <c r="J17" s="90"/>
      <c r="K17" s="90"/>
      <c r="L17" s="90"/>
      <c r="N17" s="718"/>
      <c r="O17" s="718"/>
    </row>
    <row r="18" spans="1:15" s="86" customFormat="1" x14ac:dyDescent="0.25">
      <c r="E18" s="88"/>
      <c r="F18" s="88"/>
      <c r="G18" s="88"/>
      <c r="H18" s="88"/>
      <c r="I18" s="88"/>
      <c r="J18" s="88"/>
      <c r="K18" s="88"/>
      <c r="L18" s="88"/>
      <c r="N18" s="718"/>
      <c r="O18" s="720"/>
    </row>
    <row r="19" spans="1:15" s="86" customFormat="1" x14ac:dyDescent="0.25">
      <c r="B19" s="86" t="s">
        <v>136</v>
      </c>
      <c r="E19" s="88">
        <f>E11+E16</f>
        <v>4731149.0821646014</v>
      </c>
      <c r="F19" s="88">
        <f t="shared" ref="F19:L19" si="3">F11+F16</f>
        <v>3080230.8477482609</v>
      </c>
      <c r="G19" s="88">
        <f t="shared" si="3"/>
        <v>1198897.6173955933</v>
      </c>
      <c r="H19" s="88">
        <f t="shared" si="3"/>
        <v>231557.92375746992</v>
      </c>
      <c r="I19" s="88">
        <f t="shared" si="3"/>
        <v>114248.15667416484</v>
      </c>
      <c r="J19" s="88">
        <f t="shared" si="3"/>
        <v>12444.894306491035</v>
      </c>
      <c r="K19" s="88">
        <f t="shared" si="3"/>
        <v>87517.08812843042</v>
      </c>
      <c r="L19" s="88">
        <f t="shared" si="3"/>
        <v>6252.5541541906387</v>
      </c>
      <c r="N19" s="718">
        <f t="shared" ref="N19" si="4">SUM(F19:L19)-E19</f>
        <v>0</v>
      </c>
      <c r="O19" s="720"/>
    </row>
    <row r="20" spans="1:15" s="86" customFormat="1" x14ac:dyDescent="0.25">
      <c r="B20" s="86" t="s">
        <v>137</v>
      </c>
      <c r="E20" s="504">
        <f>'2019 GRC'!J40</f>
        <v>0.95255299999999998</v>
      </c>
      <c r="F20" s="88"/>
      <c r="G20" s="88"/>
      <c r="H20" s="88"/>
      <c r="I20" s="88"/>
      <c r="J20" s="88"/>
      <c r="K20" s="88"/>
      <c r="L20" s="88"/>
      <c r="N20" s="718"/>
      <c r="O20" s="720"/>
    </row>
    <row r="21" spans="1:15" s="86" customFormat="1" x14ac:dyDescent="0.25">
      <c r="B21" s="87" t="s">
        <v>138</v>
      </c>
      <c r="C21" s="87"/>
      <c r="D21" s="87"/>
      <c r="E21" s="93">
        <f>E19/$E$20</f>
        <v>4966809.2821760066</v>
      </c>
      <c r="F21" s="93">
        <f t="shared" ref="F21:L21" si="5">F19/$E$20</f>
        <v>3233658.2297764649</v>
      </c>
      <c r="G21" s="93">
        <f t="shared" si="5"/>
        <v>1258615.1294422392</v>
      </c>
      <c r="H21" s="93">
        <f t="shared" si="5"/>
        <v>243091.90539263425</v>
      </c>
      <c r="I21" s="93">
        <f t="shared" si="5"/>
        <v>119938.8975460314</v>
      </c>
      <c r="J21" s="93">
        <f t="shared" si="5"/>
        <v>13064.778869512809</v>
      </c>
      <c r="K21" s="93">
        <f t="shared" si="5"/>
        <v>91876.345073114484</v>
      </c>
      <c r="L21" s="93">
        <f t="shared" si="5"/>
        <v>6563.9960760090398</v>
      </c>
      <c r="N21" s="718">
        <f t="shared" ref="N21" si="6">SUM(F21:L21)-E21</f>
        <v>0</v>
      </c>
      <c r="O21" s="718">
        <f>E21-'Summary - Revenue Requirement'!B12</f>
        <v>0</v>
      </c>
    </row>
    <row r="22" spans="1:15" s="86" customFormat="1" x14ac:dyDescent="0.25">
      <c r="F22" s="88"/>
      <c r="G22" s="88"/>
      <c r="H22" s="88"/>
      <c r="I22" s="88"/>
      <c r="J22" s="88"/>
      <c r="K22" s="88"/>
      <c r="L22" s="88"/>
      <c r="N22" s="718"/>
      <c r="O22" s="720"/>
    </row>
    <row r="23" spans="1:15" s="217" customFormat="1" x14ac:dyDescent="0.25">
      <c r="A23" s="86"/>
      <c r="B23" s="86" t="s">
        <v>139</v>
      </c>
      <c r="C23" s="86"/>
      <c r="D23" s="86"/>
      <c r="E23" s="505">
        <f>SUM(F23:L23)</f>
        <v>0.99999999999999989</v>
      </c>
      <c r="F23" s="505">
        <f>F21/$E21</f>
        <v>0.65105343210596733</v>
      </c>
      <c r="G23" s="505">
        <f t="shared" ref="G23:L23" si="7">G21/$E21</f>
        <v>0.25340516575881644</v>
      </c>
      <c r="H23" s="505">
        <f t="shared" si="7"/>
        <v>4.8943273554915595E-2</v>
      </c>
      <c r="I23" s="505">
        <f t="shared" si="7"/>
        <v>2.414807791723483E-2</v>
      </c>
      <c r="J23" s="505">
        <f t="shared" si="7"/>
        <v>2.6304168586455175E-3</v>
      </c>
      <c r="K23" s="505">
        <f t="shared" si="7"/>
        <v>1.8498061804552032E-2</v>
      </c>
      <c r="L23" s="505">
        <f t="shared" si="7"/>
        <v>1.3215719998681508E-3</v>
      </c>
      <c r="M23" s="86"/>
      <c r="N23" s="720"/>
      <c r="O23" s="720"/>
    </row>
    <row r="24" spans="1:15" customFormat="1" x14ac:dyDescent="0.25">
      <c r="A24" s="82"/>
      <c r="B24" s="82"/>
      <c r="C24" s="82"/>
      <c r="D24" s="82"/>
      <c r="E24" s="82"/>
      <c r="F24" s="85"/>
      <c r="G24" s="85"/>
      <c r="H24" s="85"/>
      <c r="I24" s="85"/>
      <c r="J24" s="85"/>
      <c r="K24" s="85"/>
      <c r="L24" s="85"/>
      <c r="M24" s="82"/>
      <c r="N24" s="721"/>
      <c r="O24" s="722"/>
    </row>
    <row r="25" spans="1:15" customFormat="1" x14ac:dyDescent="0.25">
      <c r="A25" s="82"/>
      <c r="B25" s="82"/>
      <c r="C25" s="82"/>
      <c r="D25" s="82"/>
      <c r="E25" s="82"/>
      <c r="F25" s="82"/>
      <c r="G25" s="82"/>
      <c r="H25" s="82"/>
      <c r="I25" s="82"/>
      <c r="J25" s="82"/>
      <c r="K25" s="82"/>
      <c r="L25" s="82"/>
      <c r="M25" s="82"/>
      <c r="N25" s="82"/>
      <c r="O25" s="86"/>
    </row>
    <row r="26" spans="1:15" customFormat="1" x14ac:dyDescent="0.25">
      <c r="A26" s="82"/>
      <c r="B26" s="82"/>
      <c r="C26" s="82"/>
      <c r="D26" s="82"/>
      <c r="E26" s="82"/>
      <c r="F26" s="82"/>
      <c r="G26" s="82"/>
      <c r="H26" s="82"/>
      <c r="I26" s="82"/>
      <c r="J26" s="82"/>
      <c r="K26" s="82"/>
      <c r="L26" s="82"/>
      <c r="M26" s="82"/>
      <c r="N26" s="82"/>
      <c r="O26" s="86"/>
    </row>
    <row r="27" spans="1:15" customFormat="1" x14ac:dyDescent="0.25">
      <c r="A27" s="82"/>
      <c r="B27" s="82"/>
      <c r="C27" s="82"/>
      <c r="D27" s="82"/>
      <c r="E27" s="82"/>
      <c r="F27" s="82"/>
      <c r="G27" s="82"/>
      <c r="H27" s="82"/>
      <c r="I27" s="82"/>
      <c r="J27" s="82"/>
      <c r="K27" s="82"/>
      <c r="L27" s="82"/>
      <c r="M27" s="82"/>
      <c r="N27" s="82"/>
      <c r="O27" s="86"/>
    </row>
    <row r="28" spans="1:15" customFormat="1" x14ac:dyDescent="0.25">
      <c r="A28" s="82"/>
      <c r="B28" s="82"/>
      <c r="C28" s="82"/>
      <c r="D28" s="82"/>
      <c r="E28" s="82"/>
      <c r="F28" s="82"/>
      <c r="G28" s="82"/>
      <c r="H28" s="82"/>
      <c r="I28" s="82"/>
      <c r="J28" s="82"/>
      <c r="K28" s="82"/>
      <c r="L28" s="82"/>
      <c r="M28" s="82"/>
      <c r="N28" s="82"/>
    </row>
    <row r="29" spans="1:15" customFormat="1" x14ac:dyDescent="0.25">
      <c r="A29" s="82"/>
      <c r="B29" s="82"/>
      <c r="C29" s="82"/>
      <c r="D29" s="82"/>
      <c r="E29" s="82"/>
      <c r="F29" s="82"/>
      <c r="G29" s="82"/>
      <c r="H29" s="82"/>
      <c r="I29" s="82"/>
      <c r="J29" s="82"/>
      <c r="K29" s="82"/>
      <c r="L29" s="82"/>
      <c r="M29" s="82"/>
      <c r="N29" s="82"/>
    </row>
    <row r="30" spans="1:15" customFormat="1" x14ac:dyDescent="0.25">
      <c r="A30" s="82"/>
      <c r="B30" s="82"/>
      <c r="C30" s="82"/>
      <c r="D30" s="82"/>
      <c r="E30" s="82"/>
      <c r="F30" s="82"/>
      <c r="G30" s="82"/>
      <c r="H30" s="82"/>
      <c r="I30" s="82"/>
      <c r="J30" s="82"/>
      <c r="K30" s="82"/>
      <c r="L30" s="82"/>
      <c r="M30" s="82"/>
      <c r="N30" s="82"/>
    </row>
    <row r="31" spans="1:15" customFormat="1" x14ac:dyDescent="0.25">
      <c r="A31" s="82"/>
      <c r="B31" s="82"/>
      <c r="C31" s="82"/>
      <c r="D31" s="82"/>
      <c r="E31" s="82"/>
      <c r="F31" s="82"/>
      <c r="G31" s="82"/>
      <c r="H31" s="82"/>
      <c r="I31" s="82"/>
      <c r="J31" s="82"/>
      <c r="K31" s="82"/>
      <c r="L31" s="82"/>
      <c r="M31" s="82"/>
      <c r="N31" s="82"/>
    </row>
    <row r="32" spans="1:15" customFormat="1" x14ac:dyDescent="0.25">
      <c r="A32" s="82"/>
      <c r="B32" s="82"/>
      <c r="C32" s="82"/>
      <c r="D32" s="82"/>
      <c r="E32" s="82"/>
      <c r="F32" s="82"/>
      <c r="G32" s="82"/>
      <c r="H32" s="82"/>
      <c r="I32" s="82"/>
      <c r="J32" s="82"/>
      <c r="K32" s="82"/>
      <c r="L32" s="82"/>
      <c r="M32" s="82"/>
      <c r="N32" s="82"/>
    </row>
    <row r="33" spans="1:14" customFormat="1" x14ac:dyDescent="0.25">
      <c r="A33" s="82"/>
      <c r="B33" s="82"/>
      <c r="C33" s="82"/>
      <c r="D33" s="82"/>
      <c r="E33" s="82"/>
      <c r="F33" s="82"/>
      <c r="G33" s="82"/>
      <c r="H33" s="82"/>
      <c r="I33" s="82"/>
      <c r="J33" s="82"/>
      <c r="K33" s="82"/>
      <c r="L33" s="82"/>
      <c r="M33" s="82"/>
      <c r="N33" s="82"/>
    </row>
    <row r="34" spans="1:14" customFormat="1" x14ac:dyDescent="0.25">
      <c r="A34" s="82"/>
      <c r="B34" s="82"/>
      <c r="C34" s="82"/>
      <c r="D34" s="82"/>
      <c r="E34" s="82"/>
      <c r="F34" s="82"/>
      <c r="G34" s="82"/>
      <c r="H34" s="82"/>
      <c r="I34" s="82"/>
      <c r="J34" s="82"/>
      <c r="K34" s="82"/>
      <c r="L34" s="82"/>
      <c r="M34" s="82"/>
      <c r="N34" s="82"/>
    </row>
    <row r="35" spans="1:14" customFormat="1" x14ac:dyDescent="0.25">
      <c r="A35" s="82"/>
      <c r="B35" s="82"/>
      <c r="C35" s="82"/>
      <c r="D35" s="82"/>
      <c r="E35" s="82"/>
      <c r="F35" s="82"/>
      <c r="G35" s="82"/>
      <c r="H35" s="82"/>
      <c r="I35" s="82"/>
      <c r="J35" s="82"/>
      <c r="K35" s="82"/>
      <c r="L35" s="82"/>
      <c r="M35" s="82"/>
      <c r="N35" s="82"/>
    </row>
    <row r="36" spans="1:14" customFormat="1" x14ac:dyDescent="0.25">
      <c r="A36" s="82"/>
      <c r="B36" s="82"/>
      <c r="C36" s="82"/>
      <c r="D36" s="82"/>
      <c r="E36" s="82"/>
      <c r="F36" s="82"/>
      <c r="G36" s="82"/>
      <c r="H36" s="82"/>
      <c r="I36" s="82"/>
      <c r="J36" s="82"/>
      <c r="K36" s="82"/>
      <c r="L36" s="82"/>
      <c r="M36" s="82"/>
      <c r="N36" s="82"/>
    </row>
    <row r="37" spans="1:14" customFormat="1" x14ac:dyDescent="0.25">
      <c r="A37" s="82"/>
      <c r="B37" s="82"/>
      <c r="C37" s="82"/>
      <c r="D37" s="82"/>
      <c r="E37" s="82"/>
      <c r="F37" s="82"/>
      <c r="G37" s="82"/>
      <c r="H37" s="82"/>
      <c r="I37" s="82"/>
      <c r="J37" s="82"/>
      <c r="K37" s="82"/>
      <c r="L37" s="82"/>
      <c r="M37" s="82"/>
      <c r="N37" s="82"/>
    </row>
    <row r="38" spans="1:14" customFormat="1" x14ac:dyDescent="0.25">
      <c r="A38" s="82"/>
      <c r="B38" s="82"/>
      <c r="C38" s="82"/>
      <c r="D38" s="82"/>
      <c r="E38" s="82"/>
      <c r="F38" s="82"/>
      <c r="G38" s="82"/>
      <c r="H38" s="82"/>
      <c r="I38" s="82"/>
      <c r="J38" s="82"/>
      <c r="K38" s="82"/>
      <c r="L38" s="82"/>
      <c r="M38" s="82"/>
      <c r="N38" s="82"/>
    </row>
    <row r="39" spans="1:14" customFormat="1" x14ac:dyDescent="0.25">
      <c r="A39" s="82"/>
      <c r="B39" s="82"/>
      <c r="C39" s="82"/>
      <c r="D39" s="82"/>
      <c r="E39" s="82"/>
      <c r="F39" s="82"/>
      <c r="G39" s="82"/>
      <c r="H39" s="82"/>
      <c r="I39" s="82"/>
      <c r="J39" s="82"/>
      <c r="K39" s="82"/>
      <c r="L39" s="82"/>
      <c r="M39" s="82"/>
      <c r="N39" s="82"/>
    </row>
    <row r="40" spans="1:14" customFormat="1" x14ac:dyDescent="0.25">
      <c r="A40" s="82"/>
      <c r="B40" s="82"/>
      <c r="C40" s="82"/>
      <c r="D40" s="82"/>
      <c r="E40" s="82"/>
      <c r="F40" s="82"/>
      <c r="G40" s="82"/>
      <c r="H40" s="82"/>
      <c r="I40" s="82"/>
      <c r="J40" s="82"/>
      <c r="K40" s="82"/>
      <c r="L40" s="82"/>
      <c r="M40" s="82"/>
      <c r="N40" s="82"/>
    </row>
    <row r="41" spans="1:14" customFormat="1" x14ac:dyDescent="0.25">
      <c r="A41" s="82"/>
      <c r="B41" s="82"/>
      <c r="C41" s="82"/>
      <c r="D41" s="82"/>
      <c r="E41" s="82"/>
      <c r="F41" s="82"/>
      <c r="G41" s="82"/>
      <c r="H41" s="82"/>
      <c r="I41" s="82"/>
      <c r="J41" s="82"/>
      <c r="K41" s="82"/>
      <c r="L41" s="82"/>
      <c r="M41" s="82"/>
      <c r="N41" s="82"/>
    </row>
    <row r="42" spans="1:14" customFormat="1" x14ac:dyDescent="0.25">
      <c r="A42" s="82"/>
      <c r="B42" s="82"/>
      <c r="C42" s="82"/>
      <c r="D42" s="82"/>
      <c r="E42" s="82"/>
      <c r="F42" s="82"/>
      <c r="G42" s="82"/>
      <c r="H42" s="82"/>
      <c r="I42" s="82"/>
      <c r="J42" s="82"/>
      <c r="K42" s="82"/>
      <c r="L42" s="82"/>
      <c r="M42" s="82"/>
      <c r="N42" s="82"/>
    </row>
    <row r="43" spans="1:14" customFormat="1" x14ac:dyDescent="0.25">
      <c r="A43" s="82"/>
      <c r="B43" s="82"/>
      <c r="C43" s="82"/>
      <c r="D43" s="82"/>
      <c r="E43" s="82"/>
      <c r="F43" s="82"/>
      <c r="G43" s="82"/>
      <c r="H43" s="82"/>
      <c r="I43" s="82"/>
      <c r="J43" s="82"/>
      <c r="K43" s="82"/>
      <c r="L43" s="82"/>
      <c r="M43" s="82"/>
      <c r="N43" s="82"/>
    </row>
    <row r="44" spans="1:14" customFormat="1" x14ac:dyDescent="0.25">
      <c r="A44" s="82"/>
      <c r="B44" s="82"/>
      <c r="C44" s="82"/>
      <c r="D44" s="82"/>
      <c r="E44" s="82"/>
      <c r="F44" s="82"/>
      <c r="G44" s="82"/>
      <c r="H44" s="82"/>
      <c r="I44" s="82"/>
      <c r="J44" s="82"/>
      <c r="K44" s="82"/>
      <c r="L44" s="82"/>
      <c r="M44" s="82"/>
      <c r="N44" s="82"/>
    </row>
    <row r="45" spans="1:14" customFormat="1" x14ac:dyDescent="0.25">
      <c r="A45" s="82"/>
      <c r="B45" s="82"/>
      <c r="C45" s="82"/>
      <c r="D45" s="82"/>
      <c r="E45" s="82"/>
      <c r="F45" s="82"/>
      <c r="G45" s="82"/>
      <c r="H45" s="82"/>
      <c r="I45" s="82"/>
      <c r="J45" s="82"/>
      <c r="K45" s="82"/>
      <c r="L45" s="82"/>
      <c r="M45" s="82"/>
      <c r="N45" s="82"/>
    </row>
    <row r="46" spans="1:14" customFormat="1" x14ac:dyDescent="0.25">
      <c r="A46" s="82"/>
      <c r="B46" s="82"/>
      <c r="C46" s="82"/>
      <c r="D46" s="82"/>
      <c r="E46" s="82"/>
      <c r="F46" s="82"/>
      <c r="G46" s="82"/>
      <c r="H46" s="82"/>
      <c r="I46" s="82"/>
      <c r="J46" s="82"/>
      <c r="K46" s="82"/>
      <c r="L46" s="82"/>
      <c r="M46" s="82"/>
      <c r="N46" s="82"/>
    </row>
    <row r="47" spans="1:14" customFormat="1" x14ac:dyDescent="0.25">
      <c r="A47" s="82"/>
      <c r="B47" s="82"/>
      <c r="C47" s="82"/>
      <c r="D47" s="82"/>
      <c r="E47" s="82"/>
      <c r="F47" s="82"/>
      <c r="G47" s="82"/>
      <c r="H47" s="82"/>
      <c r="I47" s="82"/>
      <c r="J47" s="82"/>
      <c r="K47" s="82"/>
      <c r="L47" s="82"/>
      <c r="M47" s="82"/>
      <c r="N47" s="82"/>
    </row>
    <row r="48" spans="1:14" customFormat="1" x14ac:dyDescent="0.25">
      <c r="A48" s="82"/>
      <c r="B48" s="82"/>
      <c r="C48" s="82"/>
      <c r="D48" s="82"/>
      <c r="E48" s="82"/>
      <c r="F48" s="82"/>
      <c r="G48" s="82"/>
      <c r="H48" s="82"/>
      <c r="I48" s="82"/>
      <c r="J48" s="82"/>
      <c r="K48" s="82"/>
      <c r="L48" s="82"/>
      <c r="M48" s="82"/>
      <c r="N48" s="82"/>
    </row>
    <row r="49" spans="1:14" customFormat="1" x14ac:dyDescent="0.25">
      <c r="A49" s="82"/>
      <c r="B49" s="82"/>
      <c r="C49" s="82"/>
      <c r="D49" s="82"/>
      <c r="E49" s="82"/>
      <c r="F49" s="82"/>
      <c r="G49" s="82"/>
      <c r="H49" s="82"/>
      <c r="I49" s="82"/>
      <c r="J49" s="82"/>
      <c r="K49" s="82"/>
      <c r="L49" s="82"/>
      <c r="M49" s="82"/>
      <c r="N49" s="82"/>
    </row>
    <row r="50" spans="1:14" customFormat="1" x14ac:dyDescent="0.25">
      <c r="A50" s="82"/>
      <c r="B50" s="82"/>
      <c r="C50" s="82"/>
      <c r="D50" s="82"/>
      <c r="E50" s="82"/>
      <c r="F50" s="82"/>
      <c r="G50" s="82"/>
      <c r="H50" s="82"/>
      <c r="I50" s="82"/>
      <c r="J50" s="82"/>
      <c r="K50" s="82"/>
      <c r="L50" s="82"/>
      <c r="M50" s="82"/>
      <c r="N50" s="82"/>
    </row>
    <row r="51" spans="1:14" customFormat="1" x14ac:dyDescent="0.25">
      <c r="A51" s="82"/>
      <c r="B51" s="82"/>
      <c r="C51" s="82"/>
      <c r="D51" s="82"/>
      <c r="E51" s="82"/>
      <c r="F51" s="82"/>
      <c r="G51" s="82"/>
      <c r="H51" s="82"/>
      <c r="I51" s="82"/>
      <c r="J51" s="82"/>
      <c r="K51" s="82"/>
      <c r="L51" s="82"/>
      <c r="M51" s="82"/>
      <c r="N51" s="82"/>
    </row>
    <row r="52" spans="1:14" customFormat="1" x14ac:dyDescent="0.25">
      <c r="A52" s="82"/>
      <c r="B52" s="82"/>
      <c r="C52" s="82"/>
      <c r="D52" s="82"/>
      <c r="E52" s="82"/>
      <c r="F52" s="82"/>
      <c r="G52" s="82"/>
      <c r="H52" s="82"/>
      <c r="I52" s="82"/>
      <c r="J52" s="82"/>
      <c r="K52" s="82"/>
      <c r="L52" s="82"/>
      <c r="M52" s="82"/>
      <c r="N52" s="82"/>
    </row>
    <row r="53" spans="1:14" customFormat="1" x14ac:dyDescent="0.25">
      <c r="A53" s="82"/>
      <c r="B53" s="82"/>
      <c r="C53" s="82"/>
      <c r="D53" s="82"/>
      <c r="E53" s="82"/>
      <c r="F53" s="82"/>
      <c r="G53" s="82"/>
      <c r="H53" s="82"/>
      <c r="I53" s="82"/>
      <c r="J53" s="82"/>
      <c r="K53" s="82"/>
      <c r="L53" s="82"/>
      <c r="M53" s="82"/>
      <c r="N53" s="82"/>
    </row>
    <row r="54" spans="1:14" customFormat="1" x14ac:dyDescent="0.25">
      <c r="A54" s="82"/>
      <c r="B54" s="82"/>
      <c r="C54" s="82"/>
      <c r="D54" s="82"/>
      <c r="E54" s="82"/>
      <c r="F54" s="82"/>
      <c r="G54" s="82"/>
      <c r="H54" s="82"/>
      <c r="I54" s="82"/>
      <c r="J54" s="82"/>
      <c r="K54" s="82"/>
      <c r="L54" s="82"/>
      <c r="M54" s="82"/>
      <c r="N54" s="82"/>
    </row>
    <row r="55" spans="1:14" customFormat="1" x14ac:dyDescent="0.25">
      <c r="A55" s="82"/>
      <c r="B55" s="82"/>
      <c r="C55" s="82"/>
      <c r="D55" s="82"/>
      <c r="E55" s="82"/>
      <c r="F55" s="82"/>
      <c r="G55" s="82"/>
      <c r="H55" s="82"/>
      <c r="I55" s="82"/>
      <c r="J55" s="82"/>
      <c r="K55" s="82"/>
      <c r="L55" s="82"/>
      <c r="M55" s="82"/>
      <c r="N55" s="82"/>
    </row>
    <row r="56" spans="1:14" customFormat="1" x14ac:dyDescent="0.25">
      <c r="A56" s="82"/>
      <c r="B56" s="82"/>
      <c r="C56" s="82"/>
      <c r="D56" s="82"/>
      <c r="E56" s="82"/>
      <c r="F56" s="82"/>
      <c r="G56" s="82"/>
      <c r="H56" s="82"/>
      <c r="I56" s="82"/>
      <c r="J56" s="82"/>
      <c r="K56" s="82"/>
      <c r="L56" s="82"/>
      <c r="M56" s="82"/>
      <c r="N56" s="82"/>
    </row>
    <row r="57" spans="1:14" customFormat="1" x14ac:dyDescent="0.25">
      <c r="A57" s="82"/>
      <c r="B57" s="82"/>
      <c r="C57" s="82"/>
      <c r="D57" s="82"/>
      <c r="E57" s="82"/>
      <c r="F57" s="82"/>
      <c r="G57" s="82"/>
      <c r="H57" s="82"/>
      <c r="I57" s="82"/>
      <c r="J57" s="82"/>
      <c r="K57" s="82"/>
      <c r="L57" s="82"/>
      <c r="M57" s="82"/>
      <c r="N57" s="82"/>
    </row>
    <row r="58" spans="1:14" customFormat="1" x14ac:dyDescent="0.25">
      <c r="A58" s="82"/>
      <c r="B58" s="82"/>
      <c r="C58" s="82"/>
      <c r="D58" s="82"/>
      <c r="E58" s="82"/>
      <c r="F58" s="82"/>
      <c r="G58" s="82"/>
      <c r="H58" s="82"/>
      <c r="I58" s="82"/>
      <c r="J58" s="82"/>
      <c r="K58" s="82"/>
      <c r="L58" s="82"/>
      <c r="M58" s="82"/>
      <c r="N58" s="82"/>
    </row>
    <row r="59" spans="1:14" customFormat="1" x14ac:dyDescent="0.25">
      <c r="A59" s="82"/>
      <c r="B59" s="82"/>
      <c r="C59" s="82"/>
      <c r="D59" s="82"/>
      <c r="E59" s="82"/>
      <c r="F59" s="82"/>
      <c r="G59" s="82"/>
      <c r="H59" s="82"/>
      <c r="I59" s="82"/>
      <c r="J59" s="82"/>
      <c r="K59" s="82"/>
      <c r="L59" s="82"/>
      <c r="M59" s="82"/>
      <c r="N59" s="82"/>
    </row>
    <row r="60" spans="1:14" customFormat="1" x14ac:dyDescent="0.25">
      <c r="A60" s="82"/>
      <c r="B60" s="82"/>
      <c r="C60" s="82"/>
      <c r="D60" s="82"/>
      <c r="E60" s="82"/>
      <c r="F60" s="82"/>
      <c r="G60" s="82"/>
      <c r="H60" s="82"/>
      <c r="I60" s="82"/>
      <c r="J60" s="82"/>
      <c r="K60" s="82"/>
      <c r="L60" s="82"/>
      <c r="M60" s="82"/>
      <c r="N60" s="82"/>
    </row>
    <row r="61" spans="1:14" customFormat="1" x14ac:dyDescent="0.25">
      <c r="A61" s="82"/>
      <c r="B61" s="82"/>
      <c r="C61" s="82"/>
      <c r="D61" s="82"/>
      <c r="E61" s="82"/>
      <c r="F61" s="82"/>
      <c r="G61" s="82"/>
      <c r="H61" s="82"/>
      <c r="I61" s="82"/>
      <c r="J61" s="82"/>
      <c r="K61" s="82"/>
      <c r="L61" s="82"/>
      <c r="M61" s="82"/>
      <c r="N61" s="82"/>
    </row>
    <row r="62" spans="1:14" customFormat="1" x14ac:dyDescent="0.25">
      <c r="A62" s="82"/>
      <c r="B62" s="82"/>
      <c r="C62" s="82"/>
      <c r="D62" s="82"/>
      <c r="E62" s="82"/>
      <c r="F62" s="82"/>
      <c r="G62" s="82"/>
      <c r="H62" s="82"/>
      <c r="I62" s="82"/>
      <c r="J62" s="82"/>
      <c r="K62" s="82"/>
      <c r="L62" s="82"/>
      <c r="M62" s="82"/>
      <c r="N62" s="82"/>
    </row>
    <row r="63" spans="1:14" customFormat="1" x14ac:dyDescent="0.25">
      <c r="A63" s="82"/>
      <c r="B63" s="82"/>
      <c r="C63" s="82"/>
      <c r="D63" s="82"/>
      <c r="E63" s="82"/>
      <c r="F63" s="82"/>
      <c r="G63" s="82"/>
      <c r="H63" s="82"/>
      <c r="I63" s="82"/>
      <c r="J63" s="82"/>
      <c r="K63" s="82"/>
      <c r="L63" s="82"/>
      <c r="M63" s="82"/>
      <c r="N63" s="82"/>
    </row>
    <row r="64" spans="1:14" customFormat="1" x14ac:dyDescent="0.25">
      <c r="A64" s="82"/>
      <c r="B64" s="82"/>
      <c r="C64" s="82"/>
      <c r="D64" s="82"/>
      <c r="E64" s="82"/>
      <c r="F64" s="82"/>
      <c r="G64" s="82"/>
      <c r="H64" s="82"/>
      <c r="I64" s="82"/>
      <c r="J64" s="82"/>
      <c r="K64" s="82"/>
      <c r="L64" s="82"/>
      <c r="M64" s="82"/>
      <c r="N64" s="82"/>
    </row>
    <row r="65" spans="1:14" customFormat="1" x14ac:dyDescent="0.25">
      <c r="A65" s="82"/>
      <c r="B65" s="82"/>
      <c r="C65" s="82"/>
      <c r="D65" s="82"/>
      <c r="E65" s="82"/>
      <c r="F65" s="82"/>
      <c r="G65" s="82"/>
      <c r="H65" s="82"/>
      <c r="I65" s="82"/>
      <c r="J65" s="82"/>
      <c r="K65" s="82"/>
      <c r="L65" s="82"/>
      <c r="M65" s="82"/>
      <c r="N65" s="82"/>
    </row>
    <row r="66" spans="1:14" customFormat="1" x14ac:dyDescent="0.25">
      <c r="A66" s="82"/>
      <c r="B66" s="82"/>
      <c r="C66" s="82"/>
      <c r="D66" s="82"/>
      <c r="E66" s="82"/>
      <c r="F66" s="82"/>
      <c r="G66" s="82"/>
      <c r="H66" s="82"/>
      <c r="I66" s="82"/>
      <c r="J66" s="82"/>
      <c r="K66" s="82"/>
      <c r="L66" s="82"/>
      <c r="M66" s="82"/>
      <c r="N66" s="82"/>
    </row>
    <row r="67" spans="1:14" customFormat="1" x14ac:dyDescent="0.25">
      <c r="A67" s="82"/>
      <c r="B67" s="82"/>
      <c r="C67" s="82"/>
      <c r="D67" s="82"/>
      <c r="E67" s="82"/>
      <c r="F67" s="82"/>
      <c r="G67" s="82"/>
      <c r="H67" s="82"/>
      <c r="I67" s="82"/>
      <c r="J67" s="82"/>
      <c r="K67" s="82"/>
      <c r="L67" s="82"/>
      <c r="M67" s="82"/>
      <c r="N67" s="82"/>
    </row>
    <row r="68" spans="1:14" customFormat="1" x14ac:dyDescent="0.25">
      <c r="A68" s="82"/>
      <c r="B68" s="82"/>
      <c r="C68" s="82"/>
      <c r="D68" s="82"/>
      <c r="E68" s="82"/>
      <c r="F68" s="82"/>
      <c r="G68" s="82"/>
      <c r="H68" s="82"/>
      <c r="I68" s="82"/>
      <c r="J68" s="82"/>
      <c r="K68" s="82"/>
      <c r="L68" s="82"/>
      <c r="M68" s="82"/>
      <c r="N68" s="82"/>
    </row>
    <row r="69" spans="1:14" customFormat="1" x14ac:dyDescent="0.25">
      <c r="A69" s="82"/>
      <c r="B69" s="82"/>
      <c r="C69" s="82"/>
      <c r="D69" s="82"/>
      <c r="E69" s="82"/>
      <c r="F69" s="82"/>
      <c r="G69" s="82"/>
      <c r="H69" s="82"/>
      <c r="I69" s="82"/>
      <c r="J69" s="82"/>
      <c r="K69" s="82"/>
      <c r="L69" s="82"/>
      <c r="M69" s="82"/>
      <c r="N69" s="82"/>
    </row>
    <row r="70" spans="1:14" customFormat="1" x14ac:dyDescent="0.25">
      <c r="A70" s="82"/>
      <c r="B70" s="82"/>
      <c r="C70" s="82"/>
      <c r="D70" s="82"/>
      <c r="E70" s="82"/>
      <c r="F70" s="82"/>
      <c r="G70" s="82"/>
      <c r="H70" s="82"/>
      <c r="I70" s="82"/>
      <c r="J70" s="82"/>
      <c r="K70" s="82"/>
      <c r="L70" s="82"/>
      <c r="M70" s="82"/>
      <c r="N70" s="82"/>
    </row>
    <row r="71" spans="1:14" customFormat="1" x14ac:dyDescent="0.25">
      <c r="A71" s="82"/>
      <c r="B71" s="82"/>
      <c r="C71" s="82"/>
      <c r="D71" s="82"/>
      <c r="E71" s="82"/>
      <c r="F71" s="82"/>
      <c r="G71" s="82"/>
      <c r="H71" s="82"/>
      <c r="I71" s="82"/>
      <c r="J71" s="82"/>
      <c r="K71" s="82"/>
      <c r="L71" s="82"/>
      <c r="M71" s="82"/>
      <c r="N71" s="82"/>
    </row>
    <row r="72" spans="1:14" customFormat="1" x14ac:dyDescent="0.25">
      <c r="A72" s="82"/>
      <c r="B72" s="82"/>
      <c r="C72" s="82"/>
      <c r="D72" s="82"/>
      <c r="E72" s="82"/>
      <c r="F72" s="82"/>
      <c r="G72" s="82"/>
      <c r="H72" s="82"/>
      <c r="I72" s="82"/>
      <c r="J72" s="82"/>
      <c r="K72" s="82"/>
      <c r="L72" s="82"/>
      <c r="M72" s="82"/>
      <c r="N72" s="82"/>
    </row>
    <row r="73" spans="1:14" customFormat="1" x14ac:dyDescent="0.25">
      <c r="A73" s="82"/>
      <c r="B73" s="82"/>
      <c r="C73" s="82"/>
      <c r="D73" s="82"/>
      <c r="E73" s="82"/>
      <c r="F73" s="82"/>
      <c r="G73" s="82"/>
      <c r="H73" s="82"/>
      <c r="I73" s="82"/>
      <c r="J73" s="82"/>
      <c r="K73" s="82"/>
      <c r="L73" s="82"/>
      <c r="M73" s="82"/>
      <c r="N73" s="82"/>
    </row>
    <row r="74" spans="1:14" customFormat="1" x14ac:dyDescent="0.25">
      <c r="A74" s="82"/>
      <c r="B74" s="82"/>
      <c r="C74" s="82"/>
      <c r="D74" s="82"/>
      <c r="E74" s="82"/>
      <c r="F74" s="82"/>
      <c r="G74" s="82"/>
      <c r="H74" s="82"/>
      <c r="I74" s="82"/>
      <c r="J74" s="82"/>
      <c r="K74" s="82"/>
      <c r="L74" s="82"/>
      <c r="M74" s="82"/>
      <c r="N74" s="82"/>
    </row>
    <row r="75" spans="1:14" customFormat="1" x14ac:dyDescent="0.25">
      <c r="A75" s="82"/>
      <c r="B75" s="82"/>
      <c r="C75" s="82"/>
      <c r="D75" s="82"/>
      <c r="E75" s="82"/>
      <c r="F75" s="82"/>
      <c r="G75" s="82"/>
      <c r="H75" s="82"/>
      <c r="I75" s="82"/>
      <c r="J75" s="82"/>
      <c r="K75" s="82"/>
      <c r="L75" s="82"/>
      <c r="M75" s="82"/>
      <c r="N75" s="82"/>
    </row>
    <row r="76" spans="1:14" customFormat="1" x14ac:dyDescent="0.25">
      <c r="A76" s="82"/>
      <c r="B76" s="82"/>
      <c r="C76" s="82"/>
      <c r="D76" s="82"/>
      <c r="E76" s="82"/>
      <c r="F76" s="82"/>
      <c r="G76" s="82"/>
      <c r="H76" s="82"/>
      <c r="I76" s="82"/>
      <c r="J76" s="82"/>
      <c r="K76" s="82"/>
      <c r="L76" s="82"/>
      <c r="M76" s="82"/>
      <c r="N76" s="82"/>
    </row>
    <row r="77" spans="1:14" customFormat="1" x14ac:dyDescent="0.25">
      <c r="A77" s="82"/>
      <c r="B77" s="82"/>
      <c r="C77" s="82"/>
      <c r="D77" s="82"/>
      <c r="E77" s="82"/>
      <c r="F77" s="82"/>
      <c r="G77" s="82"/>
      <c r="H77" s="82"/>
      <c r="I77" s="82"/>
      <c r="J77" s="82"/>
      <c r="K77" s="82"/>
      <c r="L77" s="82"/>
      <c r="M77" s="82"/>
      <c r="N77" s="82"/>
    </row>
    <row r="78" spans="1:14" customFormat="1" x14ac:dyDescent="0.25">
      <c r="A78" s="82"/>
      <c r="B78" s="82"/>
      <c r="C78" s="82"/>
      <c r="D78" s="82"/>
      <c r="E78" s="82"/>
      <c r="F78" s="82"/>
      <c r="G78" s="82"/>
      <c r="H78" s="82"/>
      <c r="I78" s="82"/>
      <c r="J78" s="82"/>
      <c r="K78" s="82"/>
      <c r="L78" s="82"/>
      <c r="M78" s="82"/>
      <c r="N78" s="82"/>
    </row>
    <row r="79" spans="1:14" customFormat="1" x14ac:dyDescent="0.25">
      <c r="A79" s="82"/>
      <c r="B79" s="82"/>
      <c r="C79" s="82"/>
      <c r="D79" s="82"/>
      <c r="E79" s="82"/>
      <c r="F79" s="82"/>
      <c r="G79" s="82"/>
      <c r="H79" s="82"/>
      <c r="I79" s="82"/>
      <c r="J79" s="82"/>
      <c r="K79" s="82"/>
      <c r="L79" s="82"/>
      <c r="M79" s="82"/>
      <c r="N79" s="82"/>
    </row>
    <row r="80" spans="1:14" customFormat="1" x14ac:dyDescent="0.25">
      <c r="A80" s="82"/>
      <c r="B80" s="82"/>
      <c r="C80" s="82"/>
      <c r="D80" s="82"/>
      <c r="E80" s="82"/>
      <c r="F80" s="82"/>
      <c r="G80" s="82"/>
      <c r="H80" s="82"/>
      <c r="I80" s="82"/>
      <c r="J80" s="82"/>
      <c r="K80" s="82"/>
      <c r="L80" s="82"/>
      <c r="M80" s="82"/>
      <c r="N80" s="82"/>
    </row>
    <row r="81" spans="1:14" customFormat="1" x14ac:dyDescent="0.25">
      <c r="A81" s="82"/>
      <c r="B81" s="82"/>
      <c r="C81" s="82"/>
      <c r="D81" s="82"/>
      <c r="E81" s="82"/>
      <c r="F81" s="82"/>
      <c r="G81" s="82"/>
      <c r="H81" s="82"/>
      <c r="I81" s="82"/>
      <c r="J81" s="82"/>
      <c r="K81" s="82"/>
      <c r="L81" s="82"/>
      <c r="M81" s="82"/>
      <c r="N81" s="82"/>
    </row>
    <row r="82" spans="1:14" customFormat="1" x14ac:dyDescent="0.25">
      <c r="A82" s="82"/>
      <c r="B82" s="82"/>
      <c r="C82" s="82"/>
      <c r="D82" s="82"/>
      <c r="E82" s="82"/>
      <c r="F82" s="82"/>
      <c r="G82" s="82"/>
      <c r="H82" s="82"/>
      <c r="I82" s="82"/>
      <c r="J82" s="82"/>
      <c r="K82" s="82"/>
      <c r="L82" s="82"/>
      <c r="M82" s="82"/>
      <c r="N82" s="82"/>
    </row>
    <row r="83" spans="1:14" customFormat="1" x14ac:dyDescent="0.25">
      <c r="A83" s="82"/>
      <c r="B83" s="82"/>
      <c r="C83" s="82"/>
      <c r="D83" s="82"/>
      <c r="E83" s="82"/>
      <c r="F83" s="82"/>
      <c r="G83" s="82"/>
      <c r="H83" s="82"/>
      <c r="I83" s="82"/>
      <c r="J83" s="82"/>
      <c r="K83" s="82"/>
      <c r="L83" s="82"/>
      <c r="M83" s="82"/>
      <c r="N83" s="82"/>
    </row>
    <row r="84" spans="1:14" customFormat="1" x14ac:dyDescent="0.25">
      <c r="A84" s="82"/>
      <c r="B84" s="82"/>
      <c r="C84" s="82"/>
      <c r="D84" s="82"/>
      <c r="E84" s="82"/>
      <c r="F84" s="82"/>
      <c r="G84" s="82"/>
      <c r="H84" s="82"/>
      <c r="I84" s="82"/>
      <c r="J84" s="82"/>
      <c r="K84" s="82"/>
      <c r="L84" s="82"/>
      <c r="M84" s="82"/>
      <c r="N84" s="82"/>
    </row>
    <row r="85" spans="1:14" customFormat="1" x14ac:dyDescent="0.25">
      <c r="A85" s="82"/>
      <c r="B85" s="82"/>
      <c r="C85" s="82"/>
      <c r="D85" s="82"/>
      <c r="E85" s="82"/>
      <c r="F85" s="82"/>
      <c r="G85" s="82"/>
      <c r="H85" s="82"/>
      <c r="I85" s="82"/>
      <c r="J85" s="82"/>
      <c r="K85" s="82"/>
      <c r="L85" s="82"/>
      <c r="M85" s="82"/>
      <c r="N85" s="82"/>
    </row>
    <row r="86" spans="1:14" customFormat="1" x14ac:dyDescent="0.25">
      <c r="A86" s="82"/>
      <c r="B86" s="82"/>
      <c r="C86" s="82"/>
      <c r="D86" s="82"/>
      <c r="E86" s="82"/>
      <c r="F86" s="82"/>
      <c r="G86" s="82"/>
      <c r="H86" s="82"/>
      <c r="I86" s="82"/>
      <c r="J86" s="82"/>
      <c r="K86" s="82"/>
      <c r="L86" s="82"/>
      <c r="M86" s="82"/>
      <c r="N86" s="82"/>
    </row>
    <row r="87" spans="1:14" customFormat="1" x14ac:dyDescent="0.25">
      <c r="A87" s="82"/>
      <c r="B87" s="82"/>
      <c r="C87" s="82"/>
      <c r="D87" s="82"/>
      <c r="E87" s="82"/>
      <c r="F87" s="82"/>
      <c r="G87" s="82"/>
      <c r="H87" s="82"/>
      <c r="I87" s="82"/>
      <c r="J87" s="82"/>
      <c r="K87" s="82"/>
      <c r="L87" s="82"/>
      <c r="M87" s="82"/>
      <c r="N87" s="82"/>
    </row>
    <row r="88" spans="1:14" customFormat="1" x14ac:dyDescent="0.25">
      <c r="A88" s="82"/>
      <c r="B88" s="82"/>
      <c r="C88" s="82"/>
      <c r="D88" s="82"/>
      <c r="E88" s="82"/>
      <c r="F88" s="82"/>
      <c r="G88" s="82"/>
      <c r="H88" s="82"/>
      <c r="I88" s="82"/>
      <c r="J88" s="82"/>
      <c r="K88" s="82"/>
      <c r="L88" s="82"/>
      <c r="M88" s="82"/>
      <c r="N88" s="82"/>
    </row>
    <row r="89" spans="1:14" customFormat="1" x14ac:dyDescent="0.25">
      <c r="A89" s="82"/>
      <c r="B89" s="82"/>
      <c r="C89" s="82"/>
      <c r="D89" s="82"/>
      <c r="E89" s="82"/>
      <c r="F89" s="82"/>
      <c r="G89" s="82"/>
      <c r="H89" s="82"/>
      <c r="I89" s="82"/>
      <c r="J89" s="82"/>
      <c r="K89" s="82"/>
      <c r="L89" s="82"/>
      <c r="M89" s="82"/>
      <c r="N89" s="82"/>
    </row>
    <row r="90" spans="1:14" customFormat="1" x14ac:dyDescent="0.25">
      <c r="A90" s="82"/>
      <c r="B90" s="82"/>
      <c r="C90" s="82"/>
      <c r="D90" s="82"/>
      <c r="E90" s="82"/>
      <c r="F90" s="82"/>
      <c r="G90" s="82"/>
      <c r="H90" s="82"/>
      <c r="I90" s="82"/>
      <c r="J90" s="82"/>
      <c r="K90" s="82"/>
      <c r="L90" s="82"/>
      <c r="M90" s="82"/>
      <c r="N90" s="82"/>
    </row>
    <row r="91" spans="1:14" customFormat="1" x14ac:dyDescent="0.25">
      <c r="A91" s="82"/>
      <c r="B91" s="82"/>
      <c r="C91" s="82"/>
      <c r="D91" s="82"/>
      <c r="E91" s="82"/>
      <c r="F91" s="82"/>
      <c r="G91" s="82"/>
      <c r="H91" s="82"/>
      <c r="I91" s="82"/>
      <c r="J91" s="82"/>
      <c r="K91" s="82"/>
      <c r="L91" s="82"/>
      <c r="M91" s="82"/>
      <c r="N91" s="82"/>
    </row>
    <row r="92" spans="1:14" customFormat="1" x14ac:dyDescent="0.25">
      <c r="A92" s="82"/>
      <c r="B92" s="82"/>
      <c r="C92" s="82"/>
      <c r="D92" s="82"/>
      <c r="E92" s="82"/>
      <c r="F92" s="82"/>
      <c r="G92" s="82"/>
      <c r="H92" s="82"/>
      <c r="I92" s="82"/>
      <c r="J92" s="82"/>
      <c r="K92" s="82"/>
      <c r="L92" s="82"/>
      <c r="M92" s="82"/>
      <c r="N92" s="82"/>
    </row>
    <row r="93" spans="1:14" customFormat="1" x14ac:dyDescent="0.25">
      <c r="A93" s="82"/>
      <c r="B93" s="82"/>
      <c r="C93" s="82"/>
      <c r="D93" s="82"/>
      <c r="E93" s="82"/>
      <c r="F93" s="82"/>
      <c r="G93" s="82"/>
      <c r="H93" s="82"/>
      <c r="I93" s="82"/>
      <c r="J93" s="82"/>
      <c r="K93" s="82"/>
      <c r="L93" s="82"/>
      <c r="M93" s="82"/>
      <c r="N93" s="82"/>
    </row>
    <row r="94" spans="1:14" customFormat="1" x14ac:dyDescent="0.25">
      <c r="A94" s="82"/>
      <c r="B94" s="82"/>
      <c r="C94" s="82"/>
      <c r="D94" s="82"/>
      <c r="E94" s="82"/>
      <c r="F94" s="82"/>
      <c r="G94" s="82"/>
      <c r="H94" s="82"/>
      <c r="I94" s="82"/>
      <c r="J94" s="82"/>
      <c r="K94" s="82"/>
      <c r="L94" s="82"/>
      <c r="M94" s="82"/>
      <c r="N94" s="82"/>
    </row>
    <row r="95" spans="1:14" customFormat="1" x14ac:dyDescent="0.25">
      <c r="A95" s="82"/>
      <c r="B95" s="82"/>
      <c r="C95" s="82"/>
      <c r="D95" s="82"/>
      <c r="E95" s="82"/>
      <c r="F95" s="82"/>
      <c r="G95" s="82"/>
      <c r="H95" s="82"/>
      <c r="I95" s="82"/>
      <c r="J95" s="82"/>
      <c r="K95" s="82"/>
      <c r="L95" s="82"/>
      <c r="M95" s="82"/>
      <c r="N95" s="82"/>
    </row>
    <row r="96" spans="1:14" customFormat="1" x14ac:dyDescent="0.25">
      <c r="A96" s="82"/>
      <c r="B96" s="82"/>
      <c r="C96" s="82"/>
      <c r="D96" s="82"/>
      <c r="E96" s="82"/>
      <c r="F96" s="82"/>
      <c r="G96" s="82"/>
      <c r="H96" s="82"/>
      <c r="I96" s="82"/>
      <c r="J96" s="82"/>
      <c r="K96" s="82"/>
      <c r="L96" s="82"/>
      <c r="M96" s="82"/>
      <c r="N96" s="82"/>
    </row>
    <row r="97" spans="1:14" customFormat="1" x14ac:dyDescent="0.25">
      <c r="A97" s="82"/>
      <c r="B97" s="82"/>
      <c r="C97" s="82"/>
      <c r="D97" s="82"/>
      <c r="E97" s="82"/>
      <c r="F97" s="82"/>
      <c r="G97" s="82"/>
      <c r="H97" s="82"/>
      <c r="I97" s="82"/>
      <c r="J97" s="82"/>
      <c r="K97" s="82"/>
      <c r="L97" s="82"/>
      <c r="M97" s="82"/>
      <c r="N97" s="82"/>
    </row>
    <row r="98" spans="1:14" customFormat="1" x14ac:dyDescent="0.25">
      <c r="A98" s="82"/>
      <c r="B98" s="82"/>
      <c r="C98" s="82"/>
      <c r="D98" s="82"/>
      <c r="E98" s="82"/>
      <c r="F98" s="82"/>
      <c r="G98" s="82"/>
      <c r="H98" s="82"/>
      <c r="I98" s="82"/>
      <c r="J98" s="82"/>
      <c r="K98" s="82"/>
      <c r="L98" s="82"/>
      <c r="M98" s="82"/>
      <c r="N98" s="82"/>
    </row>
    <row r="99" spans="1:14" customFormat="1" x14ac:dyDescent="0.25">
      <c r="A99" s="82"/>
      <c r="B99" s="82"/>
      <c r="C99" s="82"/>
      <c r="D99" s="82"/>
      <c r="E99" s="82"/>
      <c r="F99" s="82"/>
      <c r="G99" s="82"/>
      <c r="H99" s="82"/>
      <c r="I99" s="82"/>
      <c r="J99" s="82"/>
      <c r="K99" s="82"/>
      <c r="L99" s="82"/>
      <c r="M99" s="82"/>
      <c r="N99" s="82"/>
    </row>
    <row r="100" spans="1:14" customFormat="1" x14ac:dyDescent="0.25">
      <c r="A100" s="82"/>
      <c r="B100" s="82"/>
      <c r="C100" s="82"/>
      <c r="D100" s="82"/>
      <c r="E100" s="82"/>
      <c r="F100" s="82"/>
      <c r="G100" s="82"/>
      <c r="H100" s="82"/>
      <c r="I100" s="82"/>
      <c r="J100" s="82"/>
      <c r="K100" s="82"/>
      <c r="L100" s="82"/>
      <c r="M100" s="82"/>
      <c r="N100" s="82"/>
    </row>
    <row r="101" spans="1:14" customFormat="1" x14ac:dyDescent="0.25">
      <c r="A101" s="82"/>
      <c r="B101" s="82"/>
      <c r="C101" s="82"/>
      <c r="D101" s="82"/>
      <c r="E101" s="82"/>
      <c r="F101" s="82"/>
      <c r="G101" s="82"/>
      <c r="H101" s="82"/>
      <c r="I101" s="82"/>
      <c r="J101" s="82"/>
      <c r="K101" s="82"/>
      <c r="L101" s="82"/>
      <c r="M101" s="82"/>
      <c r="N101" s="82"/>
    </row>
    <row r="102" spans="1:14" customFormat="1" x14ac:dyDescent="0.25">
      <c r="A102" s="82"/>
      <c r="B102" s="82"/>
      <c r="C102" s="82"/>
      <c r="D102" s="82"/>
      <c r="E102" s="82"/>
      <c r="F102" s="82"/>
      <c r="G102" s="82"/>
      <c r="H102" s="82"/>
      <c r="I102" s="82"/>
      <c r="J102" s="82"/>
      <c r="K102" s="82"/>
      <c r="L102" s="82"/>
      <c r="M102" s="82"/>
      <c r="N102" s="82"/>
    </row>
    <row r="103" spans="1:14" customFormat="1" x14ac:dyDescent="0.25">
      <c r="A103" s="82"/>
      <c r="B103" s="82"/>
      <c r="C103" s="82"/>
      <c r="D103" s="82"/>
      <c r="E103" s="82"/>
      <c r="F103" s="82"/>
      <c r="G103" s="82"/>
      <c r="H103" s="82"/>
      <c r="I103" s="82"/>
      <c r="J103" s="82"/>
      <c r="K103" s="82"/>
      <c r="L103" s="82"/>
      <c r="M103" s="82"/>
      <c r="N103" s="82"/>
    </row>
    <row r="104" spans="1:14" customFormat="1" x14ac:dyDescent="0.25">
      <c r="A104" s="82"/>
      <c r="B104" s="82"/>
      <c r="C104" s="82"/>
      <c r="D104" s="82"/>
      <c r="E104" s="82"/>
      <c r="F104" s="82"/>
      <c r="G104" s="82"/>
      <c r="H104" s="82"/>
      <c r="I104" s="82"/>
      <c r="J104" s="82"/>
      <c r="K104" s="82"/>
      <c r="L104" s="82"/>
      <c r="M104" s="82"/>
      <c r="N104" s="82"/>
    </row>
    <row r="105" spans="1:14" customFormat="1" x14ac:dyDescent="0.25">
      <c r="A105" s="82"/>
      <c r="B105" s="82"/>
      <c r="C105" s="82"/>
      <c r="D105" s="82"/>
      <c r="E105" s="82"/>
      <c r="F105" s="82"/>
      <c r="G105" s="82"/>
      <c r="H105" s="82"/>
      <c r="I105" s="82"/>
      <c r="J105" s="82"/>
      <c r="K105" s="82"/>
      <c r="L105" s="82"/>
      <c r="M105" s="82"/>
      <c r="N105" s="82"/>
    </row>
    <row r="106" spans="1:14" customFormat="1" x14ac:dyDescent="0.25">
      <c r="A106" s="82"/>
      <c r="B106" s="82"/>
      <c r="C106" s="82"/>
      <c r="D106" s="82"/>
      <c r="E106" s="82"/>
      <c r="F106" s="82"/>
      <c r="G106" s="82"/>
      <c r="H106" s="82"/>
      <c r="I106" s="82"/>
      <c r="J106" s="82"/>
      <c r="K106" s="82"/>
      <c r="L106" s="82"/>
      <c r="M106" s="82"/>
      <c r="N106" s="82"/>
    </row>
    <row r="107" spans="1:14" customFormat="1" x14ac:dyDescent="0.25">
      <c r="A107" s="82"/>
      <c r="B107" s="82"/>
      <c r="C107" s="82"/>
      <c r="D107" s="82"/>
      <c r="E107" s="82"/>
      <c r="F107" s="82"/>
      <c r="G107" s="82"/>
      <c r="H107" s="82"/>
      <c r="I107" s="82"/>
      <c r="J107" s="82"/>
      <c r="K107" s="82"/>
      <c r="L107" s="82"/>
      <c r="M107" s="82"/>
      <c r="N107" s="82"/>
    </row>
    <row r="108" spans="1:14" customFormat="1" x14ac:dyDescent="0.25">
      <c r="A108" s="82"/>
      <c r="B108" s="82"/>
      <c r="C108" s="82"/>
      <c r="D108" s="82"/>
      <c r="E108" s="82"/>
      <c r="F108" s="82"/>
      <c r="G108" s="82"/>
      <c r="H108" s="82"/>
      <c r="I108" s="82"/>
      <c r="J108" s="82"/>
      <c r="K108" s="82"/>
      <c r="L108" s="82"/>
      <c r="M108" s="82"/>
      <c r="N108" s="82"/>
    </row>
    <row r="109" spans="1:14" customFormat="1" x14ac:dyDescent="0.25">
      <c r="A109" s="82"/>
      <c r="B109" s="82"/>
      <c r="C109" s="82"/>
      <c r="D109" s="82"/>
      <c r="E109" s="82"/>
      <c r="F109" s="82"/>
      <c r="G109" s="82"/>
      <c r="H109" s="82"/>
      <c r="I109" s="82"/>
      <c r="J109" s="82"/>
      <c r="K109" s="82"/>
      <c r="L109" s="82"/>
      <c r="M109" s="82"/>
      <c r="N109" s="82"/>
    </row>
    <row r="110" spans="1:14" customFormat="1" x14ac:dyDescent="0.25">
      <c r="A110" s="82"/>
      <c r="B110" s="82"/>
      <c r="C110" s="82"/>
      <c r="D110" s="82"/>
      <c r="E110" s="82"/>
      <c r="F110" s="82"/>
      <c r="G110" s="82"/>
      <c r="H110" s="82"/>
      <c r="I110" s="82"/>
      <c r="J110" s="82"/>
      <c r="K110" s="82"/>
      <c r="L110" s="82"/>
      <c r="M110" s="82"/>
      <c r="N110" s="82"/>
    </row>
    <row r="111" spans="1:14" customFormat="1" x14ac:dyDescent="0.25">
      <c r="A111" s="82"/>
      <c r="B111" s="82"/>
      <c r="C111" s="82"/>
      <c r="D111" s="82"/>
      <c r="E111" s="82"/>
      <c r="F111" s="82"/>
      <c r="G111" s="82"/>
      <c r="H111" s="82"/>
      <c r="I111" s="82"/>
      <c r="J111" s="82"/>
      <c r="K111" s="82"/>
      <c r="L111" s="82"/>
      <c r="M111" s="82"/>
      <c r="N111" s="82"/>
    </row>
    <row r="112" spans="1:14" customFormat="1" x14ac:dyDescent="0.25">
      <c r="A112" s="82"/>
      <c r="B112" s="82"/>
      <c r="C112" s="82"/>
      <c r="D112" s="82"/>
      <c r="E112" s="82"/>
      <c r="F112" s="82"/>
      <c r="G112" s="82"/>
      <c r="H112" s="82"/>
      <c r="I112" s="82"/>
      <c r="J112" s="82"/>
      <c r="K112" s="82"/>
      <c r="L112" s="82"/>
      <c r="M112" s="82"/>
      <c r="N112" s="82"/>
    </row>
    <row r="113" spans="1:14" customFormat="1" x14ac:dyDescent="0.25">
      <c r="A113" s="82"/>
      <c r="B113" s="82"/>
      <c r="C113" s="82"/>
      <c r="D113" s="82"/>
      <c r="E113" s="82"/>
      <c r="F113" s="82"/>
      <c r="G113" s="82"/>
      <c r="H113" s="82"/>
      <c r="I113" s="82"/>
      <c r="J113" s="82"/>
      <c r="K113" s="82"/>
      <c r="L113" s="82"/>
      <c r="M113" s="82"/>
      <c r="N113" s="82"/>
    </row>
    <row r="114" spans="1:14" customFormat="1" x14ac:dyDescent="0.25">
      <c r="A114" s="82"/>
      <c r="B114" s="82"/>
      <c r="C114" s="82"/>
      <c r="D114" s="82"/>
      <c r="E114" s="82"/>
      <c r="F114" s="82"/>
      <c r="G114" s="82"/>
      <c r="H114" s="82"/>
      <c r="I114" s="82"/>
      <c r="J114" s="82"/>
      <c r="K114" s="82"/>
      <c r="L114" s="82"/>
      <c r="M114" s="82"/>
      <c r="N114" s="82"/>
    </row>
    <row r="115" spans="1:14" customFormat="1" x14ac:dyDescent="0.25">
      <c r="A115" s="82"/>
      <c r="B115" s="82"/>
      <c r="C115" s="82"/>
      <c r="D115" s="82"/>
      <c r="E115" s="82"/>
      <c r="F115" s="82"/>
      <c r="G115" s="82"/>
      <c r="H115" s="82"/>
      <c r="I115" s="82"/>
      <c r="J115" s="82"/>
      <c r="K115" s="82"/>
      <c r="L115" s="82"/>
      <c r="M115" s="82"/>
      <c r="N115" s="82"/>
    </row>
    <row r="116" spans="1:14" customFormat="1" x14ac:dyDescent="0.25">
      <c r="A116" s="82"/>
      <c r="B116" s="82"/>
      <c r="C116" s="82"/>
      <c r="D116" s="82"/>
      <c r="E116" s="82"/>
      <c r="F116" s="82"/>
      <c r="G116" s="82"/>
      <c r="H116" s="82"/>
      <c r="I116" s="82"/>
      <c r="J116" s="82"/>
      <c r="K116" s="82"/>
      <c r="L116" s="82"/>
      <c r="M116" s="82"/>
      <c r="N116" s="82"/>
    </row>
    <row r="117" spans="1:14" customFormat="1" x14ac:dyDescent="0.25">
      <c r="A117" s="82"/>
      <c r="B117" s="82"/>
      <c r="C117" s="82"/>
      <c r="D117" s="82"/>
      <c r="E117" s="82"/>
      <c r="F117" s="82"/>
      <c r="G117" s="82"/>
      <c r="H117" s="82"/>
      <c r="I117" s="82"/>
      <c r="J117" s="82"/>
      <c r="K117" s="82"/>
      <c r="L117" s="82"/>
      <c r="M117" s="82"/>
      <c r="N117" s="82"/>
    </row>
    <row r="118" spans="1:14" customFormat="1" x14ac:dyDescent="0.25">
      <c r="A118" s="82"/>
      <c r="B118" s="82"/>
      <c r="C118" s="82"/>
      <c r="D118" s="82"/>
      <c r="E118" s="82"/>
      <c r="F118" s="82"/>
      <c r="G118" s="82"/>
      <c r="H118" s="82"/>
      <c r="I118" s="82"/>
      <c r="J118" s="82"/>
      <c r="K118" s="82"/>
      <c r="L118" s="82"/>
      <c r="M118" s="82"/>
      <c r="N118" s="82"/>
    </row>
    <row r="119" spans="1:14" customFormat="1" x14ac:dyDescent="0.25">
      <c r="A119" s="82"/>
      <c r="B119" s="82"/>
      <c r="C119" s="82"/>
      <c r="D119" s="82"/>
      <c r="E119" s="82"/>
      <c r="F119" s="82"/>
      <c r="G119" s="82"/>
      <c r="H119" s="82"/>
      <c r="I119" s="82"/>
      <c r="J119" s="82"/>
      <c r="K119" s="82"/>
      <c r="L119" s="82"/>
      <c r="M119" s="82"/>
      <c r="N119" s="82"/>
    </row>
    <row r="120" spans="1:14" customFormat="1" x14ac:dyDescent="0.25">
      <c r="A120" s="82"/>
      <c r="B120" s="82"/>
      <c r="C120" s="82"/>
      <c r="D120" s="82"/>
      <c r="E120" s="82"/>
      <c r="F120" s="82"/>
      <c r="G120" s="82"/>
      <c r="H120" s="82"/>
      <c r="I120" s="82"/>
      <c r="J120" s="82"/>
      <c r="K120" s="82"/>
      <c r="L120" s="82"/>
      <c r="M120" s="82"/>
      <c r="N120" s="82"/>
    </row>
    <row r="121" spans="1:14" customFormat="1" x14ac:dyDescent="0.25">
      <c r="A121" s="82"/>
      <c r="B121" s="82"/>
      <c r="C121" s="82"/>
      <c r="D121" s="82"/>
      <c r="E121" s="82"/>
      <c r="F121" s="82"/>
      <c r="G121" s="82"/>
      <c r="H121" s="82"/>
      <c r="I121" s="82"/>
      <c r="J121" s="82"/>
      <c r="K121" s="82"/>
      <c r="L121" s="82"/>
      <c r="M121" s="82"/>
      <c r="N121" s="82"/>
    </row>
    <row r="122" spans="1:14" customFormat="1" x14ac:dyDescent="0.25">
      <c r="A122" s="82"/>
      <c r="B122" s="82"/>
      <c r="C122" s="82"/>
      <c r="D122" s="82"/>
      <c r="E122" s="82"/>
      <c r="F122" s="82"/>
      <c r="G122" s="82"/>
      <c r="H122" s="82"/>
      <c r="I122" s="82"/>
      <c r="J122" s="82"/>
      <c r="K122" s="82"/>
      <c r="L122" s="82"/>
      <c r="M122" s="82"/>
      <c r="N122" s="82"/>
    </row>
    <row r="123" spans="1:14" customFormat="1" x14ac:dyDescent="0.25">
      <c r="A123" s="82"/>
      <c r="B123" s="82"/>
      <c r="C123" s="82"/>
      <c r="D123" s="82"/>
      <c r="E123" s="82"/>
      <c r="F123" s="82"/>
      <c r="G123" s="82"/>
      <c r="H123" s="82"/>
      <c r="I123" s="82"/>
      <c r="J123" s="82"/>
      <c r="K123" s="82"/>
      <c r="L123" s="82"/>
      <c r="M123" s="82"/>
      <c r="N123" s="82"/>
    </row>
    <row r="124" spans="1:14" customFormat="1" x14ac:dyDescent="0.25">
      <c r="A124" s="82"/>
      <c r="B124" s="82"/>
      <c r="C124" s="82"/>
      <c r="D124" s="82"/>
      <c r="E124" s="82"/>
      <c r="F124" s="82"/>
      <c r="G124" s="82"/>
      <c r="H124" s="82"/>
      <c r="I124" s="82"/>
      <c r="J124" s="82"/>
      <c r="K124" s="82"/>
      <c r="L124" s="82"/>
      <c r="M124" s="82"/>
      <c r="N124" s="82"/>
    </row>
    <row r="125" spans="1:14" customFormat="1" x14ac:dyDescent="0.25">
      <c r="A125" s="82"/>
      <c r="B125" s="82"/>
      <c r="C125" s="82"/>
      <c r="D125" s="82"/>
      <c r="E125" s="82"/>
      <c r="F125" s="82"/>
      <c r="G125" s="82"/>
      <c r="H125" s="82"/>
      <c r="I125" s="82"/>
      <c r="J125" s="82"/>
      <c r="K125" s="82"/>
      <c r="L125" s="82"/>
      <c r="M125" s="82"/>
      <c r="N125" s="82"/>
    </row>
    <row r="126" spans="1:14" customFormat="1" x14ac:dyDescent="0.25">
      <c r="A126" s="82"/>
      <c r="B126" s="82"/>
      <c r="C126" s="82"/>
      <c r="D126" s="82"/>
      <c r="E126" s="82"/>
      <c r="F126" s="82"/>
      <c r="G126" s="82"/>
      <c r="H126" s="82"/>
      <c r="I126" s="82"/>
      <c r="J126" s="82"/>
      <c r="K126" s="82"/>
      <c r="L126" s="82"/>
      <c r="M126" s="82"/>
      <c r="N126" s="82"/>
    </row>
    <row r="127" spans="1:14" customFormat="1" x14ac:dyDescent="0.25">
      <c r="A127" s="82"/>
      <c r="B127" s="82"/>
      <c r="C127" s="82"/>
      <c r="D127" s="82"/>
      <c r="E127" s="82"/>
      <c r="F127" s="82"/>
      <c r="G127" s="82"/>
      <c r="H127" s="82"/>
      <c r="I127" s="82"/>
      <c r="J127" s="82"/>
      <c r="K127" s="82"/>
      <c r="L127" s="82"/>
      <c r="M127" s="82"/>
      <c r="N127" s="82"/>
    </row>
    <row r="128" spans="1:14" customFormat="1" x14ac:dyDescent="0.25">
      <c r="A128" s="82"/>
      <c r="B128" s="82"/>
      <c r="C128" s="82"/>
      <c r="D128" s="82"/>
      <c r="E128" s="82"/>
      <c r="F128" s="82"/>
      <c r="G128" s="82"/>
      <c r="H128" s="82"/>
      <c r="I128" s="82"/>
      <c r="J128" s="82"/>
      <c r="K128" s="82"/>
      <c r="L128" s="82"/>
      <c r="M128" s="82"/>
      <c r="N128" s="82"/>
    </row>
    <row r="129" spans="1:14" customFormat="1" x14ac:dyDescent="0.25">
      <c r="A129" s="82"/>
      <c r="B129" s="82"/>
      <c r="C129" s="82"/>
      <c r="D129" s="82"/>
      <c r="E129" s="82"/>
      <c r="F129" s="82"/>
      <c r="G129" s="82"/>
      <c r="H129" s="82"/>
      <c r="I129" s="82"/>
      <c r="J129" s="82"/>
      <c r="K129" s="82"/>
      <c r="L129" s="82"/>
      <c r="M129" s="82"/>
      <c r="N129" s="82"/>
    </row>
    <row r="130" spans="1:14" customFormat="1" x14ac:dyDescent="0.25">
      <c r="A130" s="82"/>
      <c r="B130" s="82"/>
      <c r="C130" s="82"/>
      <c r="D130" s="82"/>
      <c r="E130" s="82"/>
      <c r="F130" s="82"/>
      <c r="G130" s="82"/>
      <c r="H130" s="82"/>
      <c r="I130" s="82"/>
      <c r="J130" s="82"/>
      <c r="K130" s="82"/>
      <c r="L130" s="82"/>
      <c r="M130" s="82"/>
      <c r="N130" s="82"/>
    </row>
    <row r="131" spans="1:14" customFormat="1" x14ac:dyDescent="0.25">
      <c r="A131" s="82"/>
      <c r="B131" s="82"/>
      <c r="C131" s="82"/>
      <c r="D131" s="82"/>
      <c r="E131" s="82"/>
      <c r="F131" s="82"/>
      <c r="G131" s="82"/>
      <c r="H131" s="82"/>
      <c r="I131" s="82"/>
      <c r="J131" s="82"/>
      <c r="K131" s="82"/>
      <c r="L131" s="82"/>
      <c r="M131" s="82"/>
      <c r="N131" s="82"/>
    </row>
    <row r="132" spans="1:14" customFormat="1" x14ac:dyDescent="0.25">
      <c r="A132" s="82"/>
      <c r="B132" s="82"/>
      <c r="C132" s="82"/>
      <c r="D132" s="82"/>
      <c r="E132" s="82"/>
      <c r="F132" s="82"/>
      <c r="G132" s="82"/>
      <c r="H132" s="82"/>
      <c r="I132" s="82"/>
      <c r="J132" s="82"/>
      <c r="K132" s="82"/>
      <c r="L132" s="82"/>
      <c r="M132" s="82"/>
      <c r="N132" s="82"/>
    </row>
    <row r="133" spans="1:14" customFormat="1" x14ac:dyDescent="0.25">
      <c r="A133" s="82"/>
      <c r="B133" s="82"/>
      <c r="C133" s="82"/>
      <c r="D133" s="82"/>
      <c r="E133" s="82"/>
      <c r="F133" s="82"/>
      <c r="G133" s="82"/>
      <c r="H133" s="82"/>
      <c r="I133" s="82"/>
      <c r="J133" s="82"/>
      <c r="K133" s="82"/>
      <c r="L133" s="82"/>
      <c r="M133" s="82"/>
      <c r="N133" s="82"/>
    </row>
    <row r="134" spans="1:14" customFormat="1" x14ac:dyDescent="0.25">
      <c r="A134" s="82"/>
      <c r="B134" s="82"/>
      <c r="C134" s="82"/>
      <c r="D134" s="82"/>
      <c r="E134" s="82"/>
      <c r="F134" s="82"/>
      <c r="G134" s="82"/>
      <c r="H134" s="82"/>
      <c r="I134" s="82"/>
      <c r="J134" s="82"/>
      <c r="K134" s="82"/>
      <c r="L134" s="82"/>
      <c r="M134" s="82"/>
      <c r="N134" s="82"/>
    </row>
    <row r="135" spans="1:14" customFormat="1" x14ac:dyDescent="0.25">
      <c r="A135" s="82"/>
      <c r="B135" s="82"/>
      <c r="C135" s="82"/>
      <c r="D135" s="82"/>
      <c r="E135" s="82"/>
      <c r="F135" s="82"/>
      <c r="G135" s="82"/>
      <c r="H135" s="82"/>
      <c r="I135" s="82"/>
      <c r="J135" s="82"/>
      <c r="K135" s="82"/>
      <c r="L135" s="82"/>
      <c r="M135" s="82"/>
      <c r="N135" s="82"/>
    </row>
    <row r="136" spans="1:14" customFormat="1" x14ac:dyDescent="0.25">
      <c r="A136" s="82"/>
      <c r="B136" s="82"/>
      <c r="C136" s="82"/>
      <c r="D136" s="82"/>
      <c r="E136" s="82"/>
      <c r="F136" s="82"/>
      <c r="G136" s="82"/>
      <c r="H136" s="82"/>
      <c r="I136" s="82"/>
      <c r="J136" s="82"/>
      <c r="K136" s="82"/>
      <c r="L136" s="82"/>
      <c r="M136" s="82"/>
      <c r="N136" s="82"/>
    </row>
    <row r="137" spans="1:14" customFormat="1" x14ac:dyDescent="0.25">
      <c r="A137" s="82"/>
      <c r="B137" s="82"/>
      <c r="C137" s="82"/>
      <c r="D137" s="82"/>
      <c r="E137" s="82"/>
      <c r="F137" s="82"/>
      <c r="G137" s="82"/>
      <c r="H137" s="82"/>
      <c r="I137" s="82"/>
      <c r="J137" s="82"/>
      <c r="K137" s="82"/>
      <c r="L137" s="82"/>
      <c r="M137" s="82"/>
      <c r="N137" s="82"/>
    </row>
    <row r="138" spans="1:14" customFormat="1" x14ac:dyDescent="0.25">
      <c r="A138" s="82"/>
      <c r="B138" s="82"/>
      <c r="C138" s="82"/>
      <c r="D138" s="82"/>
      <c r="E138" s="82"/>
      <c r="F138" s="82"/>
      <c r="G138" s="82"/>
      <c r="H138" s="82"/>
      <c r="I138" s="82"/>
      <c r="J138" s="82"/>
      <c r="K138" s="82"/>
      <c r="L138" s="82"/>
      <c r="M138" s="82"/>
      <c r="N138" s="82"/>
    </row>
    <row r="139" spans="1:14" customFormat="1" x14ac:dyDescent="0.25">
      <c r="A139" s="82"/>
      <c r="B139" s="82"/>
      <c r="C139" s="82"/>
      <c r="D139" s="82"/>
      <c r="E139" s="82"/>
      <c r="F139" s="82"/>
      <c r="G139" s="82"/>
      <c r="H139" s="82"/>
      <c r="I139" s="82"/>
      <c r="J139" s="82"/>
      <c r="K139" s="82"/>
      <c r="L139" s="82"/>
      <c r="M139" s="82"/>
      <c r="N139" s="82"/>
    </row>
    <row r="140" spans="1:14" customFormat="1" x14ac:dyDescent="0.25">
      <c r="A140" s="82"/>
      <c r="B140" s="82"/>
      <c r="C140" s="82"/>
      <c r="D140" s="82"/>
      <c r="E140" s="82"/>
      <c r="F140" s="82"/>
      <c r="G140" s="82"/>
      <c r="H140" s="82"/>
      <c r="I140" s="82"/>
      <c r="J140" s="82"/>
      <c r="K140" s="82"/>
      <c r="L140" s="82"/>
      <c r="M140" s="82"/>
      <c r="N140" s="82"/>
    </row>
    <row r="141" spans="1:14" customFormat="1" x14ac:dyDescent="0.25">
      <c r="A141" s="82"/>
      <c r="B141" s="82"/>
      <c r="C141" s="82"/>
      <c r="D141" s="82"/>
      <c r="E141" s="82"/>
      <c r="F141" s="82"/>
      <c r="G141" s="82"/>
      <c r="H141" s="82"/>
      <c r="I141" s="82"/>
      <c r="J141" s="82"/>
      <c r="K141" s="82"/>
      <c r="L141" s="82"/>
      <c r="M141" s="82"/>
      <c r="N141" s="82"/>
    </row>
    <row r="142" spans="1:14" customFormat="1" x14ac:dyDescent="0.25">
      <c r="A142" s="82"/>
      <c r="B142" s="82"/>
      <c r="C142" s="82"/>
      <c r="D142" s="82"/>
      <c r="E142" s="82"/>
      <c r="F142" s="82"/>
      <c r="G142" s="82"/>
      <c r="H142" s="82"/>
      <c r="I142" s="82"/>
      <c r="J142" s="82"/>
      <c r="K142" s="82"/>
      <c r="L142" s="82"/>
      <c r="M142" s="82"/>
      <c r="N142" s="82"/>
    </row>
    <row r="143" spans="1:14" customFormat="1" x14ac:dyDescent="0.25">
      <c r="A143" s="82"/>
      <c r="B143" s="82"/>
      <c r="C143" s="82"/>
      <c r="D143" s="82"/>
      <c r="E143" s="82"/>
      <c r="F143" s="82"/>
      <c r="G143" s="82"/>
      <c r="H143" s="82"/>
      <c r="I143" s="82"/>
      <c r="J143" s="82"/>
      <c r="K143" s="82"/>
      <c r="L143" s="82"/>
      <c r="M143" s="82"/>
      <c r="N143" s="82"/>
    </row>
    <row r="144" spans="1:14" customFormat="1" x14ac:dyDescent="0.25">
      <c r="A144" s="82"/>
      <c r="B144" s="82"/>
      <c r="C144" s="82"/>
      <c r="D144" s="82"/>
      <c r="E144" s="82"/>
      <c r="F144" s="82"/>
      <c r="G144" s="82"/>
      <c r="H144" s="82"/>
      <c r="I144" s="82"/>
      <c r="J144" s="82"/>
      <c r="K144" s="82"/>
      <c r="L144" s="82"/>
      <c r="M144" s="82"/>
      <c r="N144" s="82"/>
    </row>
    <row r="145" spans="1:14" customFormat="1" x14ac:dyDescent="0.25">
      <c r="A145" s="82"/>
      <c r="B145" s="82"/>
      <c r="C145" s="82"/>
      <c r="D145" s="82"/>
      <c r="E145" s="82"/>
      <c r="F145" s="82"/>
      <c r="G145" s="82"/>
      <c r="H145" s="82"/>
      <c r="I145" s="82"/>
      <c r="J145" s="82"/>
      <c r="K145" s="82"/>
      <c r="L145" s="82"/>
      <c r="M145" s="82"/>
      <c r="N145" s="82"/>
    </row>
  </sheetData>
  <printOptions horizontalCentered="1"/>
  <pageMargins left="0.7" right="0.7" top="0.75" bottom="0.75" header="0.3" footer="0.3"/>
  <pageSetup scale="85" orientation="landscape" blackAndWhite="1" horizontalDpi="300" verticalDpi="300" r:id="rId1"/>
  <headerFooter>
    <oddFooter>&amp;L&amp;F
&amp;A&amp;RPage &amp;P of &amp;N</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pageSetUpPr fitToPage="1"/>
  </sheetPr>
  <dimension ref="A1:O145"/>
  <sheetViews>
    <sheetView zoomScale="90" zoomScaleNormal="90" workbookViewId="0">
      <selection activeCell="E9" sqref="E9"/>
    </sheetView>
  </sheetViews>
  <sheetFormatPr defaultColWidth="8.7109375" defaultRowHeight="15" outlineLevelCol="1" x14ac:dyDescent="0.25"/>
  <cols>
    <col min="1" max="1" width="3.5703125" style="82" customWidth="1"/>
    <col min="2" max="2" width="2.5703125" style="82" customWidth="1"/>
    <col min="3" max="3" width="31.140625" style="82" customWidth="1"/>
    <col min="4" max="4" width="9.140625" style="82" bestFit="1" customWidth="1"/>
    <col min="5" max="5" width="13.7109375" style="82" customWidth="1"/>
    <col min="6" max="12" width="12.85546875" style="82" customWidth="1"/>
    <col min="13" max="13" width="9.140625" style="82"/>
    <col min="14" max="14" width="9.140625" style="82" customWidth="1" outlineLevel="1"/>
    <col min="15" max="15" width="9.140625" customWidth="1"/>
    <col min="16" max="16384" width="8.7109375" style="82"/>
  </cols>
  <sheetData>
    <row r="1" spans="1:15" x14ac:dyDescent="0.25">
      <c r="B1" s="245" t="s">
        <v>0</v>
      </c>
      <c r="C1" s="246"/>
      <c r="D1" s="246"/>
      <c r="E1" s="246"/>
      <c r="F1" s="246"/>
      <c r="G1" s="246"/>
      <c r="H1" s="246"/>
      <c r="I1" s="246"/>
      <c r="J1" s="246"/>
      <c r="K1" s="246"/>
      <c r="L1" s="246"/>
    </row>
    <row r="2" spans="1:15" s="7" customFormat="1" x14ac:dyDescent="0.25">
      <c r="A2" s="510"/>
      <c r="B2" s="244" t="str">
        <f>'CRM Rates'!$A$2</f>
        <v>2022 Gas Schedule 149 Cost Recovery Mechanism For Pipeline Replacement (CRM) Filing (FINAL - October Filing)</v>
      </c>
      <c r="C2" s="244"/>
      <c r="D2" s="244"/>
      <c r="E2" s="244"/>
      <c r="F2" s="244"/>
      <c r="G2" s="244"/>
      <c r="H2" s="244"/>
      <c r="I2" s="244"/>
      <c r="J2" s="244"/>
      <c r="K2" s="244"/>
      <c r="L2" s="244"/>
      <c r="M2" s="510"/>
      <c r="N2" s="510"/>
    </row>
    <row r="3" spans="1:15" s="7" customFormat="1" x14ac:dyDescent="0.25">
      <c r="A3" s="510"/>
      <c r="B3" s="511" t="s">
        <v>340</v>
      </c>
      <c r="C3" s="511"/>
      <c r="D3" s="511"/>
      <c r="E3" s="511"/>
      <c r="F3" s="511"/>
      <c r="G3" s="511"/>
      <c r="H3" s="511"/>
      <c r="I3" s="511"/>
      <c r="J3" s="511"/>
      <c r="K3" s="511"/>
      <c r="L3" s="511"/>
      <c r="M3" s="510"/>
      <c r="N3" s="510"/>
    </row>
    <row r="4" spans="1:15" s="217" customFormat="1" x14ac:dyDescent="0.25">
      <c r="A4" s="86"/>
      <c r="B4" s="495"/>
      <c r="C4" s="86"/>
      <c r="D4" s="86"/>
      <c r="E4" s="86"/>
      <c r="F4" s="86"/>
      <c r="G4" s="86"/>
      <c r="H4" s="86"/>
      <c r="I4" s="86"/>
      <c r="J4" s="86"/>
      <c r="K4" s="86"/>
      <c r="L4" s="86"/>
      <c r="M4" s="86"/>
      <c r="N4" s="86"/>
    </row>
    <row r="5" spans="1:15" s="217" customFormat="1" x14ac:dyDescent="0.25">
      <c r="A5" s="86"/>
      <c r="B5" s="86"/>
      <c r="C5" s="86"/>
      <c r="D5" s="86"/>
      <c r="E5" s="86"/>
      <c r="F5" s="496"/>
      <c r="G5" s="496" t="s">
        <v>115</v>
      </c>
      <c r="H5" s="496" t="s">
        <v>116</v>
      </c>
      <c r="I5" s="496"/>
      <c r="J5" s="496" t="s">
        <v>117</v>
      </c>
      <c r="K5" s="496" t="s">
        <v>118</v>
      </c>
      <c r="L5" s="496"/>
      <c r="M5" s="86"/>
      <c r="N5" s="86"/>
    </row>
    <row r="6" spans="1:15" s="217" customFormat="1" x14ac:dyDescent="0.25">
      <c r="A6" s="86"/>
      <c r="B6" s="86"/>
      <c r="C6" s="86"/>
      <c r="D6" s="496" t="s">
        <v>119</v>
      </c>
      <c r="E6" s="86"/>
      <c r="F6" s="496" t="s">
        <v>134</v>
      </c>
      <c r="G6" s="496" t="s">
        <v>121</v>
      </c>
      <c r="H6" s="496" t="s">
        <v>122</v>
      </c>
      <c r="I6" s="496" t="s">
        <v>123</v>
      </c>
      <c r="J6" s="496" t="s">
        <v>124</v>
      </c>
      <c r="K6" s="496" t="s">
        <v>125</v>
      </c>
      <c r="L6" s="496"/>
      <c r="M6" s="86"/>
      <c r="N6" s="86"/>
    </row>
    <row r="7" spans="1:15" s="217" customFormat="1" x14ac:dyDescent="0.25">
      <c r="A7" s="86"/>
      <c r="B7" s="86"/>
      <c r="C7" s="86"/>
      <c r="D7" s="497" t="s">
        <v>126</v>
      </c>
      <c r="E7" s="497" t="s">
        <v>90</v>
      </c>
      <c r="F7" s="497" t="s">
        <v>127</v>
      </c>
      <c r="G7" s="497" t="s">
        <v>128</v>
      </c>
      <c r="H7" s="497" t="s">
        <v>129</v>
      </c>
      <c r="I7" s="497" t="s">
        <v>130</v>
      </c>
      <c r="J7" s="497" t="s">
        <v>130</v>
      </c>
      <c r="K7" s="497" t="s">
        <v>130</v>
      </c>
      <c r="L7" s="497" t="s">
        <v>131</v>
      </c>
      <c r="M7" s="86"/>
      <c r="N7" s="74" t="s">
        <v>104</v>
      </c>
      <c r="O7" s="74" t="s">
        <v>254</v>
      </c>
    </row>
    <row r="8" spans="1:15" s="217" customFormat="1" x14ac:dyDescent="0.25">
      <c r="A8" s="86"/>
      <c r="B8" s="86" t="s">
        <v>135</v>
      </c>
      <c r="C8" s="86"/>
      <c r="D8" s="86"/>
      <c r="E8" s="90"/>
      <c r="F8" s="90"/>
      <c r="G8" s="90"/>
      <c r="H8" s="90"/>
      <c r="I8" s="90"/>
      <c r="J8" s="90"/>
      <c r="K8" s="90"/>
      <c r="L8" s="90"/>
      <c r="M8" s="86"/>
      <c r="N8" s="498"/>
    </row>
    <row r="9" spans="1:15" s="217" customFormat="1" x14ac:dyDescent="0.25">
      <c r="A9" s="86"/>
      <c r="B9" s="86"/>
      <c r="C9" s="161" t="s">
        <v>227</v>
      </c>
      <c r="D9" s="164">
        <v>376</v>
      </c>
      <c r="E9" s="499">
        <f>('2020 CRM'!$G$29+'2020 CRM'!$G$35)*'Summary 2020 (from 2020 filing)'!O15</f>
        <v>3942421.1324702501</v>
      </c>
      <c r="F9" s="500">
        <f>$E$9*'Allocation Factors'!E12</f>
        <v>2593608.601152142</v>
      </c>
      <c r="G9" s="500">
        <f>$E$9*'Allocation Factors'!F12</f>
        <v>944505.10038676218</v>
      </c>
      <c r="H9" s="500">
        <f>$E$9*'Allocation Factors'!G12</f>
        <v>207794.5447300653</v>
      </c>
      <c r="I9" s="500">
        <f>$E$9*'Allocation Factors'!H12</f>
        <v>101211.63698263644</v>
      </c>
      <c r="J9" s="500">
        <f>$E$9*'Allocation Factors'!I12</f>
        <v>10899.229630652217</v>
      </c>
      <c r="K9" s="500">
        <f>$E$9*'Allocation Factors'!J12</f>
        <v>79175.052296167152</v>
      </c>
      <c r="L9" s="500">
        <f>$E$9*'Allocation Factors'!K12</f>
        <v>5226.9672918245542</v>
      </c>
      <c r="M9" s="86"/>
      <c r="N9" s="718">
        <f t="shared" ref="N9:N16" si="0">SUM(F9:L9)-E9</f>
        <v>0</v>
      </c>
      <c r="O9" s="719"/>
    </row>
    <row r="10" spans="1:15" s="217" customFormat="1" x14ac:dyDescent="0.25">
      <c r="A10" s="86"/>
      <c r="B10" s="86"/>
      <c r="C10" s="161" t="s">
        <v>228</v>
      </c>
      <c r="D10" s="164">
        <v>380</v>
      </c>
      <c r="E10" s="499">
        <f>('2020 CRM'!$G$29+'2020 CRM'!$G$35)*'Summary 2020 (from 2020 filing)'!O16</f>
        <v>292547.32896268542</v>
      </c>
      <c r="F10" s="500">
        <f>$E$10*'Allocation Factors'!E17</f>
        <v>168355.43473360056</v>
      </c>
      <c r="G10" s="500">
        <f>$E$10*'Allocation Factors'!F17</f>
        <v>118976.05383347526</v>
      </c>
      <c r="H10" s="500">
        <f>$E$10*'Allocation Factors'!G17</f>
        <v>2113.670032808529</v>
      </c>
      <c r="I10" s="500">
        <f>$E$10*'Allocation Factors'!H17</f>
        <v>2121.8358503324484</v>
      </c>
      <c r="J10" s="500">
        <f>$E$10*'Allocation Factors'!I17</f>
        <v>334.43836742958405</v>
      </c>
      <c r="K10" s="500">
        <f>$E$10*'Allocation Factors'!J17</f>
        <v>273.06922658677672</v>
      </c>
      <c r="L10" s="500">
        <f>$E$10*'Allocation Factors'!K17</f>
        <v>372.8269184523125</v>
      </c>
      <c r="M10" s="86"/>
      <c r="N10" s="718">
        <f t="shared" si="0"/>
        <v>0</v>
      </c>
      <c r="O10" s="719"/>
    </row>
    <row r="11" spans="1:15" s="217" customFormat="1" x14ac:dyDescent="0.25">
      <c r="A11" s="86"/>
      <c r="B11" s="86"/>
      <c r="C11" s="86" t="s">
        <v>90</v>
      </c>
      <c r="D11" s="164"/>
      <c r="E11" s="89">
        <f>SUM(E9:E10)</f>
        <v>4234968.4614329357</v>
      </c>
      <c r="F11" s="89">
        <f t="shared" ref="F11:L11" si="1">SUM(F9:F10)</f>
        <v>2761964.0358857424</v>
      </c>
      <c r="G11" s="89">
        <f t="shared" si="1"/>
        <v>1063481.1542202374</v>
      </c>
      <c r="H11" s="89">
        <f t="shared" si="1"/>
        <v>209908.21476287383</v>
      </c>
      <c r="I11" s="89">
        <f t="shared" si="1"/>
        <v>103333.47283296888</v>
      </c>
      <c r="J11" s="89">
        <f t="shared" si="1"/>
        <v>11233.667998081801</v>
      </c>
      <c r="K11" s="89">
        <f t="shared" si="1"/>
        <v>79448.121522753936</v>
      </c>
      <c r="L11" s="89">
        <f t="shared" si="1"/>
        <v>5599.7942102768666</v>
      </c>
      <c r="M11" s="86"/>
      <c r="N11" s="718">
        <f t="shared" si="0"/>
        <v>0</v>
      </c>
      <c r="O11" s="718">
        <f>E11-'2020 CRM'!G29-'2020 CRM'!G35</f>
        <v>0</v>
      </c>
    </row>
    <row r="12" spans="1:15" s="217" customFormat="1" x14ac:dyDescent="0.25">
      <c r="A12" s="86"/>
      <c r="B12" s="86"/>
      <c r="C12" s="86"/>
      <c r="D12" s="164"/>
      <c r="E12" s="90"/>
      <c r="F12" s="90"/>
      <c r="G12" s="90"/>
      <c r="H12" s="90"/>
      <c r="I12" s="90"/>
      <c r="J12" s="90"/>
      <c r="K12" s="90"/>
      <c r="L12" s="90"/>
      <c r="M12" s="86"/>
      <c r="N12" s="718"/>
      <c r="O12" s="719"/>
    </row>
    <row r="13" spans="1:15" s="86" customFormat="1" x14ac:dyDescent="0.25">
      <c r="B13" s="86" t="s">
        <v>53</v>
      </c>
      <c r="D13" s="164"/>
      <c r="E13" s="88"/>
      <c r="F13" s="88"/>
      <c r="G13" s="88"/>
      <c r="H13" s="88"/>
      <c r="I13" s="88"/>
      <c r="J13" s="88"/>
      <c r="K13" s="88"/>
      <c r="L13" s="88"/>
      <c r="N13" s="718"/>
      <c r="O13" s="720"/>
    </row>
    <row r="14" spans="1:15" s="86" customFormat="1" x14ac:dyDescent="0.25">
      <c r="C14" s="161" t="s">
        <v>227</v>
      </c>
      <c r="D14" s="164">
        <v>376</v>
      </c>
      <c r="E14" s="502">
        <f>'2020 CRM'!$G$27*'Summary 2020 (from 2020 filing)'!I26</f>
        <v>1216134.4935474058</v>
      </c>
      <c r="F14" s="92">
        <f>$E$14*'Allocation Factors'!E12</f>
        <v>800060.8703733295</v>
      </c>
      <c r="G14" s="92">
        <f>$E$14*'Allocation Factors'!F12</f>
        <v>291355.28481506399</v>
      </c>
      <c r="H14" s="92">
        <f>$E$14*'Allocation Factors'!G12</f>
        <v>64099.21845636786</v>
      </c>
      <c r="I14" s="92">
        <f>$E$14*'Allocation Factors'!H12</f>
        <v>31221.160486692697</v>
      </c>
      <c r="J14" s="92">
        <f>$E$14*'Allocation Factors'!I12</f>
        <v>3362.1291743190341</v>
      </c>
      <c r="K14" s="92">
        <f>$E$14*'Allocation Factors'!J12</f>
        <v>24423.446630993625</v>
      </c>
      <c r="L14" s="92">
        <f>$E$14*'Allocation Factors'!K12</f>
        <v>1612.3836106390081</v>
      </c>
      <c r="N14" s="718">
        <f t="shared" si="0"/>
        <v>0</v>
      </c>
      <c r="O14" s="720"/>
    </row>
    <row r="15" spans="1:15" s="86" customFormat="1" x14ac:dyDescent="0.25">
      <c r="C15" s="161" t="s">
        <v>228</v>
      </c>
      <c r="D15" s="164">
        <v>380</v>
      </c>
      <c r="E15" s="502">
        <f>'2020 CRM'!$G$27*'Summary 2020 (from 2020 filing)'!I27</f>
        <v>118019.56710236633</v>
      </c>
      <c r="F15" s="92">
        <f>$E$15*'Allocation Factors'!E17</f>
        <v>67918.020639745984</v>
      </c>
      <c r="G15" s="92">
        <f>$E$15*'Allocation Factors'!F17</f>
        <v>47997.369925621795</v>
      </c>
      <c r="H15" s="92">
        <f>$E$15*'Allocation Factors'!G17</f>
        <v>852.69765802963491</v>
      </c>
      <c r="I15" s="92">
        <f>$E$15*'Allocation Factors'!H17</f>
        <v>855.99191558661573</v>
      </c>
      <c r="J15" s="92">
        <f>$E$15*'Allocation Factors'!I17</f>
        <v>134.91926754694828</v>
      </c>
      <c r="K15" s="92">
        <f>$E$15*'Allocation Factors'!J17</f>
        <v>110.16170280898379</v>
      </c>
      <c r="L15" s="92">
        <f>$E$15*'Allocation Factors'!K17</f>
        <v>150.4059930263916</v>
      </c>
      <c r="N15" s="718">
        <f t="shared" si="0"/>
        <v>0</v>
      </c>
      <c r="O15" s="720"/>
    </row>
    <row r="16" spans="1:15" s="86" customFormat="1" x14ac:dyDescent="0.25">
      <c r="C16" s="86" t="s">
        <v>90</v>
      </c>
      <c r="E16" s="89">
        <f>SUM(E14:E15)</f>
        <v>1334154.0606497722</v>
      </c>
      <c r="F16" s="89">
        <f t="shared" ref="F16:L16" si="2">SUM(F14:F15)</f>
        <v>867978.89101307548</v>
      </c>
      <c r="G16" s="89">
        <f t="shared" si="2"/>
        <v>339352.65474068577</v>
      </c>
      <c r="H16" s="89">
        <f t="shared" si="2"/>
        <v>64951.916114397492</v>
      </c>
      <c r="I16" s="89">
        <f t="shared" si="2"/>
        <v>32077.152402279313</v>
      </c>
      <c r="J16" s="89">
        <f t="shared" si="2"/>
        <v>3497.0484418659826</v>
      </c>
      <c r="K16" s="89">
        <f t="shared" si="2"/>
        <v>24533.608333802607</v>
      </c>
      <c r="L16" s="89">
        <f t="shared" si="2"/>
        <v>1762.7896036653997</v>
      </c>
      <c r="N16" s="718">
        <f t="shared" si="0"/>
        <v>0</v>
      </c>
      <c r="O16" s="718">
        <f>E16-'2020 CRM'!G27</f>
        <v>0</v>
      </c>
    </row>
    <row r="17" spans="1:15" s="86" customFormat="1" x14ac:dyDescent="0.25">
      <c r="E17" s="90"/>
      <c r="F17" s="90"/>
      <c r="G17" s="90"/>
      <c r="H17" s="90"/>
      <c r="I17" s="90"/>
      <c r="J17" s="90"/>
      <c r="K17" s="90"/>
      <c r="L17" s="90"/>
      <c r="N17" s="718"/>
      <c r="O17" s="718"/>
    </row>
    <row r="18" spans="1:15" s="86" customFormat="1" x14ac:dyDescent="0.25">
      <c r="E18" s="88"/>
      <c r="F18" s="88"/>
      <c r="G18" s="88"/>
      <c r="H18" s="88"/>
      <c r="I18" s="88"/>
      <c r="J18" s="88"/>
      <c r="K18" s="88"/>
      <c r="L18" s="88"/>
      <c r="N18" s="718"/>
      <c r="O18" s="720"/>
    </row>
    <row r="19" spans="1:15" s="86" customFormat="1" x14ac:dyDescent="0.25">
      <c r="B19" s="86" t="s">
        <v>136</v>
      </c>
      <c r="E19" s="88">
        <f>E11+E16</f>
        <v>5569122.5220827078</v>
      </c>
      <c r="F19" s="88">
        <f t="shared" ref="F19:L19" si="3">F11+F16</f>
        <v>3629942.926898818</v>
      </c>
      <c r="G19" s="88">
        <f t="shared" si="3"/>
        <v>1402833.8089609232</v>
      </c>
      <c r="H19" s="88">
        <f t="shared" si="3"/>
        <v>274860.13087727129</v>
      </c>
      <c r="I19" s="88">
        <f t="shared" si="3"/>
        <v>135410.62523524818</v>
      </c>
      <c r="J19" s="88">
        <f t="shared" si="3"/>
        <v>14730.716439947784</v>
      </c>
      <c r="K19" s="88">
        <f t="shared" si="3"/>
        <v>103981.72985655654</v>
      </c>
      <c r="L19" s="88">
        <f t="shared" si="3"/>
        <v>7362.5838139422667</v>
      </c>
      <c r="N19" s="718">
        <f t="shared" ref="N19" si="4">SUM(F19:L19)-E19</f>
        <v>0</v>
      </c>
      <c r="O19" s="720"/>
    </row>
    <row r="20" spans="1:15" s="86" customFormat="1" x14ac:dyDescent="0.25">
      <c r="B20" s="86" t="s">
        <v>137</v>
      </c>
      <c r="E20" s="504">
        <f>'2019 GRC'!J40</f>
        <v>0.95255299999999998</v>
      </c>
      <c r="F20" s="88"/>
      <c r="G20" s="88"/>
      <c r="H20" s="88"/>
      <c r="I20" s="88"/>
      <c r="J20" s="88"/>
      <c r="K20" s="88"/>
      <c r="L20" s="88"/>
      <c r="N20" s="718"/>
      <c r="O20" s="720"/>
    </row>
    <row r="21" spans="1:15" s="86" customFormat="1" x14ac:dyDescent="0.25">
      <c r="B21" s="87" t="s">
        <v>138</v>
      </c>
      <c r="C21" s="87"/>
      <c r="D21" s="87"/>
      <c r="E21" s="93">
        <f>E19/$E$20</f>
        <v>5846522.4739019331</v>
      </c>
      <c r="F21" s="93">
        <f t="shared" ref="F21:L21" si="5">F19/$E$20</f>
        <v>3810751.6609562072</v>
      </c>
      <c r="G21" s="93">
        <f t="shared" si="5"/>
        <v>1472709.4544460238</v>
      </c>
      <c r="H21" s="93">
        <f t="shared" si="5"/>
        <v>288551.01068105531</v>
      </c>
      <c r="I21" s="93">
        <f t="shared" si="5"/>
        <v>142155.47611025127</v>
      </c>
      <c r="J21" s="93">
        <f t="shared" si="5"/>
        <v>15464.458607497729</v>
      </c>
      <c r="K21" s="93">
        <f t="shared" si="5"/>
        <v>109161.0963973202</v>
      </c>
      <c r="L21" s="93">
        <f t="shared" si="5"/>
        <v>7729.3167035768793</v>
      </c>
      <c r="N21" s="718">
        <f t="shared" ref="N21" si="6">SUM(F21:L21)-E21</f>
        <v>0</v>
      </c>
      <c r="O21" s="718">
        <f>E21-'Summary - Revenue Requirement'!B11</f>
        <v>0</v>
      </c>
    </row>
    <row r="22" spans="1:15" s="86" customFormat="1" x14ac:dyDescent="0.25">
      <c r="F22" s="88"/>
      <c r="G22" s="88"/>
      <c r="H22" s="88"/>
      <c r="I22" s="88"/>
      <c r="J22" s="88"/>
      <c r="K22" s="88"/>
      <c r="L22" s="88"/>
      <c r="N22" s="718"/>
      <c r="O22" s="720"/>
    </row>
    <row r="23" spans="1:15" s="217" customFormat="1" x14ac:dyDescent="0.25">
      <c r="A23" s="86"/>
      <c r="B23" s="86" t="s">
        <v>139</v>
      </c>
      <c r="C23" s="86"/>
      <c r="D23" s="86"/>
      <c r="E23" s="505">
        <f>SUM(F23:L23)</f>
        <v>1</v>
      </c>
      <c r="F23" s="505">
        <f>F21/$E21</f>
        <v>0.6517980009427613</v>
      </c>
      <c r="G23" s="505">
        <f t="shared" ref="G23:L23" si="7">G21/$E21</f>
        <v>0.25189494456234368</v>
      </c>
      <c r="H23" s="505">
        <f t="shared" si="7"/>
        <v>4.9354297699035127E-2</v>
      </c>
      <c r="I23" s="505">
        <f t="shared" si="7"/>
        <v>2.431453513517029E-2</v>
      </c>
      <c r="J23" s="505">
        <f t="shared" si="7"/>
        <v>2.6450695565661351E-3</v>
      </c>
      <c r="K23" s="505">
        <f t="shared" si="7"/>
        <v>1.8671115502352079E-2</v>
      </c>
      <c r="L23" s="505">
        <f t="shared" si="7"/>
        <v>1.3220366017713057E-3</v>
      </c>
      <c r="M23" s="86"/>
      <c r="N23" s="86"/>
      <c r="O23" s="86"/>
    </row>
    <row r="24" spans="1:15" customFormat="1" x14ac:dyDescent="0.25">
      <c r="A24" s="82"/>
      <c r="B24" s="82"/>
      <c r="C24" s="82"/>
      <c r="D24" s="82"/>
      <c r="E24" s="82"/>
      <c r="F24" s="85"/>
      <c r="G24" s="85"/>
      <c r="H24" s="85"/>
      <c r="I24" s="85"/>
      <c r="J24" s="85"/>
      <c r="K24" s="85"/>
      <c r="L24" s="85"/>
      <c r="M24" s="82"/>
      <c r="N24" s="82"/>
      <c r="O24" s="168"/>
    </row>
    <row r="25" spans="1:15" customFormat="1" x14ac:dyDescent="0.25">
      <c r="A25" s="82"/>
      <c r="B25" s="82"/>
      <c r="C25" s="82"/>
      <c r="D25" s="82"/>
      <c r="E25" s="82"/>
      <c r="F25" s="82"/>
      <c r="G25" s="82"/>
      <c r="H25" s="82"/>
      <c r="I25" s="82"/>
      <c r="J25" s="82"/>
      <c r="K25" s="82"/>
      <c r="L25" s="82"/>
      <c r="M25" s="82"/>
      <c r="N25" s="82"/>
      <c r="O25" s="86"/>
    </row>
    <row r="26" spans="1:15" customFormat="1" x14ac:dyDescent="0.25">
      <c r="A26" s="82"/>
      <c r="B26" s="82"/>
      <c r="C26" s="82"/>
      <c r="D26" s="82"/>
      <c r="E26" s="82"/>
      <c r="F26" s="82"/>
      <c r="G26" s="82"/>
      <c r="H26" s="82"/>
      <c r="I26" s="82"/>
      <c r="J26" s="82"/>
      <c r="K26" s="82"/>
      <c r="L26" s="82"/>
      <c r="M26" s="82"/>
      <c r="N26" s="82"/>
      <c r="O26" s="86"/>
    </row>
    <row r="27" spans="1:15" customFormat="1" x14ac:dyDescent="0.25">
      <c r="A27" s="82"/>
      <c r="B27" s="82"/>
      <c r="C27" s="82"/>
      <c r="D27" s="82"/>
      <c r="E27" s="82"/>
      <c r="F27" s="82"/>
      <c r="G27" s="82"/>
      <c r="H27" s="82"/>
      <c r="I27" s="82"/>
      <c r="J27" s="82"/>
      <c r="K27" s="82"/>
      <c r="L27" s="82"/>
      <c r="M27" s="82"/>
      <c r="N27" s="82"/>
      <c r="O27" s="86"/>
    </row>
    <row r="28" spans="1:15" customFormat="1" x14ac:dyDescent="0.25">
      <c r="A28" s="82"/>
      <c r="B28" s="82"/>
      <c r="C28" s="82"/>
      <c r="D28" s="82"/>
      <c r="E28" s="82"/>
      <c r="F28" s="82"/>
      <c r="G28" s="82"/>
      <c r="H28" s="82"/>
      <c r="I28" s="82"/>
      <c r="J28" s="82"/>
      <c r="K28" s="82"/>
      <c r="L28" s="82"/>
      <c r="M28" s="82"/>
      <c r="N28" s="82"/>
    </row>
    <row r="29" spans="1:15" customFormat="1" x14ac:dyDescent="0.25">
      <c r="A29" s="82"/>
      <c r="B29" s="82"/>
      <c r="C29" s="82"/>
      <c r="D29" s="82"/>
      <c r="E29" s="82"/>
      <c r="F29" s="82"/>
      <c r="G29" s="82"/>
      <c r="H29" s="82"/>
      <c r="I29" s="82"/>
      <c r="J29" s="82"/>
      <c r="K29" s="82"/>
      <c r="L29" s="82"/>
      <c r="M29" s="82"/>
      <c r="N29" s="82"/>
    </row>
    <row r="30" spans="1:15" customFormat="1" x14ac:dyDescent="0.25">
      <c r="A30" s="82"/>
      <c r="B30" s="82"/>
      <c r="C30" s="82"/>
      <c r="D30" s="82"/>
      <c r="E30" s="82"/>
      <c r="F30" s="82"/>
      <c r="G30" s="82"/>
      <c r="H30" s="82"/>
      <c r="I30" s="82"/>
      <c r="J30" s="82"/>
      <c r="K30" s="82"/>
      <c r="L30" s="82"/>
      <c r="M30" s="82"/>
      <c r="N30" s="82"/>
    </row>
    <row r="31" spans="1:15" customFormat="1" x14ac:dyDescent="0.25">
      <c r="A31" s="82"/>
      <c r="B31" s="82"/>
      <c r="C31" s="82"/>
      <c r="D31" s="82"/>
      <c r="E31" s="82"/>
      <c r="F31" s="82"/>
      <c r="G31" s="82"/>
      <c r="H31" s="82"/>
      <c r="I31" s="82"/>
      <c r="J31" s="82"/>
      <c r="K31" s="82"/>
      <c r="L31" s="82"/>
      <c r="M31" s="82"/>
      <c r="N31" s="82"/>
    </row>
    <row r="32" spans="1:15" customFormat="1" x14ac:dyDescent="0.25">
      <c r="A32" s="82"/>
      <c r="B32" s="82"/>
      <c r="C32" s="82"/>
      <c r="D32" s="82"/>
      <c r="E32" s="82"/>
      <c r="F32" s="82"/>
      <c r="G32" s="82"/>
      <c r="H32" s="82"/>
      <c r="I32" s="82"/>
      <c r="J32" s="82"/>
      <c r="K32" s="82"/>
      <c r="L32" s="82"/>
      <c r="M32" s="82"/>
      <c r="N32" s="82"/>
    </row>
    <row r="33" spans="1:14" customFormat="1" x14ac:dyDescent="0.25">
      <c r="A33" s="82"/>
      <c r="B33" s="82"/>
      <c r="C33" s="82"/>
      <c r="D33" s="82"/>
      <c r="E33" s="82"/>
      <c r="F33" s="82"/>
      <c r="G33" s="82"/>
      <c r="H33" s="82"/>
      <c r="I33" s="82"/>
      <c r="J33" s="82"/>
      <c r="K33" s="82"/>
      <c r="L33" s="82"/>
      <c r="M33" s="82"/>
      <c r="N33" s="82"/>
    </row>
    <row r="34" spans="1:14" customFormat="1" x14ac:dyDescent="0.25">
      <c r="A34" s="82"/>
      <c r="B34" s="82"/>
      <c r="C34" s="82"/>
      <c r="D34" s="82"/>
      <c r="E34" s="82"/>
      <c r="F34" s="82"/>
      <c r="G34" s="82"/>
      <c r="H34" s="82"/>
      <c r="I34" s="82"/>
      <c r="J34" s="82"/>
      <c r="K34" s="82"/>
      <c r="L34" s="82"/>
      <c r="M34" s="82"/>
      <c r="N34" s="82"/>
    </row>
    <row r="35" spans="1:14" customFormat="1" x14ac:dyDescent="0.25">
      <c r="A35" s="82"/>
      <c r="B35" s="82"/>
      <c r="C35" s="82"/>
      <c r="D35" s="82"/>
      <c r="E35" s="82"/>
      <c r="F35" s="82"/>
      <c r="G35" s="82"/>
      <c r="H35" s="82"/>
      <c r="I35" s="82"/>
      <c r="J35" s="82"/>
      <c r="K35" s="82"/>
      <c r="L35" s="82"/>
      <c r="M35" s="82"/>
      <c r="N35" s="82"/>
    </row>
    <row r="36" spans="1:14" customFormat="1" x14ac:dyDescent="0.25">
      <c r="A36" s="82"/>
      <c r="B36" s="82"/>
      <c r="C36" s="82"/>
      <c r="D36" s="82"/>
      <c r="E36" s="82"/>
      <c r="F36" s="82"/>
      <c r="G36" s="82"/>
      <c r="H36" s="82"/>
      <c r="I36" s="82"/>
      <c r="J36" s="82"/>
      <c r="K36" s="82"/>
      <c r="L36" s="82"/>
      <c r="M36" s="82"/>
      <c r="N36" s="82"/>
    </row>
    <row r="37" spans="1:14" customFormat="1" x14ac:dyDescent="0.25">
      <c r="A37" s="82"/>
      <c r="B37" s="82"/>
      <c r="C37" s="82"/>
      <c r="D37" s="82"/>
      <c r="E37" s="82"/>
      <c r="F37" s="82"/>
      <c r="G37" s="82"/>
      <c r="H37" s="82"/>
      <c r="I37" s="82"/>
      <c r="J37" s="82"/>
      <c r="K37" s="82"/>
      <c r="L37" s="82"/>
      <c r="M37" s="82"/>
      <c r="N37" s="82"/>
    </row>
    <row r="38" spans="1:14" customFormat="1" x14ac:dyDescent="0.25">
      <c r="A38" s="82"/>
      <c r="B38" s="82"/>
      <c r="C38" s="82"/>
      <c r="D38" s="82"/>
      <c r="E38" s="82"/>
      <c r="F38" s="82"/>
      <c r="G38" s="82"/>
      <c r="H38" s="82"/>
      <c r="I38" s="82"/>
      <c r="J38" s="82"/>
      <c r="K38" s="82"/>
      <c r="L38" s="82"/>
      <c r="M38" s="82"/>
      <c r="N38" s="82"/>
    </row>
    <row r="39" spans="1:14" customFormat="1" x14ac:dyDescent="0.25">
      <c r="A39" s="82"/>
      <c r="B39" s="82"/>
      <c r="C39" s="82"/>
      <c r="D39" s="82"/>
      <c r="E39" s="82"/>
      <c r="F39" s="82"/>
      <c r="G39" s="82"/>
      <c r="H39" s="82"/>
      <c r="I39" s="82"/>
      <c r="J39" s="82"/>
      <c r="K39" s="82"/>
      <c r="L39" s="82"/>
      <c r="M39" s="82"/>
      <c r="N39" s="82"/>
    </row>
    <row r="40" spans="1:14" customFormat="1" x14ac:dyDescent="0.25">
      <c r="A40" s="82"/>
      <c r="B40" s="82"/>
      <c r="C40" s="82"/>
      <c r="D40" s="82"/>
      <c r="E40" s="82"/>
      <c r="F40" s="82"/>
      <c r="G40" s="82"/>
      <c r="H40" s="82"/>
      <c r="I40" s="82"/>
      <c r="J40" s="82"/>
      <c r="K40" s="82"/>
      <c r="L40" s="82"/>
      <c r="M40" s="82"/>
      <c r="N40" s="82"/>
    </row>
    <row r="41" spans="1:14" customFormat="1" x14ac:dyDescent="0.25">
      <c r="A41" s="82"/>
      <c r="B41" s="82"/>
      <c r="C41" s="82"/>
      <c r="D41" s="82"/>
      <c r="E41" s="82"/>
      <c r="F41" s="82"/>
      <c r="G41" s="82"/>
      <c r="H41" s="82"/>
      <c r="I41" s="82"/>
      <c r="J41" s="82"/>
      <c r="K41" s="82"/>
      <c r="L41" s="82"/>
      <c r="M41" s="82"/>
      <c r="N41" s="82"/>
    </row>
    <row r="42" spans="1:14" customFormat="1" x14ac:dyDescent="0.25">
      <c r="A42" s="82"/>
      <c r="B42" s="82"/>
      <c r="C42" s="82"/>
      <c r="D42" s="82"/>
      <c r="E42" s="82"/>
      <c r="F42" s="82"/>
      <c r="G42" s="82"/>
      <c r="H42" s="82"/>
      <c r="I42" s="82"/>
      <c r="J42" s="82"/>
      <c r="K42" s="82"/>
      <c r="L42" s="82"/>
      <c r="M42" s="82"/>
      <c r="N42" s="82"/>
    </row>
    <row r="43" spans="1:14" customFormat="1" x14ac:dyDescent="0.25">
      <c r="A43" s="82"/>
      <c r="B43" s="82"/>
      <c r="C43" s="82"/>
      <c r="D43" s="82"/>
      <c r="E43" s="82"/>
      <c r="F43" s="82"/>
      <c r="G43" s="82"/>
      <c r="H43" s="82"/>
      <c r="I43" s="82"/>
      <c r="J43" s="82"/>
      <c r="K43" s="82"/>
      <c r="L43" s="82"/>
      <c r="M43" s="82"/>
      <c r="N43" s="82"/>
    </row>
    <row r="44" spans="1:14" customFormat="1" x14ac:dyDescent="0.25">
      <c r="A44" s="82"/>
      <c r="B44" s="82"/>
      <c r="C44" s="82"/>
      <c r="D44" s="82"/>
      <c r="E44" s="82"/>
      <c r="F44" s="82"/>
      <c r="G44" s="82"/>
      <c r="H44" s="82"/>
      <c r="I44" s="82"/>
      <c r="J44" s="82"/>
      <c r="K44" s="82"/>
      <c r="L44" s="82"/>
      <c r="M44" s="82"/>
      <c r="N44" s="82"/>
    </row>
    <row r="45" spans="1:14" customFormat="1" x14ac:dyDescent="0.25">
      <c r="A45" s="82"/>
      <c r="B45" s="82"/>
      <c r="C45" s="82"/>
      <c r="D45" s="82"/>
      <c r="E45" s="82"/>
      <c r="F45" s="82"/>
      <c r="G45" s="82"/>
      <c r="H45" s="82"/>
      <c r="I45" s="82"/>
      <c r="J45" s="82"/>
      <c r="K45" s="82"/>
      <c r="L45" s="82"/>
      <c r="M45" s="82"/>
      <c r="N45" s="82"/>
    </row>
    <row r="46" spans="1:14" customFormat="1" x14ac:dyDescent="0.25">
      <c r="A46" s="82"/>
      <c r="B46" s="82"/>
      <c r="C46" s="82"/>
      <c r="D46" s="82"/>
      <c r="E46" s="82"/>
      <c r="F46" s="82"/>
      <c r="G46" s="82"/>
      <c r="H46" s="82"/>
      <c r="I46" s="82"/>
      <c r="J46" s="82"/>
      <c r="K46" s="82"/>
      <c r="L46" s="82"/>
      <c r="M46" s="82"/>
      <c r="N46" s="82"/>
    </row>
    <row r="47" spans="1:14" customFormat="1" x14ac:dyDescent="0.25">
      <c r="A47" s="82"/>
      <c r="B47" s="82"/>
      <c r="C47" s="82"/>
      <c r="D47" s="82"/>
      <c r="E47" s="82"/>
      <c r="F47" s="82"/>
      <c r="G47" s="82"/>
      <c r="H47" s="82"/>
      <c r="I47" s="82"/>
      <c r="J47" s="82"/>
      <c r="K47" s="82"/>
      <c r="L47" s="82"/>
      <c r="M47" s="82"/>
      <c r="N47" s="82"/>
    </row>
    <row r="48" spans="1:14" customFormat="1" x14ac:dyDescent="0.25">
      <c r="A48" s="82"/>
      <c r="B48" s="82"/>
      <c r="C48" s="82"/>
      <c r="D48" s="82"/>
      <c r="E48" s="82"/>
      <c r="F48" s="82"/>
      <c r="G48" s="82"/>
      <c r="H48" s="82"/>
      <c r="I48" s="82"/>
      <c r="J48" s="82"/>
      <c r="K48" s="82"/>
      <c r="L48" s="82"/>
      <c r="M48" s="82"/>
      <c r="N48" s="82"/>
    </row>
    <row r="49" spans="1:14" customFormat="1" x14ac:dyDescent="0.25">
      <c r="A49" s="82"/>
      <c r="B49" s="82"/>
      <c r="C49" s="82"/>
      <c r="D49" s="82"/>
      <c r="E49" s="82"/>
      <c r="F49" s="82"/>
      <c r="G49" s="82"/>
      <c r="H49" s="82"/>
      <c r="I49" s="82"/>
      <c r="J49" s="82"/>
      <c r="K49" s="82"/>
      <c r="L49" s="82"/>
      <c r="M49" s="82"/>
      <c r="N49" s="82"/>
    </row>
    <row r="50" spans="1:14" customFormat="1" x14ac:dyDescent="0.25">
      <c r="A50" s="82"/>
      <c r="B50" s="82"/>
      <c r="C50" s="82"/>
      <c r="D50" s="82"/>
      <c r="E50" s="82"/>
      <c r="F50" s="82"/>
      <c r="G50" s="82"/>
      <c r="H50" s="82"/>
      <c r="I50" s="82"/>
      <c r="J50" s="82"/>
      <c r="K50" s="82"/>
      <c r="L50" s="82"/>
      <c r="M50" s="82"/>
      <c r="N50" s="82"/>
    </row>
    <row r="51" spans="1:14" customFormat="1" x14ac:dyDescent="0.25">
      <c r="A51" s="82"/>
      <c r="B51" s="82"/>
      <c r="C51" s="82"/>
      <c r="D51" s="82"/>
      <c r="E51" s="82"/>
      <c r="F51" s="82"/>
      <c r="G51" s="82"/>
      <c r="H51" s="82"/>
      <c r="I51" s="82"/>
      <c r="J51" s="82"/>
      <c r="K51" s="82"/>
      <c r="L51" s="82"/>
      <c r="M51" s="82"/>
      <c r="N51" s="82"/>
    </row>
    <row r="52" spans="1:14" customFormat="1" x14ac:dyDescent="0.25">
      <c r="A52" s="82"/>
      <c r="B52" s="82"/>
      <c r="C52" s="82"/>
      <c r="D52" s="82"/>
      <c r="E52" s="82"/>
      <c r="F52" s="82"/>
      <c r="G52" s="82"/>
      <c r="H52" s="82"/>
      <c r="I52" s="82"/>
      <c r="J52" s="82"/>
      <c r="K52" s="82"/>
      <c r="L52" s="82"/>
      <c r="M52" s="82"/>
      <c r="N52" s="82"/>
    </row>
    <row r="53" spans="1:14" customFormat="1" x14ac:dyDescent="0.25">
      <c r="A53" s="82"/>
      <c r="B53" s="82"/>
      <c r="C53" s="82"/>
      <c r="D53" s="82"/>
      <c r="E53" s="82"/>
      <c r="F53" s="82"/>
      <c r="G53" s="82"/>
      <c r="H53" s="82"/>
      <c r="I53" s="82"/>
      <c r="J53" s="82"/>
      <c r="K53" s="82"/>
      <c r="L53" s="82"/>
      <c r="M53" s="82"/>
      <c r="N53" s="82"/>
    </row>
    <row r="54" spans="1:14" customFormat="1" x14ac:dyDescent="0.25">
      <c r="A54" s="82"/>
      <c r="B54" s="82"/>
      <c r="C54" s="82"/>
      <c r="D54" s="82"/>
      <c r="E54" s="82"/>
      <c r="F54" s="82"/>
      <c r="G54" s="82"/>
      <c r="H54" s="82"/>
      <c r="I54" s="82"/>
      <c r="J54" s="82"/>
      <c r="K54" s="82"/>
      <c r="L54" s="82"/>
      <c r="M54" s="82"/>
      <c r="N54" s="82"/>
    </row>
    <row r="55" spans="1:14" customFormat="1" x14ac:dyDescent="0.25">
      <c r="A55" s="82"/>
      <c r="B55" s="82"/>
      <c r="C55" s="82"/>
      <c r="D55" s="82"/>
      <c r="E55" s="82"/>
      <c r="F55" s="82"/>
      <c r="G55" s="82"/>
      <c r="H55" s="82"/>
      <c r="I55" s="82"/>
      <c r="J55" s="82"/>
      <c r="K55" s="82"/>
      <c r="L55" s="82"/>
      <c r="M55" s="82"/>
      <c r="N55" s="82"/>
    </row>
    <row r="56" spans="1:14" customFormat="1" x14ac:dyDescent="0.25">
      <c r="A56" s="82"/>
      <c r="B56" s="82"/>
      <c r="C56" s="82"/>
      <c r="D56" s="82"/>
      <c r="E56" s="82"/>
      <c r="F56" s="82"/>
      <c r="G56" s="82"/>
      <c r="H56" s="82"/>
      <c r="I56" s="82"/>
      <c r="J56" s="82"/>
      <c r="K56" s="82"/>
      <c r="L56" s="82"/>
      <c r="M56" s="82"/>
      <c r="N56" s="82"/>
    </row>
    <row r="57" spans="1:14" customFormat="1" x14ac:dyDescent="0.25">
      <c r="A57" s="82"/>
      <c r="B57" s="82"/>
      <c r="C57" s="82"/>
      <c r="D57" s="82"/>
      <c r="E57" s="82"/>
      <c r="F57" s="82"/>
      <c r="G57" s="82"/>
      <c r="H57" s="82"/>
      <c r="I57" s="82"/>
      <c r="J57" s="82"/>
      <c r="K57" s="82"/>
      <c r="L57" s="82"/>
      <c r="M57" s="82"/>
      <c r="N57" s="82"/>
    </row>
    <row r="58" spans="1:14" customFormat="1" x14ac:dyDescent="0.25">
      <c r="A58" s="82"/>
      <c r="B58" s="82"/>
      <c r="C58" s="82"/>
      <c r="D58" s="82"/>
      <c r="E58" s="82"/>
      <c r="F58" s="82"/>
      <c r="G58" s="82"/>
      <c r="H58" s="82"/>
      <c r="I58" s="82"/>
      <c r="J58" s="82"/>
      <c r="K58" s="82"/>
      <c r="L58" s="82"/>
      <c r="M58" s="82"/>
      <c r="N58" s="82"/>
    </row>
    <row r="59" spans="1:14" customFormat="1" x14ac:dyDescent="0.25">
      <c r="A59" s="82"/>
      <c r="B59" s="82"/>
      <c r="C59" s="82"/>
      <c r="D59" s="82"/>
      <c r="E59" s="82"/>
      <c r="F59" s="82"/>
      <c r="G59" s="82"/>
      <c r="H59" s="82"/>
      <c r="I59" s="82"/>
      <c r="J59" s="82"/>
      <c r="K59" s="82"/>
      <c r="L59" s="82"/>
      <c r="M59" s="82"/>
      <c r="N59" s="82"/>
    </row>
    <row r="60" spans="1:14" customFormat="1" x14ac:dyDescent="0.25">
      <c r="A60" s="82"/>
      <c r="B60" s="82"/>
      <c r="C60" s="82"/>
      <c r="D60" s="82"/>
      <c r="E60" s="82"/>
      <c r="F60" s="82"/>
      <c r="G60" s="82"/>
      <c r="H60" s="82"/>
      <c r="I60" s="82"/>
      <c r="J60" s="82"/>
      <c r="K60" s="82"/>
      <c r="L60" s="82"/>
      <c r="M60" s="82"/>
      <c r="N60" s="82"/>
    </row>
    <row r="61" spans="1:14" customFormat="1" x14ac:dyDescent="0.25">
      <c r="A61" s="82"/>
      <c r="B61" s="82"/>
      <c r="C61" s="82"/>
      <c r="D61" s="82"/>
      <c r="E61" s="82"/>
      <c r="F61" s="82"/>
      <c r="G61" s="82"/>
      <c r="H61" s="82"/>
      <c r="I61" s="82"/>
      <c r="J61" s="82"/>
      <c r="K61" s="82"/>
      <c r="L61" s="82"/>
      <c r="M61" s="82"/>
      <c r="N61" s="82"/>
    </row>
    <row r="62" spans="1:14" customFormat="1" x14ac:dyDescent="0.25">
      <c r="A62" s="82"/>
      <c r="B62" s="82"/>
      <c r="C62" s="82"/>
      <c r="D62" s="82"/>
      <c r="E62" s="82"/>
      <c r="F62" s="82"/>
      <c r="G62" s="82"/>
      <c r="H62" s="82"/>
      <c r="I62" s="82"/>
      <c r="J62" s="82"/>
      <c r="K62" s="82"/>
      <c r="L62" s="82"/>
      <c r="M62" s="82"/>
      <c r="N62" s="82"/>
    </row>
    <row r="63" spans="1:14" customFormat="1" x14ac:dyDescent="0.25">
      <c r="A63" s="82"/>
      <c r="B63" s="82"/>
      <c r="C63" s="82"/>
      <c r="D63" s="82"/>
      <c r="E63" s="82"/>
      <c r="F63" s="82"/>
      <c r="G63" s="82"/>
      <c r="H63" s="82"/>
      <c r="I63" s="82"/>
      <c r="J63" s="82"/>
      <c r="K63" s="82"/>
      <c r="L63" s="82"/>
      <c r="M63" s="82"/>
      <c r="N63" s="82"/>
    </row>
    <row r="64" spans="1:14" customFormat="1" x14ac:dyDescent="0.25">
      <c r="A64" s="82"/>
      <c r="B64" s="82"/>
      <c r="C64" s="82"/>
      <c r="D64" s="82"/>
      <c r="E64" s="82"/>
      <c r="F64" s="82"/>
      <c r="G64" s="82"/>
      <c r="H64" s="82"/>
      <c r="I64" s="82"/>
      <c r="J64" s="82"/>
      <c r="K64" s="82"/>
      <c r="L64" s="82"/>
      <c r="M64" s="82"/>
      <c r="N64" s="82"/>
    </row>
    <row r="65" spans="1:14" customFormat="1" x14ac:dyDescent="0.25">
      <c r="A65" s="82"/>
      <c r="B65" s="82"/>
      <c r="C65" s="82"/>
      <c r="D65" s="82"/>
      <c r="E65" s="82"/>
      <c r="F65" s="82"/>
      <c r="G65" s="82"/>
      <c r="H65" s="82"/>
      <c r="I65" s="82"/>
      <c r="J65" s="82"/>
      <c r="K65" s="82"/>
      <c r="L65" s="82"/>
      <c r="M65" s="82"/>
      <c r="N65" s="82"/>
    </row>
    <row r="66" spans="1:14" customFormat="1" x14ac:dyDescent="0.25">
      <c r="A66" s="82"/>
      <c r="B66" s="82"/>
      <c r="C66" s="82"/>
      <c r="D66" s="82"/>
      <c r="E66" s="82"/>
      <c r="F66" s="82"/>
      <c r="G66" s="82"/>
      <c r="H66" s="82"/>
      <c r="I66" s="82"/>
      <c r="J66" s="82"/>
      <c r="K66" s="82"/>
      <c r="L66" s="82"/>
      <c r="M66" s="82"/>
      <c r="N66" s="82"/>
    </row>
    <row r="67" spans="1:14" customFormat="1" x14ac:dyDescent="0.25">
      <c r="A67" s="82"/>
      <c r="B67" s="82"/>
      <c r="C67" s="82"/>
      <c r="D67" s="82"/>
      <c r="E67" s="82"/>
      <c r="F67" s="82"/>
      <c r="G67" s="82"/>
      <c r="H67" s="82"/>
      <c r="I67" s="82"/>
      <c r="J67" s="82"/>
      <c r="K67" s="82"/>
      <c r="L67" s="82"/>
      <c r="M67" s="82"/>
      <c r="N67" s="82"/>
    </row>
    <row r="68" spans="1:14" customFormat="1" x14ac:dyDescent="0.25">
      <c r="A68" s="82"/>
      <c r="B68" s="82"/>
      <c r="C68" s="82"/>
      <c r="D68" s="82"/>
      <c r="E68" s="82"/>
      <c r="F68" s="82"/>
      <c r="G68" s="82"/>
      <c r="H68" s="82"/>
      <c r="I68" s="82"/>
      <c r="J68" s="82"/>
      <c r="K68" s="82"/>
      <c r="L68" s="82"/>
      <c r="M68" s="82"/>
      <c r="N68" s="82"/>
    </row>
    <row r="69" spans="1:14" customFormat="1" x14ac:dyDescent="0.25">
      <c r="A69" s="82"/>
      <c r="B69" s="82"/>
      <c r="C69" s="82"/>
      <c r="D69" s="82"/>
      <c r="E69" s="82"/>
      <c r="F69" s="82"/>
      <c r="G69" s="82"/>
      <c r="H69" s="82"/>
      <c r="I69" s="82"/>
      <c r="J69" s="82"/>
      <c r="K69" s="82"/>
      <c r="L69" s="82"/>
      <c r="M69" s="82"/>
      <c r="N69" s="82"/>
    </row>
    <row r="70" spans="1:14" customFormat="1" x14ac:dyDescent="0.25">
      <c r="A70" s="82"/>
      <c r="B70" s="82"/>
      <c r="C70" s="82"/>
      <c r="D70" s="82"/>
      <c r="E70" s="82"/>
      <c r="F70" s="82"/>
      <c r="G70" s="82"/>
      <c r="H70" s="82"/>
      <c r="I70" s="82"/>
      <c r="J70" s="82"/>
      <c r="K70" s="82"/>
      <c r="L70" s="82"/>
      <c r="M70" s="82"/>
      <c r="N70" s="82"/>
    </row>
    <row r="71" spans="1:14" customFormat="1" x14ac:dyDescent="0.25">
      <c r="A71" s="82"/>
      <c r="B71" s="82"/>
      <c r="C71" s="82"/>
      <c r="D71" s="82"/>
      <c r="E71" s="82"/>
      <c r="F71" s="82"/>
      <c r="G71" s="82"/>
      <c r="H71" s="82"/>
      <c r="I71" s="82"/>
      <c r="J71" s="82"/>
      <c r="K71" s="82"/>
      <c r="L71" s="82"/>
      <c r="M71" s="82"/>
      <c r="N71" s="82"/>
    </row>
    <row r="72" spans="1:14" customFormat="1" x14ac:dyDescent="0.25">
      <c r="A72" s="82"/>
      <c r="B72" s="82"/>
      <c r="C72" s="82"/>
      <c r="D72" s="82"/>
      <c r="E72" s="82"/>
      <c r="F72" s="82"/>
      <c r="G72" s="82"/>
      <c r="H72" s="82"/>
      <c r="I72" s="82"/>
      <c r="J72" s="82"/>
      <c r="K72" s="82"/>
      <c r="L72" s="82"/>
      <c r="M72" s="82"/>
      <c r="N72" s="82"/>
    </row>
    <row r="73" spans="1:14" customFormat="1" x14ac:dyDescent="0.25">
      <c r="A73" s="82"/>
      <c r="B73" s="82"/>
      <c r="C73" s="82"/>
      <c r="D73" s="82"/>
      <c r="E73" s="82"/>
      <c r="F73" s="82"/>
      <c r="G73" s="82"/>
      <c r="H73" s="82"/>
      <c r="I73" s="82"/>
      <c r="J73" s="82"/>
      <c r="K73" s="82"/>
      <c r="L73" s="82"/>
      <c r="M73" s="82"/>
      <c r="N73" s="82"/>
    </row>
    <row r="74" spans="1:14" customFormat="1" x14ac:dyDescent="0.25">
      <c r="A74" s="82"/>
      <c r="B74" s="82"/>
      <c r="C74" s="82"/>
      <c r="D74" s="82"/>
      <c r="E74" s="82"/>
      <c r="F74" s="82"/>
      <c r="G74" s="82"/>
      <c r="H74" s="82"/>
      <c r="I74" s="82"/>
      <c r="J74" s="82"/>
      <c r="K74" s="82"/>
      <c r="L74" s="82"/>
      <c r="M74" s="82"/>
      <c r="N74" s="82"/>
    </row>
    <row r="75" spans="1:14" customFormat="1" x14ac:dyDescent="0.25">
      <c r="A75" s="82"/>
      <c r="B75" s="82"/>
      <c r="C75" s="82"/>
      <c r="D75" s="82"/>
      <c r="E75" s="82"/>
      <c r="F75" s="82"/>
      <c r="G75" s="82"/>
      <c r="H75" s="82"/>
      <c r="I75" s="82"/>
      <c r="J75" s="82"/>
      <c r="K75" s="82"/>
      <c r="L75" s="82"/>
      <c r="M75" s="82"/>
      <c r="N75" s="82"/>
    </row>
    <row r="76" spans="1:14" customFormat="1" x14ac:dyDescent="0.25">
      <c r="A76" s="82"/>
      <c r="B76" s="82"/>
      <c r="C76" s="82"/>
      <c r="D76" s="82"/>
      <c r="E76" s="82"/>
      <c r="F76" s="82"/>
      <c r="G76" s="82"/>
      <c r="H76" s="82"/>
      <c r="I76" s="82"/>
      <c r="J76" s="82"/>
      <c r="K76" s="82"/>
      <c r="L76" s="82"/>
      <c r="M76" s="82"/>
      <c r="N76" s="82"/>
    </row>
    <row r="77" spans="1:14" customFormat="1" x14ac:dyDescent="0.25">
      <c r="A77" s="82"/>
      <c r="B77" s="82"/>
      <c r="C77" s="82"/>
      <c r="D77" s="82"/>
      <c r="E77" s="82"/>
      <c r="F77" s="82"/>
      <c r="G77" s="82"/>
      <c r="H77" s="82"/>
      <c r="I77" s="82"/>
      <c r="J77" s="82"/>
      <c r="K77" s="82"/>
      <c r="L77" s="82"/>
      <c r="M77" s="82"/>
      <c r="N77" s="82"/>
    </row>
    <row r="78" spans="1:14" customFormat="1" x14ac:dyDescent="0.25">
      <c r="A78" s="82"/>
      <c r="B78" s="82"/>
      <c r="C78" s="82"/>
      <c r="D78" s="82"/>
      <c r="E78" s="82"/>
      <c r="F78" s="82"/>
      <c r="G78" s="82"/>
      <c r="H78" s="82"/>
      <c r="I78" s="82"/>
      <c r="J78" s="82"/>
      <c r="K78" s="82"/>
      <c r="L78" s="82"/>
      <c r="M78" s="82"/>
      <c r="N78" s="82"/>
    </row>
    <row r="79" spans="1:14" customFormat="1" x14ac:dyDescent="0.25">
      <c r="A79" s="82"/>
      <c r="B79" s="82"/>
      <c r="C79" s="82"/>
      <c r="D79" s="82"/>
      <c r="E79" s="82"/>
      <c r="F79" s="82"/>
      <c r="G79" s="82"/>
      <c r="H79" s="82"/>
      <c r="I79" s="82"/>
      <c r="J79" s="82"/>
      <c r="K79" s="82"/>
      <c r="L79" s="82"/>
      <c r="M79" s="82"/>
      <c r="N79" s="82"/>
    </row>
    <row r="80" spans="1:14" customFormat="1" x14ac:dyDescent="0.25">
      <c r="A80" s="82"/>
      <c r="B80" s="82"/>
      <c r="C80" s="82"/>
      <c r="D80" s="82"/>
      <c r="E80" s="82"/>
      <c r="F80" s="82"/>
      <c r="G80" s="82"/>
      <c r="H80" s="82"/>
      <c r="I80" s="82"/>
      <c r="J80" s="82"/>
      <c r="K80" s="82"/>
      <c r="L80" s="82"/>
      <c r="M80" s="82"/>
      <c r="N80" s="82"/>
    </row>
    <row r="81" spans="1:14" customFormat="1" x14ac:dyDescent="0.25">
      <c r="A81" s="82"/>
      <c r="B81" s="82"/>
      <c r="C81" s="82"/>
      <c r="D81" s="82"/>
      <c r="E81" s="82"/>
      <c r="F81" s="82"/>
      <c r="G81" s="82"/>
      <c r="H81" s="82"/>
      <c r="I81" s="82"/>
      <c r="J81" s="82"/>
      <c r="K81" s="82"/>
      <c r="L81" s="82"/>
      <c r="M81" s="82"/>
      <c r="N81" s="82"/>
    </row>
    <row r="82" spans="1:14" customFormat="1" x14ac:dyDescent="0.25">
      <c r="A82" s="82"/>
      <c r="B82" s="82"/>
      <c r="C82" s="82"/>
      <c r="D82" s="82"/>
      <c r="E82" s="82"/>
      <c r="F82" s="82"/>
      <c r="G82" s="82"/>
      <c r="H82" s="82"/>
      <c r="I82" s="82"/>
      <c r="J82" s="82"/>
      <c r="K82" s="82"/>
      <c r="L82" s="82"/>
      <c r="M82" s="82"/>
      <c r="N82" s="82"/>
    </row>
    <row r="83" spans="1:14" customFormat="1" x14ac:dyDescent="0.25">
      <c r="A83" s="82"/>
      <c r="B83" s="82"/>
      <c r="C83" s="82"/>
      <c r="D83" s="82"/>
      <c r="E83" s="82"/>
      <c r="F83" s="82"/>
      <c r="G83" s="82"/>
      <c r="H83" s="82"/>
      <c r="I83" s="82"/>
      <c r="J83" s="82"/>
      <c r="K83" s="82"/>
      <c r="L83" s="82"/>
      <c r="M83" s="82"/>
      <c r="N83" s="82"/>
    </row>
    <row r="84" spans="1:14" customFormat="1" x14ac:dyDescent="0.25">
      <c r="A84" s="82"/>
      <c r="B84" s="82"/>
      <c r="C84" s="82"/>
      <c r="D84" s="82"/>
      <c r="E84" s="82"/>
      <c r="F84" s="82"/>
      <c r="G84" s="82"/>
      <c r="H84" s="82"/>
      <c r="I84" s="82"/>
      <c r="J84" s="82"/>
      <c r="K84" s="82"/>
      <c r="L84" s="82"/>
      <c r="M84" s="82"/>
      <c r="N84" s="82"/>
    </row>
    <row r="85" spans="1:14" customFormat="1" x14ac:dyDescent="0.25">
      <c r="A85" s="82"/>
      <c r="B85" s="82"/>
      <c r="C85" s="82"/>
      <c r="D85" s="82"/>
      <c r="E85" s="82"/>
      <c r="F85" s="82"/>
      <c r="G85" s="82"/>
      <c r="H85" s="82"/>
      <c r="I85" s="82"/>
      <c r="J85" s="82"/>
      <c r="K85" s="82"/>
      <c r="L85" s="82"/>
      <c r="M85" s="82"/>
      <c r="N85" s="82"/>
    </row>
    <row r="86" spans="1:14" customFormat="1" x14ac:dyDescent="0.25">
      <c r="A86" s="82"/>
      <c r="B86" s="82"/>
      <c r="C86" s="82"/>
      <c r="D86" s="82"/>
      <c r="E86" s="82"/>
      <c r="F86" s="82"/>
      <c r="G86" s="82"/>
      <c r="H86" s="82"/>
      <c r="I86" s="82"/>
      <c r="J86" s="82"/>
      <c r="K86" s="82"/>
      <c r="L86" s="82"/>
      <c r="M86" s="82"/>
      <c r="N86" s="82"/>
    </row>
    <row r="87" spans="1:14" customFormat="1" x14ac:dyDescent="0.25">
      <c r="A87" s="82"/>
      <c r="B87" s="82"/>
      <c r="C87" s="82"/>
      <c r="D87" s="82"/>
      <c r="E87" s="82"/>
      <c r="F87" s="82"/>
      <c r="G87" s="82"/>
      <c r="H87" s="82"/>
      <c r="I87" s="82"/>
      <c r="J87" s="82"/>
      <c r="K87" s="82"/>
      <c r="L87" s="82"/>
      <c r="M87" s="82"/>
      <c r="N87" s="82"/>
    </row>
    <row r="88" spans="1:14" customFormat="1" x14ac:dyDescent="0.25">
      <c r="A88" s="82"/>
      <c r="B88" s="82"/>
      <c r="C88" s="82"/>
      <c r="D88" s="82"/>
      <c r="E88" s="82"/>
      <c r="F88" s="82"/>
      <c r="G88" s="82"/>
      <c r="H88" s="82"/>
      <c r="I88" s="82"/>
      <c r="J88" s="82"/>
      <c r="K88" s="82"/>
      <c r="L88" s="82"/>
      <c r="M88" s="82"/>
      <c r="N88" s="82"/>
    </row>
    <row r="89" spans="1:14" customFormat="1" x14ac:dyDescent="0.25">
      <c r="A89" s="82"/>
      <c r="B89" s="82"/>
      <c r="C89" s="82"/>
      <c r="D89" s="82"/>
      <c r="E89" s="82"/>
      <c r="F89" s="82"/>
      <c r="G89" s="82"/>
      <c r="H89" s="82"/>
      <c r="I89" s="82"/>
      <c r="J89" s="82"/>
      <c r="K89" s="82"/>
      <c r="L89" s="82"/>
      <c r="M89" s="82"/>
      <c r="N89" s="82"/>
    </row>
    <row r="90" spans="1:14" customFormat="1" x14ac:dyDescent="0.25">
      <c r="A90" s="82"/>
      <c r="B90" s="82"/>
      <c r="C90" s="82"/>
      <c r="D90" s="82"/>
      <c r="E90" s="82"/>
      <c r="F90" s="82"/>
      <c r="G90" s="82"/>
      <c r="H90" s="82"/>
      <c r="I90" s="82"/>
      <c r="J90" s="82"/>
      <c r="K90" s="82"/>
      <c r="L90" s="82"/>
      <c r="M90" s="82"/>
      <c r="N90" s="82"/>
    </row>
    <row r="91" spans="1:14" customFormat="1" x14ac:dyDescent="0.25">
      <c r="A91" s="82"/>
      <c r="B91" s="82"/>
      <c r="C91" s="82"/>
      <c r="D91" s="82"/>
      <c r="E91" s="82"/>
      <c r="F91" s="82"/>
      <c r="G91" s="82"/>
      <c r="H91" s="82"/>
      <c r="I91" s="82"/>
      <c r="J91" s="82"/>
      <c r="K91" s="82"/>
      <c r="L91" s="82"/>
      <c r="M91" s="82"/>
      <c r="N91" s="82"/>
    </row>
    <row r="92" spans="1:14" customFormat="1" x14ac:dyDescent="0.25">
      <c r="A92" s="82"/>
      <c r="B92" s="82"/>
      <c r="C92" s="82"/>
      <c r="D92" s="82"/>
      <c r="E92" s="82"/>
      <c r="F92" s="82"/>
      <c r="G92" s="82"/>
      <c r="H92" s="82"/>
      <c r="I92" s="82"/>
      <c r="J92" s="82"/>
      <c r="K92" s="82"/>
      <c r="L92" s="82"/>
      <c r="M92" s="82"/>
      <c r="N92" s="82"/>
    </row>
    <row r="93" spans="1:14" customFormat="1" x14ac:dyDescent="0.25">
      <c r="A93" s="82"/>
      <c r="B93" s="82"/>
      <c r="C93" s="82"/>
      <c r="D93" s="82"/>
      <c r="E93" s="82"/>
      <c r="F93" s="82"/>
      <c r="G93" s="82"/>
      <c r="H93" s="82"/>
      <c r="I93" s="82"/>
      <c r="J93" s="82"/>
      <c r="K93" s="82"/>
      <c r="L93" s="82"/>
      <c r="M93" s="82"/>
      <c r="N93" s="82"/>
    </row>
    <row r="94" spans="1:14" customFormat="1" x14ac:dyDescent="0.25">
      <c r="A94" s="82"/>
      <c r="B94" s="82"/>
      <c r="C94" s="82"/>
      <c r="D94" s="82"/>
      <c r="E94" s="82"/>
      <c r="F94" s="82"/>
      <c r="G94" s="82"/>
      <c r="H94" s="82"/>
      <c r="I94" s="82"/>
      <c r="J94" s="82"/>
      <c r="K94" s="82"/>
      <c r="L94" s="82"/>
      <c r="M94" s="82"/>
      <c r="N94" s="82"/>
    </row>
    <row r="95" spans="1:14" customFormat="1" x14ac:dyDescent="0.25">
      <c r="A95" s="82"/>
      <c r="B95" s="82"/>
      <c r="C95" s="82"/>
      <c r="D95" s="82"/>
      <c r="E95" s="82"/>
      <c r="F95" s="82"/>
      <c r="G95" s="82"/>
      <c r="H95" s="82"/>
      <c r="I95" s="82"/>
      <c r="J95" s="82"/>
      <c r="K95" s="82"/>
      <c r="L95" s="82"/>
      <c r="M95" s="82"/>
      <c r="N95" s="82"/>
    </row>
    <row r="96" spans="1:14" customFormat="1" x14ac:dyDescent="0.25">
      <c r="A96" s="82"/>
      <c r="B96" s="82"/>
      <c r="C96" s="82"/>
      <c r="D96" s="82"/>
      <c r="E96" s="82"/>
      <c r="F96" s="82"/>
      <c r="G96" s="82"/>
      <c r="H96" s="82"/>
      <c r="I96" s="82"/>
      <c r="J96" s="82"/>
      <c r="K96" s="82"/>
      <c r="L96" s="82"/>
      <c r="M96" s="82"/>
      <c r="N96" s="82"/>
    </row>
    <row r="97" spans="1:14" customFormat="1" x14ac:dyDescent="0.25">
      <c r="A97" s="82"/>
      <c r="B97" s="82"/>
      <c r="C97" s="82"/>
      <c r="D97" s="82"/>
      <c r="E97" s="82"/>
      <c r="F97" s="82"/>
      <c r="G97" s="82"/>
      <c r="H97" s="82"/>
      <c r="I97" s="82"/>
      <c r="J97" s="82"/>
      <c r="K97" s="82"/>
      <c r="L97" s="82"/>
      <c r="M97" s="82"/>
      <c r="N97" s="82"/>
    </row>
    <row r="98" spans="1:14" customFormat="1" x14ac:dyDescent="0.25">
      <c r="A98" s="82"/>
      <c r="B98" s="82"/>
      <c r="C98" s="82"/>
      <c r="D98" s="82"/>
      <c r="E98" s="82"/>
      <c r="F98" s="82"/>
      <c r="G98" s="82"/>
      <c r="H98" s="82"/>
      <c r="I98" s="82"/>
      <c r="J98" s="82"/>
      <c r="K98" s="82"/>
      <c r="L98" s="82"/>
      <c r="M98" s="82"/>
      <c r="N98" s="82"/>
    </row>
    <row r="99" spans="1:14" customFormat="1" x14ac:dyDescent="0.25">
      <c r="A99" s="82"/>
      <c r="B99" s="82"/>
      <c r="C99" s="82"/>
      <c r="D99" s="82"/>
      <c r="E99" s="82"/>
      <c r="F99" s="82"/>
      <c r="G99" s="82"/>
      <c r="H99" s="82"/>
      <c r="I99" s="82"/>
      <c r="J99" s="82"/>
      <c r="K99" s="82"/>
      <c r="L99" s="82"/>
      <c r="M99" s="82"/>
      <c r="N99" s="82"/>
    </row>
    <row r="100" spans="1:14" customFormat="1" x14ac:dyDescent="0.25">
      <c r="A100" s="82"/>
      <c r="B100" s="82"/>
      <c r="C100" s="82"/>
      <c r="D100" s="82"/>
      <c r="E100" s="82"/>
      <c r="F100" s="82"/>
      <c r="G100" s="82"/>
      <c r="H100" s="82"/>
      <c r="I100" s="82"/>
      <c r="J100" s="82"/>
      <c r="K100" s="82"/>
      <c r="L100" s="82"/>
      <c r="M100" s="82"/>
      <c r="N100" s="82"/>
    </row>
    <row r="101" spans="1:14" customFormat="1" x14ac:dyDescent="0.25">
      <c r="A101" s="82"/>
      <c r="B101" s="82"/>
      <c r="C101" s="82"/>
      <c r="D101" s="82"/>
      <c r="E101" s="82"/>
      <c r="F101" s="82"/>
      <c r="G101" s="82"/>
      <c r="H101" s="82"/>
      <c r="I101" s="82"/>
      <c r="J101" s="82"/>
      <c r="K101" s="82"/>
      <c r="L101" s="82"/>
      <c r="M101" s="82"/>
      <c r="N101" s="82"/>
    </row>
    <row r="102" spans="1:14" customFormat="1" x14ac:dyDescent="0.25">
      <c r="A102" s="82"/>
      <c r="B102" s="82"/>
      <c r="C102" s="82"/>
      <c r="D102" s="82"/>
      <c r="E102" s="82"/>
      <c r="F102" s="82"/>
      <c r="G102" s="82"/>
      <c r="H102" s="82"/>
      <c r="I102" s="82"/>
      <c r="J102" s="82"/>
      <c r="K102" s="82"/>
      <c r="L102" s="82"/>
      <c r="M102" s="82"/>
      <c r="N102" s="82"/>
    </row>
    <row r="103" spans="1:14" customFormat="1" x14ac:dyDescent="0.25">
      <c r="A103" s="82"/>
      <c r="B103" s="82"/>
      <c r="C103" s="82"/>
      <c r="D103" s="82"/>
      <c r="E103" s="82"/>
      <c r="F103" s="82"/>
      <c r="G103" s="82"/>
      <c r="H103" s="82"/>
      <c r="I103" s="82"/>
      <c r="J103" s="82"/>
      <c r="K103" s="82"/>
      <c r="L103" s="82"/>
      <c r="M103" s="82"/>
      <c r="N103" s="82"/>
    </row>
    <row r="104" spans="1:14" customFormat="1" x14ac:dyDescent="0.25">
      <c r="A104" s="82"/>
      <c r="B104" s="82"/>
      <c r="C104" s="82"/>
      <c r="D104" s="82"/>
      <c r="E104" s="82"/>
      <c r="F104" s="82"/>
      <c r="G104" s="82"/>
      <c r="H104" s="82"/>
      <c r="I104" s="82"/>
      <c r="J104" s="82"/>
      <c r="K104" s="82"/>
      <c r="L104" s="82"/>
      <c r="M104" s="82"/>
      <c r="N104" s="82"/>
    </row>
    <row r="105" spans="1:14" customFormat="1" x14ac:dyDescent="0.25">
      <c r="A105" s="82"/>
      <c r="B105" s="82"/>
      <c r="C105" s="82"/>
      <c r="D105" s="82"/>
      <c r="E105" s="82"/>
      <c r="F105" s="82"/>
      <c r="G105" s="82"/>
      <c r="H105" s="82"/>
      <c r="I105" s="82"/>
      <c r="J105" s="82"/>
      <c r="K105" s="82"/>
      <c r="L105" s="82"/>
      <c r="M105" s="82"/>
      <c r="N105" s="82"/>
    </row>
    <row r="106" spans="1:14" customFormat="1" x14ac:dyDescent="0.25">
      <c r="A106" s="82"/>
      <c r="B106" s="82"/>
      <c r="C106" s="82"/>
      <c r="D106" s="82"/>
      <c r="E106" s="82"/>
      <c r="F106" s="82"/>
      <c r="G106" s="82"/>
      <c r="H106" s="82"/>
      <c r="I106" s="82"/>
      <c r="J106" s="82"/>
      <c r="K106" s="82"/>
      <c r="L106" s="82"/>
      <c r="M106" s="82"/>
      <c r="N106" s="82"/>
    </row>
    <row r="107" spans="1:14" customFormat="1" x14ac:dyDescent="0.25">
      <c r="A107" s="82"/>
      <c r="B107" s="82"/>
      <c r="C107" s="82"/>
      <c r="D107" s="82"/>
      <c r="E107" s="82"/>
      <c r="F107" s="82"/>
      <c r="G107" s="82"/>
      <c r="H107" s="82"/>
      <c r="I107" s="82"/>
      <c r="J107" s="82"/>
      <c r="K107" s="82"/>
      <c r="L107" s="82"/>
      <c r="M107" s="82"/>
      <c r="N107" s="82"/>
    </row>
    <row r="108" spans="1:14" customFormat="1" x14ac:dyDescent="0.25">
      <c r="A108" s="82"/>
      <c r="B108" s="82"/>
      <c r="C108" s="82"/>
      <c r="D108" s="82"/>
      <c r="E108" s="82"/>
      <c r="F108" s="82"/>
      <c r="G108" s="82"/>
      <c r="H108" s="82"/>
      <c r="I108" s="82"/>
      <c r="J108" s="82"/>
      <c r="K108" s="82"/>
      <c r="L108" s="82"/>
      <c r="M108" s="82"/>
      <c r="N108" s="82"/>
    </row>
    <row r="109" spans="1:14" customFormat="1" x14ac:dyDescent="0.25">
      <c r="A109" s="82"/>
      <c r="B109" s="82"/>
      <c r="C109" s="82"/>
      <c r="D109" s="82"/>
      <c r="E109" s="82"/>
      <c r="F109" s="82"/>
      <c r="G109" s="82"/>
      <c r="H109" s="82"/>
      <c r="I109" s="82"/>
      <c r="J109" s="82"/>
      <c r="K109" s="82"/>
      <c r="L109" s="82"/>
      <c r="M109" s="82"/>
      <c r="N109" s="82"/>
    </row>
    <row r="110" spans="1:14" customFormat="1" x14ac:dyDescent="0.25">
      <c r="A110" s="82"/>
      <c r="B110" s="82"/>
      <c r="C110" s="82"/>
      <c r="D110" s="82"/>
      <c r="E110" s="82"/>
      <c r="F110" s="82"/>
      <c r="G110" s="82"/>
      <c r="H110" s="82"/>
      <c r="I110" s="82"/>
      <c r="J110" s="82"/>
      <c r="K110" s="82"/>
      <c r="L110" s="82"/>
      <c r="M110" s="82"/>
      <c r="N110" s="82"/>
    </row>
    <row r="111" spans="1:14" customFormat="1" x14ac:dyDescent="0.25">
      <c r="A111" s="82"/>
      <c r="B111" s="82"/>
      <c r="C111" s="82"/>
      <c r="D111" s="82"/>
      <c r="E111" s="82"/>
      <c r="F111" s="82"/>
      <c r="G111" s="82"/>
      <c r="H111" s="82"/>
      <c r="I111" s="82"/>
      <c r="J111" s="82"/>
      <c r="K111" s="82"/>
      <c r="L111" s="82"/>
      <c r="M111" s="82"/>
      <c r="N111" s="82"/>
    </row>
    <row r="112" spans="1:14" customFormat="1" x14ac:dyDescent="0.25">
      <c r="A112" s="82"/>
      <c r="B112" s="82"/>
      <c r="C112" s="82"/>
      <c r="D112" s="82"/>
      <c r="E112" s="82"/>
      <c r="F112" s="82"/>
      <c r="G112" s="82"/>
      <c r="H112" s="82"/>
      <c r="I112" s="82"/>
      <c r="J112" s="82"/>
      <c r="K112" s="82"/>
      <c r="L112" s="82"/>
      <c r="M112" s="82"/>
      <c r="N112" s="82"/>
    </row>
    <row r="113" spans="1:14" customFormat="1" x14ac:dyDescent="0.25">
      <c r="A113" s="82"/>
      <c r="B113" s="82"/>
      <c r="C113" s="82"/>
      <c r="D113" s="82"/>
      <c r="E113" s="82"/>
      <c r="F113" s="82"/>
      <c r="G113" s="82"/>
      <c r="H113" s="82"/>
      <c r="I113" s="82"/>
      <c r="J113" s="82"/>
      <c r="K113" s="82"/>
      <c r="L113" s="82"/>
      <c r="M113" s="82"/>
      <c r="N113" s="82"/>
    </row>
    <row r="114" spans="1:14" customFormat="1" x14ac:dyDescent="0.25">
      <c r="A114" s="82"/>
      <c r="B114" s="82"/>
      <c r="C114" s="82"/>
      <c r="D114" s="82"/>
      <c r="E114" s="82"/>
      <c r="F114" s="82"/>
      <c r="G114" s="82"/>
      <c r="H114" s="82"/>
      <c r="I114" s="82"/>
      <c r="J114" s="82"/>
      <c r="K114" s="82"/>
      <c r="L114" s="82"/>
      <c r="M114" s="82"/>
      <c r="N114" s="82"/>
    </row>
    <row r="115" spans="1:14" customFormat="1" x14ac:dyDescent="0.25">
      <c r="A115" s="82"/>
      <c r="B115" s="82"/>
      <c r="C115" s="82"/>
      <c r="D115" s="82"/>
      <c r="E115" s="82"/>
      <c r="F115" s="82"/>
      <c r="G115" s="82"/>
      <c r="H115" s="82"/>
      <c r="I115" s="82"/>
      <c r="J115" s="82"/>
      <c r="K115" s="82"/>
      <c r="L115" s="82"/>
      <c r="M115" s="82"/>
      <c r="N115" s="82"/>
    </row>
    <row r="116" spans="1:14" customFormat="1" x14ac:dyDescent="0.25">
      <c r="A116" s="82"/>
      <c r="B116" s="82"/>
      <c r="C116" s="82"/>
      <c r="D116" s="82"/>
      <c r="E116" s="82"/>
      <c r="F116" s="82"/>
      <c r="G116" s="82"/>
      <c r="H116" s="82"/>
      <c r="I116" s="82"/>
      <c r="J116" s="82"/>
      <c r="K116" s="82"/>
      <c r="L116" s="82"/>
      <c r="M116" s="82"/>
      <c r="N116" s="82"/>
    </row>
    <row r="117" spans="1:14" customFormat="1" x14ac:dyDescent="0.25">
      <c r="A117" s="82"/>
      <c r="B117" s="82"/>
      <c r="C117" s="82"/>
      <c r="D117" s="82"/>
      <c r="E117" s="82"/>
      <c r="F117" s="82"/>
      <c r="G117" s="82"/>
      <c r="H117" s="82"/>
      <c r="I117" s="82"/>
      <c r="J117" s="82"/>
      <c r="K117" s="82"/>
      <c r="L117" s="82"/>
      <c r="M117" s="82"/>
      <c r="N117" s="82"/>
    </row>
    <row r="118" spans="1:14" customFormat="1" x14ac:dyDescent="0.25">
      <c r="A118" s="82"/>
      <c r="B118" s="82"/>
      <c r="C118" s="82"/>
      <c r="D118" s="82"/>
      <c r="E118" s="82"/>
      <c r="F118" s="82"/>
      <c r="G118" s="82"/>
      <c r="H118" s="82"/>
      <c r="I118" s="82"/>
      <c r="J118" s="82"/>
      <c r="K118" s="82"/>
      <c r="L118" s="82"/>
      <c r="M118" s="82"/>
      <c r="N118" s="82"/>
    </row>
    <row r="119" spans="1:14" customFormat="1" x14ac:dyDescent="0.25">
      <c r="A119" s="82"/>
      <c r="B119" s="82"/>
      <c r="C119" s="82"/>
      <c r="D119" s="82"/>
      <c r="E119" s="82"/>
      <c r="F119" s="82"/>
      <c r="G119" s="82"/>
      <c r="H119" s="82"/>
      <c r="I119" s="82"/>
      <c r="J119" s="82"/>
      <c r="K119" s="82"/>
      <c r="L119" s="82"/>
      <c r="M119" s="82"/>
      <c r="N119" s="82"/>
    </row>
    <row r="120" spans="1:14" customFormat="1" x14ac:dyDescent="0.25">
      <c r="A120" s="82"/>
      <c r="B120" s="82"/>
      <c r="C120" s="82"/>
      <c r="D120" s="82"/>
      <c r="E120" s="82"/>
      <c r="F120" s="82"/>
      <c r="G120" s="82"/>
      <c r="H120" s="82"/>
      <c r="I120" s="82"/>
      <c r="J120" s="82"/>
      <c r="K120" s="82"/>
      <c r="L120" s="82"/>
      <c r="M120" s="82"/>
      <c r="N120" s="82"/>
    </row>
    <row r="121" spans="1:14" customFormat="1" x14ac:dyDescent="0.25">
      <c r="A121" s="82"/>
      <c r="B121" s="82"/>
      <c r="C121" s="82"/>
      <c r="D121" s="82"/>
      <c r="E121" s="82"/>
      <c r="F121" s="82"/>
      <c r="G121" s="82"/>
      <c r="H121" s="82"/>
      <c r="I121" s="82"/>
      <c r="J121" s="82"/>
      <c r="K121" s="82"/>
      <c r="L121" s="82"/>
      <c r="M121" s="82"/>
      <c r="N121" s="82"/>
    </row>
    <row r="122" spans="1:14" customFormat="1" x14ac:dyDescent="0.25">
      <c r="A122" s="82"/>
      <c r="B122" s="82"/>
      <c r="C122" s="82"/>
      <c r="D122" s="82"/>
      <c r="E122" s="82"/>
      <c r="F122" s="82"/>
      <c r="G122" s="82"/>
      <c r="H122" s="82"/>
      <c r="I122" s="82"/>
      <c r="J122" s="82"/>
      <c r="K122" s="82"/>
      <c r="L122" s="82"/>
      <c r="M122" s="82"/>
      <c r="N122" s="82"/>
    </row>
    <row r="123" spans="1:14" customFormat="1" x14ac:dyDescent="0.25">
      <c r="A123" s="82"/>
      <c r="B123" s="82"/>
      <c r="C123" s="82"/>
      <c r="D123" s="82"/>
      <c r="E123" s="82"/>
      <c r="F123" s="82"/>
      <c r="G123" s="82"/>
      <c r="H123" s="82"/>
      <c r="I123" s="82"/>
      <c r="J123" s="82"/>
      <c r="K123" s="82"/>
      <c r="L123" s="82"/>
      <c r="M123" s="82"/>
      <c r="N123" s="82"/>
    </row>
    <row r="124" spans="1:14" customFormat="1" x14ac:dyDescent="0.25">
      <c r="A124" s="82"/>
      <c r="B124" s="82"/>
      <c r="C124" s="82"/>
      <c r="D124" s="82"/>
      <c r="E124" s="82"/>
      <c r="F124" s="82"/>
      <c r="G124" s="82"/>
      <c r="H124" s="82"/>
      <c r="I124" s="82"/>
      <c r="J124" s="82"/>
      <c r="K124" s="82"/>
      <c r="L124" s="82"/>
      <c r="M124" s="82"/>
      <c r="N124" s="82"/>
    </row>
    <row r="125" spans="1:14" customFormat="1" x14ac:dyDescent="0.25">
      <c r="A125" s="82"/>
      <c r="B125" s="82"/>
      <c r="C125" s="82"/>
      <c r="D125" s="82"/>
      <c r="E125" s="82"/>
      <c r="F125" s="82"/>
      <c r="G125" s="82"/>
      <c r="H125" s="82"/>
      <c r="I125" s="82"/>
      <c r="J125" s="82"/>
      <c r="K125" s="82"/>
      <c r="L125" s="82"/>
      <c r="M125" s="82"/>
      <c r="N125" s="82"/>
    </row>
    <row r="126" spans="1:14" customFormat="1" x14ac:dyDescent="0.25">
      <c r="A126" s="82"/>
      <c r="B126" s="82"/>
      <c r="C126" s="82"/>
      <c r="D126" s="82"/>
      <c r="E126" s="82"/>
      <c r="F126" s="82"/>
      <c r="G126" s="82"/>
      <c r="H126" s="82"/>
      <c r="I126" s="82"/>
      <c r="J126" s="82"/>
      <c r="K126" s="82"/>
      <c r="L126" s="82"/>
      <c r="M126" s="82"/>
      <c r="N126" s="82"/>
    </row>
    <row r="127" spans="1:14" customFormat="1" x14ac:dyDescent="0.25">
      <c r="A127" s="82"/>
      <c r="B127" s="82"/>
      <c r="C127" s="82"/>
      <c r="D127" s="82"/>
      <c r="E127" s="82"/>
      <c r="F127" s="82"/>
      <c r="G127" s="82"/>
      <c r="H127" s="82"/>
      <c r="I127" s="82"/>
      <c r="J127" s="82"/>
      <c r="K127" s="82"/>
      <c r="L127" s="82"/>
      <c r="M127" s="82"/>
      <c r="N127" s="82"/>
    </row>
    <row r="128" spans="1:14" customFormat="1" x14ac:dyDescent="0.25">
      <c r="A128" s="82"/>
      <c r="B128" s="82"/>
      <c r="C128" s="82"/>
      <c r="D128" s="82"/>
      <c r="E128" s="82"/>
      <c r="F128" s="82"/>
      <c r="G128" s="82"/>
      <c r="H128" s="82"/>
      <c r="I128" s="82"/>
      <c r="J128" s="82"/>
      <c r="K128" s="82"/>
      <c r="L128" s="82"/>
      <c r="M128" s="82"/>
      <c r="N128" s="82"/>
    </row>
    <row r="129" spans="1:14" customFormat="1" x14ac:dyDescent="0.25">
      <c r="A129" s="82"/>
      <c r="B129" s="82"/>
      <c r="C129" s="82"/>
      <c r="D129" s="82"/>
      <c r="E129" s="82"/>
      <c r="F129" s="82"/>
      <c r="G129" s="82"/>
      <c r="H129" s="82"/>
      <c r="I129" s="82"/>
      <c r="J129" s="82"/>
      <c r="K129" s="82"/>
      <c r="L129" s="82"/>
      <c r="M129" s="82"/>
      <c r="N129" s="82"/>
    </row>
    <row r="130" spans="1:14" customFormat="1" x14ac:dyDescent="0.25">
      <c r="A130" s="82"/>
      <c r="B130" s="82"/>
      <c r="C130" s="82"/>
      <c r="D130" s="82"/>
      <c r="E130" s="82"/>
      <c r="F130" s="82"/>
      <c r="G130" s="82"/>
      <c r="H130" s="82"/>
      <c r="I130" s="82"/>
      <c r="J130" s="82"/>
      <c r="K130" s="82"/>
      <c r="L130" s="82"/>
      <c r="M130" s="82"/>
      <c r="N130" s="82"/>
    </row>
    <row r="131" spans="1:14" customFormat="1" x14ac:dyDescent="0.25">
      <c r="A131" s="82"/>
      <c r="B131" s="82"/>
      <c r="C131" s="82"/>
      <c r="D131" s="82"/>
      <c r="E131" s="82"/>
      <c r="F131" s="82"/>
      <c r="G131" s="82"/>
      <c r="H131" s="82"/>
      <c r="I131" s="82"/>
      <c r="J131" s="82"/>
      <c r="K131" s="82"/>
      <c r="L131" s="82"/>
      <c r="M131" s="82"/>
      <c r="N131" s="82"/>
    </row>
    <row r="132" spans="1:14" customFormat="1" x14ac:dyDescent="0.25">
      <c r="A132" s="82"/>
      <c r="B132" s="82"/>
      <c r="C132" s="82"/>
      <c r="D132" s="82"/>
      <c r="E132" s="82"/>
      <c r="F132" s="82"/>
      <c r="G132" s="82"/>
      <c r="H132" s="82"/>
      <c r="I132" s="82"/>
      <c r="J132" s="82"/>
      <c r="K132" s="82"/>
      <c r="L132" s="82"/>
      <c r="M132" s="82"/>
      <c r="N132" s="82"/>
    </row>
    <row r="133" spans="1:14" customFormat="1" x14ac:dyDescent="0.25">
      <c r="A133" s="82"/>
      <c r="B133" s="82"/>
      <c r="C133" s="82"/>
      <c r="D133" s="82"/>
      <c r="E133" s="82"/>
      <c r="F133" s="82"/>
      <c r="G133" s="82"/>
      <c r="H133" s="82"/>
      <c r="I133" s="82"/>
      <c r="J133" s="82"/>
      <c r="K133" s="82"/>
      <c r="L133" s="82"/>
      <c r="M133" s="82"/>
      <c r="N133" s="82"/>
    </row>
    <row r="134" spans="1:14" customFormat="1" x14ac:dyDescent="0.25">
      <c r="A134" s="82"/>
      <c r="B134" s="82"/>
      <c r="C134" s="82"/>
      <c r="D134" s="82"/>
      <c r="E134" s="82"/>
      <c r="F134" s="82"/>
      <c r="G134" s="82"/>
      <c r="H134" s="82"/>
      <c r="I134" s="82"/>
      <c r="J134" s="82"/>
      <c r="K134" s="82"/>
      <c r="L134" s="82"/>
      <c r="M134" s="82"/>
      <c r="N134" s="82"/>
    </row>
    <row r="135" spans="1:14" customFormat="1" x14ac:dyDescent="0.25">
      <c r="A135" s="82"/>
      <c r="B135" s="82"/>
      <c r="C135" s="82"/>
      <c r="D135" s="82"/>
      <c r="E135" s="82"/>
      <c r="F135" s="82"/>
      <c r="G135" s="82"/>
      <c r="H135" s="82"/>
      <c r="I135" s="82"/>
      <c r="J135" s="82"/>
      <c r="K135" s="82"/>
      <c r="L135" s="82"/>
      <c r="M135" s="82"/>
      <c r="N135" s="82"/>
    </row>
    <row r="136" spans="1:14" customFormat="1" x14ac:dyDescent="0.25">
      <c r="A136" s="82"/>
      <c r="B136" s="82"/>
      <c r="C136" s="82"/>
      <c r="D136" s="82"/>
      <c r="E136" s="82"/>
      <c r="F136" s="82"/>
      <c r="G136" s="82"/>
      <c r="H136" s="82"/>
      <c r="I136" s="82"/>
      <c r="J136" s="82"/>
      <c r="K136" s="82"/>
      <c r="L136" s="82"/>
      <c r="M136" s="82"/>
      <c r="N136" s="82"/>
    </row>
    <row r="137" spans="1:14" customFormat="1" x14ac:dyDescent="0.25">
      <c r="A137" s="82"/>
      <c r="B137" s="82"/>
      <c r="C137" s="82"/>
      <c r="D137" s="82"/>
      <c r="E137" s="82"/>
      <c r="F137" s="82"/>
      <c r="G137" s="82"/>
      <c r="H137" s="82"/>
      <c r="I137" s="82"/>
      <c r="J137" s="82"/>
      <c r="K137" s="82"/>
      <c r="L137" s="82"/>
      <c r="M137" s="82"/>
      <c r="N137" s="82"/>
    </row>
    <row r="138" spans="1:14" customFormat="1" x14ac:dyDescent="0.25">
      <c r="A138" s="82"/>
      <c r="B138" s="82"/>
      <c r="C138" s="82"/>
      <c r="D138" s="82"/>
      <c r="E138" s="82"/>
      <c r="F138" s="82"/>
      <c r="G138" s="82"/>
      <c r="H138" s="82"/>
      <c r="I138" s="82"/>
      <c r="J138" s="82"/>
      <c r="K138" s="82"/>
      <c r="L138" s="82"/>
      <c r="M138" s="82"/>
      <c r="N138" s="82"/>
    </row>
    <row r="139" spans="1:14" customFormat="1" x14ac:dyDescent="0.25">
      <c r="A139" s="82"/>
      <c r="B139" s="82"/>
      <c r="C139" s="82"/>
      <c r="D139" s="82"/>
      <c r="E139" s="82"/>
      <c r="F139" s="82"/>
      <c r="G139" s="82"/>
      <c r="H139" s="82"/>
      <c r="I139" s="82"/>
      <c r="J139" s="82"/>
      <c r="K139" s="82"/>
      <c r="L139" s="82"/>
      <c r="M139" s="82"/>
      <c r="N139" s="82"/>
    </row>
    <row r="140" spans="1:14" customFormat="1" x14ac:dyDescent="0.25">
      <c r="A140" s="82"/>
      <c r="B140" s="82"/>
      <c r="C140" s="82"/>
      <c r="D140" s="82"/>
      <c r="E140" s="82"/>
      <c r="F140" s="82"/>
      <c r="G140" s="82"/>
      <c r="H140" s="82"/>
      <c r="I140" s="82"/>
      <c r="J140" s="82"/>
      <c r="K140" s="82"/>
      <c r="L140" s="82"/>
      <c r="M140" s="82"/>
      <c r="N140" s="82"/>
    </row>
    <row r="141" spans="1:14" customFormat="1" x14ac:dyDescent="0.25">
      <c r="A141" s="82"/>
      <c r="B141" s="82"/>
      <c r="C141" s="82"/>
      <c r="D141" s="82"/>
      <c r="E141" s="82"/>
      <c r="F141" s="82"/>
      <c r="G141" s="82"/>
      <c r="H141" s="82"/>
      <c r="I141" s="82"/>
      <c r="J141" s="82"/>
      <c r="K141" s="82"/>
      <c r="L141" s="82"/>
      <c r="M141" s="82"/>
      <c r="N141" s="82"/>
    </row>
    <row r="142" spans="1:14" customFormat="1" x14ac:dyDescent="0.25">
      <c r="A142" s="82"/>
      <c r="B142" s="82"/>
      <c r="C142" s="82"/>
      <c r="D142" s="82"/>
      <c r="E142" s="82"/>
      <c r="F142" s="82"/>
      <c r="G142" s="82"/>
      <c r="H142" s="82"/>
      <c r="I142" s="82"/>
      <c r="J142" s="82"/>
      <c r="K142" s="82"/>
      <c r="L142" s="82"/>
      <c r="M142" s="82"/>
      <c r="N142" s="82"/>
    </row>
    <row r="143" spans="1:14" customFormat="1" x14ac:dyDescent="0.25">
      <c r="A143" s="82"/>
      <c r="B143" s="82"/>
      <c r="C143" s="82"/>
      <c r="D143" s="82"/>
      <c r="E143" s="82"/>
      <c r="F143" s="82"/>
      <c r="G143" s="82"/>
      <c r="H143" s="82"/>
      <c r="I143" s="82"/>
      <c r="J143" s="82"/>
      <c r="K143" s="82"/>
      <c r="L143" s="82"/>
      <c r="M143" s="82"/>
      <c r="N143" s="82"/>
    </row>
    <row r="144" spans="1:14" customFormat="1" x14ac:dyDescent="0.25">
      <c r="A144" s="82"/>
      <c r="B144" s="82"/>
      <c r="C144" s="82"/>
      <c r="D144" s="82"/>
      <c r="E144" s="82"/>
      <c r="F144" s="82"/>
      <c r="G144" s="82"/>
      <c r="H144" s="82"/>
      <c r="I144" s="82"/>
      <c r="J144" s="82"/>
      <c r="K144" s="82"/>
      <c r="L144" s="82"/>
      <c r="M144" s="82"/>
      <c r="N144" s="82"/>
    </row>
    <row r="145" spans="1:14" customFormat="1" x14ac:dyDescent="0.25">
      <c r="A145" s="82"/>
      <c r="B145" s="82"/>
      <c r="C145" s="82"/>
      <c r="D145" s="82"/>
      <c r="E145" s="82"/>
      <c r="F145" s="82"/>
      <c r="G145" s="82"/>
      <c r="H145" s="82"/>
      <c r="I145" s="82"/>
      <c r="J145" s="82"/>
      <c r="K145" s="82"/>
      <c r="L145" s="82"/>
      <c r="M145" s="82"/>
      <c r="N145" s="82"/>
    </row>
  </sheetData>
  <printOptions horizontalCentered="1"/>
  <pageMargins left="0.7" right="0.7" top="0.75" bottom="0.75" header="0.3" footer="0.3"/>
  <pageSetup scale="85" orientation="landscape" blackAndWhite="1" horizontalDpi="300" verticalDpi="300" r:id="rId1"/>
  <headerFooter>
    <oddFooter>&amp;L&amp;F
&amp;A&amp;RPage &amp;P of &amp;N</oddFoot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145"/>
  <sheetViews>
    <sheetView zoomScale="90" zoomScaleNormal="90" workbookViewId="0">
      <selection activeCell="E10" sqref="E10"/>
    </sheetView>
  </sheetViews>
  <sheetFormatPr defaultColWidth="8.7109375" defaultRowHeight="15" outlineLevelCol="1" x14ac:dyDescent="0.25"/>
  <cols>
    <col min="1" max="1" width="3.5703125" style="452" customWidth="1"/>
    <col min="2" max="2" width="2.5703125" style="452" customWidth="1"/>
    <col min="3" max="3" width="31.140625" style="452" customWidth="1"/>
    <col min="4" max="4" width="9.140625" style="452" bestFit="1" customWidth="1"/>
    <col min="5" max="5" width="13.7109375" style="452" customWidth="1"/>
    <col min="6" max="12" width="12.85546875" style="452" customWidth="1"/>
    <col min="13" max="13" width="8.7109375" style="452"/>
    <col min="14" max="14" width="9.140625" style="452" customWidth="1" outlineLevel="1"/>
    <col min="15" max="15" width="9.140625" customWidth="1"/>
    <col min="16" max="16384" width="8.7109375" style="452"/>
  </cols>
  <sheetData>
    <row r="1" spans="1:15" x14ac:dyDescent="0.25">
      <c r="B1" s="481" t="s">
        <v>0</v>
      </c>
      <c r="C1" s="481"/>
      <c r="D1" s="481"/>
      <c r="E1" s="481"/>
      <c r="F1" s="481"/>
      <c r="G1" s="481"/>
      <c r="H1" s="481"/>
      <c r="I1" s="481"/>
      <c r="J1" s="481"/>
      <c r="K1" s="481"/>
      <c r="L1" s="481"/>
    </row>
    <row r="2" spans="1:15" s="7" customFormat="1" x14ac:dyDescent="0.25">
      <c r="A2" s="510"/>
      <c r="B2" s="244" t="str">
        <f>'CRM Rates'!$A$2</f>
        <v>2022 Gas Schedule 149 Cost Recovery Mechanism For Pipeline Replacement (CRM) Filing (FINAL - October Filing)</v>
      </c>
      <c r="C2" s="244"/>
      <c r="D2" s="244"/>
      <c r="E2" s="244"/>
      <c r="F2" s="244"/>
      <c r="G2" s="244"/>
      <c r="H2" s="244"/>
      <c r="I2" s="244"/>
      <c r="J2" s="244"/>
      <c r="K2" s="244"/>
      <c r="L2" s="244"/>
      <c r="M2" s="510"/>
      <c r="N2" s="510"/>
    </row>
    <row r="3" spans="1:15" s="7" customFormat="1" x14ac:dyDescent="0.25">
      <c r="A3" s="510"/>
      <c r="B3" s="511" t="s">
        <v>341</v>
      </c>
      <c r="C3" s="511"/>
      <c r="D3" s="511"/>
      <c r="E3" s="511"/>
      <c r="F3" s="511"/>
      <c r="G3" s="511"/>
      <c r="H3" s="511"/>
      <c r="I3" s="511"/>
      <c r="J3" s="511"/>
      <c r="K3" s="511"/>
      <c r="L3" s="511"/>
      <c r="M3" s="510"/>
      <c r="N3" s="510"/>
    </row>
    <row r="4" spans="1:15" s="217" customFormat="1" x14ac:dyDescent="0.25">
      <c r="A4" s="439"/>
      <c r="B4" s="517"/>
      <c r="C4" s="439"/>
      <c r="D4" s="439"/>
      <c r="E4" s="439"/>
      <c r="F4" s="439"/>
      <c r="G4" s="439"/>
      <c r="H4" s="439"/>
      <c r="I4" s="439"/>
      <c r="J4" s="439"/>
      <c r="K4" s="439"/>
      <c r="L4" s="439"/>
      <c r="M4" s="439"/>
      <c r="N4" s="439"/>
    </row>
    <row r="5" spans="1:15" s="217" customFormat="1" x14ac:dyDescent="0.25">
      <c r="A5" s="439"/>
      <c r="B5" s="439"/>
      <c r="C5" s="439"/>
      <c r="D5" s="439"/>
      <c r="E5" s="439"/>
      <c r="F5" s="518"/>
      <c r="G5" s="518" t="s">
        <v>115</v>
      </c>
      <c r="H5" s="518" t="s">
        <v>116</v>
      </c>
      <c r="I5" s="518"/>
      <c r="J5" s="518" t="s">
        <v>117</v>
      </c>
      <c r="K5" s="518" t="s">
        <v>118</v>
      </c>
      <c r="L5" s="518"/>
      <c r="M5" s="439"/>
      <c r="N5" s="439"/>
    </row>
    <row r="6" spans="1:15" s="217" customFormat="1" x14ac:dyDescent="0.25">
      <c r="A6" s="439"/>
      <c r="B6" s="439"/>
      <c r="C6" s="439"/>
      <c r="D6" s="518" t="s">
        <v>119</v>
      </c>
      <c r="E6" s="439"/>
      <c r="F6" s="518" t="s">
        <v>134</v>
      </c>
      <c r="G6" s="518" t="s">
        <v>121</v>
      </c>
      <c r="H6" s="518" t="s">
        <v>122</v>
      </c>
      <c r="I6" s="518" t="s">
        <v>123</v>
      </c>
      <c r="J6" s="518" t="s">
        <v>124</v>
      </c>
      <c r="K6" s="518" t="s">
        <v>125</v>
      </c>
      <c r="L6" s="518"/>
      <c r="M6" s="439"/>
      <c r="N6" s="439"/>
    </row>
    <row r="7" spans="1:15" s="217" customFormat="1" x14ac:dyDescent="0.25">
      <c r="A7" s="439"/>
      <c r="B7" s="439"/>
      <c r="C7" s="439"/>
      <c r="D7" s="519" t="s">
        <v>126</v>
      </c>
      <c r="E7" s="519" t="s">
        <v>90</v>
      </c>
      <c r="F7" s="519" t="s">
        <v>127</v>
      </c>
      <c r="G7" s="519" t="s">
        <v>128</v>
      </c>
      <c r="H7" s="519" t="s">
        <v>129</v>
      </c>
      <c r="I7" s="519" t="s">
        <v>130</v>
      </c>
      <c r="J7" s="519" t="s">
        <v>130</v>
      </c>
      <c r="K7" s="519" t="s">
        <v>130</v>
      </c>
      <c r="L7" s="519" t="s">
        <v>131</v>
      </c>
      <c r="M7" s="439"/>
      <c r="N7" s="74" t="s">
        <v>104</v>
      </c>
      <c r="O7" s="74" t="s">
        <v>254</v>
      </c>
    </row>
    <row r="8" spans="1:15" s="217" customFormat="1" x14ac:dyDescent="0.25">
      <c r="A8" s="439"/>
      <c r="B8" s="439" t="s">
        <v>135</v>
      </c>
      <c r="C8" s="439"/>
      <c r="D8" s="439"/>
      <c r="E8" s="457"/>
      <c r="F8" s="457"/>
      <c r="G8" s="457"/>
      <c r="H8" s="457"/>
      <c r="I8" s="457"/>
      <c r="J8" s="457"/>
      <c r="K8" s="457"/>
      <c r="L8" s="457"/>
      <c r="M8" s="439"/>
      <c r="N8" s="498"/>
    </row>
    <row r="9" spans="1:15" s="217" customFormat="1" x14ac:dyDescent="0.25">
      <c r="A9" s="439"/>
      <c r="B9" s="439"/>
      <c r="C9" s="439" t="s">
        <v>227</v>
      </c>
      <c r="D9" s="482">
        <v>376</v>
      </c>
      <c r="E9" s="499">
        <f>('2019 CRM'!$H$29+'2019 CRM'!$H$35)*'CRM CAP Forecast(from2019filin)'!E14</f>
        <v>4628376.843508427</v>
      </c>
      <c r="F9" s="520">
        <f>$E$9*'Allocation Factors'!E12</f>
        <v>3044879.6785885841</v>
      </c>
      <c r="G9" s="520">
        <f>$E$9*'Allocation Factors'!F12</f>
        <v>1108842.8628796877</v>
      </c>
      <c r="H9" s="520">
        <f>$E$9*'Allocation Factors'!G12</f>
        <v>243949.44799653967</v>
      </c>
      <c r="I9" s="520">
        <f>$E$9*'Allocation Factors'!H12</f>
        <v>118821.80547528062</v>
      </c>
      <c r="J9" s="520">
        <f>$E$9*'Allocation Factors'!I12</f>
        <v>12795.624906510999</v>
      </c>
      <c r="K9" s="520">
        <f>$E$9*'Allocation Factors'!J12</f>
        <v>92950.997957322877</v>
      </c>
      <c r="L9" s="520">
        <f>$E$9*'Allocation Factors'!K12</f>
        <v>6136.4257045005779</v>
      </c>
      <c r="M9" s="439"/>
      <c r="N9" s="718">
        <f t="shared" ref="N9:N16" si="0">SUM(F9:L9)-E9</f>
        <v>0</v>
      </c>
      <c r="O9" s="719"/>
    </row>
    <row r="10" spans="1:15" s="217" customFormat="1" x14ac:dyDescent="0.25">
      <c r="A10" s="439"/>
      <c r="B10" s="439"/>
      <c r="C10" s="439" t="s">
        <v>228</v>
      </c>
      <c r="D10" s="482">
        <v>380</v>
      </c>
      <c r="E10" s="499">
        <f>('2019 CRM'!$H$29+'2019 CRM'!$H$35)*'CRM CAP Forecast(from2019filin)'!E15</f>
        <v>8244.9139021276405</v>
      </c>
      <c r="F10" s="520">
        <f>$E$10*'Allocation Factors'!E17</f>
        <v>4744.7914470989954</v>
      </c>
      <c r="G10" s="520">
        <f>$E$10*'Allocation Factors'!F17</f>
        <v>3353.1234885997787</v>
      </c>
      <c r="H10" s="520">
        <f>$E$10*'Allocation Factors'!G17</f>
        <v>59.569942066490221</v>
      </c>
      <c r="I10" s="520">
        <f>$E$10*'Allocation Factors'!H17</f>
        <v>59.800080768025886</v>
      </c>
      <c r="J10" s="520">
        <f>$E$10*'Allocation Factors'!I17</f>
        <v>9.4255365612200119</v>
      </c>
      <c r="K10" s="520">
        <f>$E$10*'Allocation Factors'!J17</f>
        <v>7.6959590453677649</v>
      </c>
      <c r="L10" s="520">
        <f>$E$10*'Allocation Factors'!K17</f>
        <v>10.507447987764607</v>
      </c>
      <c r="M10" s="439"/>
      <c r="N10" s="718">
        <f t="shared" si="0"/>
        <v>0</v>
      </c>
      <c r="O10" s="719"/>
    </row>
    <row r="11" spans="1:15" s="217" customFormat="1" x14ac:dyDescent="0.25">
      <c r="A11" s="439"/>
      <c r="B11" s="439"/>
      <c r="C11" s="439" t="s">
        <v>90</v>
      </c>
      <c r="D11" s="482"/>
      <c r="E11" s="483">
        <f>SUM(E9:E10)</f>
        <v>4636621.7574105542</v>
      </c>
      <c r="F11" s="483">
        <f t="shared" ref="F11:L11" si="1">SUM(F9:F10)</f>
        <v>3049624.4700356829</v>
      </c>
      <c r="G11" s="483">
        <f t="shared" si="1"/>
        <v>1112195.9863682874</v>
      </c>
      <c r="H11" s="483">
        <f t="shared" si="1"/>
        <v>244009.01793860618</v>
      </c>
      <c r="I11" s="483">
        <f t="shared" si="1"/>
        <v>118881.60555604864</v>
      </c>
      <c r="J11" s="483">
        <f t="shared" si="1"/>
        <v>12805.050443072219</v>
      </c>
      <c r="K11" s="483">
        <f t="shared" si="1"/>
        <v>92958.69391636824</v>
      </c>
      <c r="L11" s="483">
        <f t="shared" si="1"/>
        <v>6146.9331524883428</v>
      </c>
      <c r="M11" s="439"/>
      <c r="N11" s="718">
        <f t="shared" si="0"/>
        <v>0</v>
      </c>
      <c r="O11" s="718">
        <f>E11-'2019 CRM'!H29-'2019 CRM'!H35</f>
        <v>0</v>
      </c>
    </row>
    <row r="12" spans="1:15" s="217" customFormat="1" x14ac:dyDescent="0.25">
      <c r="A12" s="439"/>
      <c r="B12" s="439"/>
      <c r="C12" s="439"/>
      <c r="D12" s="482"/>
      <c r="E12" s="457"/>
      <c r="F12" s="457"/>
      <c r="G12" s="457"/>
      <c r="H12" s="457"/>
      <c r="I12" s="457"/>
      <c r="J12" s="457"/>
      <c r="K12" s="457"/>
      <c r="L12" s="457"/>
      <c r="M12" s="439"/>
      <c r="N12" s="718"/>
      <c r="O12" s="719"/>
    </row>
    <row r="13" spans="1:15" s="439" customFormat="1" x14ac:dyDescent="0.25">
      <c r="B13" s="439" t="s">
        <v>53</v>
      </c>
      <c r="D13" s="482"/>
      <c r="E13" s="454"/>
      <c r="F13" s="454"/>
      <c r="G13" s="454"/>
      <c r="H13" s="454"/>
      <c r="I13" s="454"/>
      <c r="J13" s="454"/>
      <c r="K13" s="454"/>
      <c r="L13" s="454"/>
      <c r="N13" s="718"/>
      <c r="O13" s="723"/>
    </row>
    <row r="14" spans="1:15" s="439" customFormat="1" x14ac:dyDescent="0.25">
      <c r="C14" s="439" t="s">
        <v>227</v>
      </c>
      <c r="D14" s="482">
        <v>376</v>
      </c>
      <c r="E14" s="502">
        <f>'2019 CRM'!$H$27*'CRM CAP Forecast(from2019filin)'!E23</f>
        <v>1478824.9839915903</v>
      </c>
      <c r="F14" s="92">
        <f>$E$14*'Allocation Factors'!E12</f>
        <v>972877.59709121089</v>
      </c>
      <c r="G14" s="92">
        <f>$E$14*'Allocation Factors'!F12</f>
        <v>354289.32958368293</v>
      </c>
      <c r="H14" s="92">
        <f>$E$14*'Allocation Factors'!G12</f>
        <v>77944.936362350301</v>
      </c>
      <c r="I14" s="92">
        <f>$E$14*'Allocation Factors'!H12</f>
        <v>37965.07080582402</v>
      </c>
      <c r="J14" s="92">
        <f>$E$14*'Allocation Factors'!I12</f>
        <v>4088.3641149647169</v>
      </c>
      <c r="K14" s="92">
        <f>$E$14*'Allocation Factors'!J12</f>
        <v>29699.020350737799</v>
      </c>
      <c r="L14" s="92">
        <f>$E$14*'Allocation Factors'!K12</f>
        <v>1960.6656828195514</v>
      </c>
      <c r="N14" s="718">
        <f t="shared" si="0"/>
        <v>0</v>
      </c>
      <c r="O14" s="723"/>
    </row>
    <row r="15" spans="1:15" s="439" customFormat="1" x14ac:dyDescent="0.25">
      <c r="C15" s="439" t="s">
        <v>228</v>
      </c>
      <c r="D15" s="482">
        <v>380</v>
      </c>
      <c r="E15" s="502">
        <f>'2019 CRM'!$H$27*'CRM CAP Forecast(from2019filin)'!E24</f>
        <v>3445.1923915506541</v>
      </c>
      <c r="F15" s="92">
        <f>$E$15*'Allocation Factors'!E17</f>
        <v>1982.6428252721626</v>
      </c>
      <c r="G15" s="92">
        <f>$E$15*'Allocation Factors'!F17</f>
        <v>1401.1250654628004</v>
      </c>
      <c r="H15" s="92">
        <f>$E$15*'Allocation Factors'!G17</f>
        <v>24.891698519692824</v>
      </c>
      <c r="I15" s="92">
        <f>$E$15*'Allocation Factors'!H17</f>
        <v>24.987863514615015</v>
      </c>
      <c r="J15" s="92">
        <f>$E$15*'Allocation Factors'!I17</f>
        <v>3.9385234621574323</v>
      </c>
      <c r="K15" s="92">
        <f>$E$15*'Allocation Factors'!J17</f>
        <v>3.215807934870536</v>
      </c>
      <c r="L15" s="92">
        <f>$E$15*'Allocation Factors'!K17</f>
        <v>4.3906073843559748</v>
      </c>
      <c r="N15" s="718">
        <f t="shared" si="0"/>
        <v>0</v>
      </c>
      <c r="O15" s="723"/>
    </row>
    <row r="16" spans="1:15" s="439" customFormat="1" x14ac:dyDescent="0.25">
      <c r="C16" s="439" t="s">
        <v>90</v>
      </c>
      <c r="E16" s="483">
        <f>SUM(E14:E15)</f>
        <v>1482270.176383141</v>
      </c>
      <c r="F16" s="483">
        <f t="shared" ref="F16:L16" si="2">SUM(F14:F15)</f>
        <v>974860.23991648306</v>
      </c>
      <c r="G16" s="483">
        <f t="shared" si="2"/>
        <v>355690.45464914571</v>
      </c>
      <c r="H16" s="483">
        <f t="shared" si="2"/>
        <v>77969.828060870001</v>
      </c>
      <c r="I16" s="483">
        <f t="shared" si="2"/>
        <v>37990.058669338636</v>
      </c>
      <c r="J16" s="483">
        <f t="shared" si="2"/>
        <v>4092.3026384268742</v>
      </c>
      <c r="K16" s="483">
        <f t="shared" si="2"/>
        <v>29702.236158672669</v>
      </c>
      <c r="L16" s="483">
        <f t="shared" si="2"/>
        <v>1965.0562902039073</v>
      </c>
      <c r="N16" s="718">
        <f t="shared" si="0"/>
        <v>0</v>
      </c>
      <c r="O16" s="718">
        <f>E16-'2019 CRM'!H27</f>
        <v>0</v>
      </c>
    </row>
    <row r="17" spans="1:15" s="439" customFormat="1" x14ac:dyDescent="0.25">
      <c r="E17" s="457"/>
      <c r="F17" s="457"/>
      <c r="G17" s="457"/>
      <c r="H17" s="457"/>
      <c r="I17" s="457"/>
      <c r="J17" s="457"/>
      <c r="K17" s="457"/>
      <c r="L17" s="457"/>
      <c r="N17" s="718"/>
      <c r="O17" s="718"/>
    </row>
    <row r="18" spans="1:15" s="439" customFormat="1" x14ac:dyDescent="0.25">
      <c r="E18" s="454"/>
      <c r="F18" s="454"/>
      <c r="G18" s="454"/>
      <c r="H18" s="454"/>
      <c r="I18" s="454"/>
      <c r="J18" s="454"/>
      <c r="K18" s="454"/>
      <c r="L18" s="454"/>
      <c r="N18" s="718"/>
      <c r="O18" s="723"/>
    </row>
    <row r="19" spans="1:15" s="439" customFormat="1" x14ac:dyDescent="0.25">
      <c r="B19" s="439" t="s">
        <v>136</v>
      </c>
      <c r="E19" s="454">
        <f>E11+E16</f>
        <v>6118891.9337936956</v>
      </c>
      <c r="F19" s="454">
        <f t="shared" ref="F19:L19" si="3">F11+F16</f>
        <v>4024484.7099521658</v>
      </c>
      <c r="G19" s="454">
        <f t="shared" si="3"/>
        <v>1467886.4410174331</v>
      </c>
      <c r="H19" s="454">
        <f t="shared" si="3"/>
        <v>321978.84599947615</v>
      </c>
      <c r="I19" s="454">
        <f t="shared" si="3"/>
        <v>156871.66422538727</v>
      </c>
      <c r="J19" s="454">
        <f t="shared" si="3"/>
        <v>16897.353081499095</v>
      </c>
      <c r="K19" s="454">
        <f t="shared" si="3"/>
        <v>122660.9300750409</v>
      </c>
      <c r="L19" s="454">
        <f t="shared" si="3"/>
        <v>8111.9894426922501</v>
      </c>
      <c r="N19" s="718">
        <f t="shared" ref="N19" si="4">SUM(F19:L19)-E19</f>
        <v>0</v>
      </c>
      <c r="O19" s="723"/>
    </row>
    <row r="20" spans="1:15" s="439" customFormat="1" x14ac:dyDescent="0.25">
      <c r="B20" s="439" t="s">
        <v>137</v>
      </c>
      <c r="E20" s="504">
        <f>'2019 GRC'!J40</f>
        <v>0.95255299999999998</v>
      </c>
      <c r="F20" s="454"/>
      <c r="G20" s="454"/>
      <c r="H20" s="454"/>
      <c r="I20" s="454"/>
      <c r="J20" s="454"/>
      <c r="K20" s="454"/>
      <c r="L20" s="454"/>
      <c r="N20" s="718"/>
      <c r="O20" s="723"/>
    </row>
    <row r="21" spans="1:15" s="439" customFormat="1" x14ac:dyDescent="0.25">
      <c r="B21" s="87" t="s">
        <v>138</v>
      </c>
      <c r="C21" s="87"/>
      <c r="D21" s="87"/>
      <c r="E21" s="93">
        <f>E19/$E$20</f>
        <v>6423676.0933971079</v>
      </c>
      <c r="F21" s="93">
        <f t="shared" ref="F21:L21" si="5">F19/$E$20</f>
        <v>4224945.709007442</v>
      </c>
      <c r="G21" s="93">
        <f t="shared" si="5"/>
        <v>1541002.3809881792</v>
      </c>
      <c r="H21" s="93">
        <f t="shared" si="5"/>
        <v>338016.72557797428</v>
      </c>
      <c r="I21" s="93">
        <f t="shared" si="5"/>
        <v>164685.4970016233</v>
      </c>
      <c r="J21" s="93">
        <f t="shared" si="5"/>
        <v>17739.016182300718</v>
      </c>
      <c r="K21" s="93">
        <f t="shared" si="5"/>
        <v>128770.71414928188</v>
      </c>
      <c r="L21" s="93">
        <f t="shared" si="5"/>
        <v>8516.0504903057899</v>
      </c>
      <c r="N21" s="718">
        <f t="shared" ref="N21" si="6">SUM(F21:L21)-E21</f>
        <v>0</v>
      </c>
      <c r="O21" s="718">
        <f>E21-'Summary - Revenue Requirement'!B10</f>
        <v>0</v>
      </c>
    </row>
    <row r="22" spans="1:15" s="439" customFormat="1" x14ac:dyDescent="0.25">
      <c r="F22" s="454"/>
      <c r="G22" s="454"/>
      <c r="H22" s="454"/>
      <c r="I22" s="454"/>
      <c r="J22" s="454"/>
      <c r="K22" s="454"/>
      <c r="L22" s="454"/>
      <c r="N22" s="718"/>
      <c r="O22" s="723"/>
    </row>
    <row r="23" spans="1:15" s="217" customFormat="1" x14ac:dyDescent="0.25">
      <c r="A23" s="439"/>
      <c r="B23" s="439" t="s">
        <v>139</v>
      </c>
      <c r="C23" s="439"/>
      <c r="D23" s="439"/>
      <c r="E23" s="521">
        <f>SUM(F23:L23)</f>
        <v>1</v>
      </c>
      <c r="F23" s="521">
        <f>F21/$E21</f>
        <v>0.65771462439556394</v>
      </c>
      <c r="G23" s="521">
        <f t="shared" ref="G23:L23" si="7">G21/$E21</f>
        <v>0.23989416007014652</v>
      </c>
      <c r="H23" s="521">
        <f t="shared" si="7"/>
        <v>5.2620449827073541E-2</v>
      </c>
      <c r="I23" s="521">
        <f t="shared" si="7"/>
        <v>2.5637266668987777E-2</v>
      </c>
      <c r="J23" s="521">
        <f t="shared" si="7"/>
        <v>2.7615053941674674E-3</v>
      </c>
      <c r="K23" s="521">
        <f t="shared" si="7"/>
        <v>2.0046265141177525E-2</v>
      </c>
      <c r="L23" s="521">
        <f t="shared" si="7"/>
        <v>1.325728502883175E-3</v>
      </c>
      <c r="M23" s="439"/>
      <c r="N23" s="439"/>
      <c r="O23" s="439"/>
    </row>
    <row r="24" spans="1:15" customFormat="1" x14ac:dyDescent="0.25">
      <c r="A24" s="452"/>
      <c r="B24" s="452"/>
      <c r="C24" s="452"/>
      <c r="D24" s="452"/>
      <c r="E24" s="452"/>
      <c r="F24" s="484"/>
      <c r="G24" s="484"/>
      <c r="H24" s="484"/>
      <c r="I24" s="484"/>
      <c r="J24" s="484"/>
      <c r="K24" s="484"/>
      <c r="L24" s="484"/>
      <c r="M24" s="452"/>
      <c r="N24" s="452"/>
      <c r="O24" s="168"/>
    </row>
    <row r="25" spans="1:15" customFormat="1" x14ac:dyDescent="0.25">
      <c r="A25" s="452"/>
      <c r="B25" s="452"/>
      <c r="C25" s="452"/>
      <c r="D25" s="452"/>
      <c r="E25" s="452"/>
      <c r="F25" s="452"/>
      <c r="G25" s="452"/>
      <c r="H25" s="452"/>
      <c r="I25" s="452"/>
      <c r="J25" s="452"/>
      <c r="K25" s="452"/>
      <c r="L25" s="452"/>
      <c r="M25" s="452"/>
      <c r="N25" s="452"/>
      <c r="O25" s="439"/>
    </row>
    <row r="26" spans="1:15" customFormat="1" x14ac:dyDescent="0.25">
      <c r="A26" s="452"/>
      <c r="B26" s="452"/>
      <c r="C26" s="452"/>
      <c r="D26" s="452"/>
      <c r="E26" s="452"/>
      <c r="F26" s="452"/>
      <c r="G26" s="452"/>
      <c r="H26" s="452"/>
      <c r="I26" s="452"/>
      <c r="J26" s="452"/>
      <c r="K26" s="452"/>
      <c r="L26" s="452"/>
      <c r="M26" s="452"/>
      <c r="N26" s="452"/>
      <c r="O26" s="439"/>
    </row>
    <row r="27" spans="1:15" customFormat="1" x14ac:dyDescent="0.25">
      <c r="A27" s="452"/>
      <c r="B27" s="452"/>
      <c r="C27" s="452"/>
      <c r="D27" s="452"/>
      <c r="E27" s="452"/>
      <c r="F27" s="452"/>
      <c r="G27" s="452"/>
      <c r="H27" s="452"/>
      <c r="I27" s="452"/>
      <c r="J27" s="452"/>
      <c r="K27" s="452"/>
      <c r="L27" s="452"/>
      <c r="M27" s="452"/>
      <c r="N27" s="452"/>
      <c r="O27" s="439"/>
    </row>
    <row r="28" spans="1:15" customFormat="1" x14ac:dyDescent="0.25">
      <c r="A28" s="452"/>
      <c r="B28" s="452"/>
      <c r="C28" s="452"/>
      <c r="D28" s="452"/>
      <c r="E28" s="452"/>
      <c r="F28" s="452"/>
      <c r="G28" s="452"/>
      <c r="H28" s="452"/>
      <c r="I28" s="452"/>
      <c r="J28" s="452"/>
      <c r="K28" s="452"/>
      <c r="L28" s="452"/>
      <c r="M28" s="452"/>
      <c r="N28" s="452"/>
    </row>
    <row r="29" spans="1:15" customFormat="1" x14ac:dyDescent="0.25">
      <c r="A29" s="452"/>
      <c r="B29" s="452"/>
      <c r="C29" s="452"/>
      <c r="D29" s="452"/>
      <c r="E29" s="452"/>
      <c r="F29" s="452"/>
      <c r="G29" s="452"/>
      <c r="H29" s="452"/>
      <c r="I29" s="452"/>
      <c r="J29" s="452"/>
      <c r="K29" s="452"/>
      <c r="L29" s="452"/>
      <c r="M29" s="452"/>
      <c r="N29" s="452"/>
    </row>
    <row r="30" spans="1:15" customFormat="1" x14ac:dyDescent="0.25">
      <c r="A30" s="452"/>
      <c r="B30" s="452"/>
      <c r="C30" s="452"/>
      <c r="D30" s="452"/>
      <c r="E30" s="452"/>
      <c r="F30" s="452"/>
      <c r="G30" s="452"/>
      <c r="H30" s="452"/>
      <c r="I30" s="452"/>
      <c r="J30" s="452"/>
      <c r="K30" s="452"/>
      <c r="L30" s="452"/>
      <c r="M30" s="452"/>
      <c r="N30" s="452"/>
    </row>
    <row r="31" spans="1:15" customFormat="1" x14ac:dyDescent="0.25">
      <c r="A31" s="452"/>
      <c r="B31" s="452"/>
      <c r="C31" s="452"/>
      <c r="D31" s="452"/>
      <c r="E31" s="452"/>
      <c r="F31" s="452"/>
      <c r="G31" s="452"/>
      <c r="H31" s="452"/>
      <c r="I31" s="452"/>
      <c r="J31" s="452"/>
      <c r="K31" s="452"/>
      <c r="L31" s="452"/>
      <c r="M31" s="452"/>
      <c r="N31" s="452"/>
    </row>
    <row r="32" spans="1:15" customFormat="1" x14ac:dyDescent="0.25">
      <c r="A32" s="452"/>
      <c r="B32" s="452"/>
      <c r="C32" s="452"/>
      <c r="D32" s="452"/>
      <c r="E32" s="452"/>
      <c r="F32" s="452"/>
      <c r="G32" s="452"/>
      <c r="H32" s="452"/>
      <c r="I32" s="452"/>
      <c r="J32" s="452"/>
      <c r="K32" s="452"/>
      <c r="L32" s="452"/>
      <c r="M32" s="452"/>
      <c r="N32" s="452"/>
    </row>
    <row r="33" spans="1:14" customFormat="1" x14ac:dyDescent="0.25">
      <c r="A33" s="452"/>
      <c r="B33" s="452"/>
      <c r="C33" s="452"/>
      <c r="D33" s="452"/>
      <c r="E33" s="452"/>
      <c r="F33" s="452"/>
      <c r="G33" s="452"/>
      <c r="H33" s="452"/>
      <c r="I33" s="452"/>
      <c r="J33" s="452"/>
      <c r="K33" s="452"/>
      <c r="L33" s="452"/>
      <c r="M33" s="452"/>
      <c r="N33" s="452"/>
    </row>
    <row r="34" spans="1:14" customFormat="1" x14ac:dyDescent="0.25">
      <c r="A34" s="452"/>
      <c r="B34" s="452"/>
      <c r="C34" s="452"/>
      <c r="D34" s="452"/>
      <c r="E34" s="452"/>
      <c r="F34" s="452"/>
      <c r="G34" s="452"/>
      <c r="H34" s="452"/>
      <c r="I34" s="452"/>
      <c r="J34" s="452"/>
      <c r="K34" s="452"/>
      <c r="L34" s="452"/>
      <c r="M34" s="452"/>
      <c r="N34" s="452"/>
    </row>
    <row r="35" spans="1:14" customFormat="1" x14ac:dyDescent="0.25">
      <c r="A35" s="452"/>
      <c r="B35" s="452"/>
      <c r="C35" s="452"/>
      <c r="D35" s="452"/>
      <c r="E35" s="452"/>
      <c r="F35" s="452"/>
      <c r="G35" s="452"/>
      <c r="H35" s="452"/>
      <c r="I35" s="452"/>
      <c r="J35" s="452"/>
      <c r="K35" s="452"/>
      <c r="L35" s="452"/>
      <c r="M35" s="452"/>
      <c r="N35" s="452"/>
    </row>
    <row r="36" spans="1:14" customFormat="1" x14ac:dyDescent="0.25">
      <c r="A36" s="452"/>
      <c r="B36" s="452"/>
      <c r="C36" s="452"/>
      <c r="D36" s="452"/>
      <c r="E36" s="452"/>
      <c r="F36" s="452"/>
      <c r="G36" s="452"/>
      <c r="H36" s="452"/>
      <c r="I36" s="452"/>
      <c r="J36" s="452"/>
      <c r="K36" s="452"/>
      <c r="L36" s="452"/>
      <c r="M36" s="452"/>
      <c r="N36" s="452"/>
    </row>
    <row r="37" spans="1:14" customFormat="1" x14ac:dyDescent="0.25">
      <c r="A37" s="452"/>
      <c r="B37" s="452"/>
      <c r="C37" s="452"/>
      <c r="D37" s="452"/>
      <c r="E37" s="452"/>
      <c r="F37" s="452"/>
      <c r="G37" s="452"/>
      <c r="H37" s="452"/>
      <c r="I37" s="452"/>
      <c r="J37" s="452"/>
      <c r="K37" s="452"/>
      <c r="L37" s="452"/>
      <c r="M37" s="452"/>
      <c r="N37" s="452"/>
    </row>
    <row r="38" spans="1:14" customFormat="1" x14ac:dyDescent="0.25">
      <c r="A38" s="452"/>
      <c r="B38" s="452"/>
      <c r="C38" s="452"/>
      <c r="D38" s="452"/>
      <c r="E38" s="452"/>
      <c r="F38" s="452"/>
      <c r="G38" s="452"/>
      <c r="H38" s="452"/>
      <c r="I38" s="452"/>
      <c r="J38" s="452"/>
      <c r="K38" s="452"/>
      <c r="L38" s="452"/>
      <c r="M38" s="452"/>
      <c r="N38" s="452"/>
    </row>
    <row r="39" spans="1:14" customFormat="1" x14ac:dyDescent="0.25">
      <c r="A39" s="452"/>
      <c r="B39" s="452"/>
      <c r="C39" s="452"/>
      <c r="D39" s="452"/>
      <c r="E39" s="452"/>
      <c r="F39" s="452"/>
      <c r="G39" s="452"/>
      <c r="H39" s="452"/>
      <c r="I39" s="452"/>
      <c r="J39" s="452"/>
      <c r="K39" s="452"/>
      <c r="L39" s="452"/>
      <c r="M39" s="452"/>
      <c r="N39" s="452"/>
    </row>
    <row r="40" spans="1:14" customFormat="1" x14ac:dyDescent="0.25">
      <c r="A40" s="452"/>
      <c r="B40" s="452"/>
      <c r="C40" s="452"/>
      <c r="D40" s="452"/>
      <c r="E40" s="452"/>
      <c r="F40" s="452"/>
      <c r="G40" s="452"/>
      <c r="H40" s="452"/>
      <c r="I40" s="452"/>
      <c r="J40" s="452"/>
      <c r="K40" s="452"/>
      <c r="L40" s="452"/>
      <c r="M40" s="452"/>
      <c r="N40" s="452"/>
    </row>
    <row r="41" spans="1:14" customFormat="1" x14ac:dyDescent="0.25">
      <c r="A41" s="452"/>
      <c r="B41" s="452"/>
      <c r="C41" s="452"/>
      <c r="D41" s="452"/>
      <c r="E41" s="452"/>
      <c r="F41" s="452"/>
      <c r="G41" s="452"/>
      <c r="H41" s="452"/>
      <c r="I41" s="452"/>
      <c r="J41" s="452"/>
      <c r="K41" s="452"/>
      <c r="L41" s="452"/>
      <c r="M41" s="452"/>
      <c r="N41" s="452"/>
    </row>
    <row r="42" spans="1:14" customFormat="1" x14ac:dyDescent="0.25">
      <c r="A42" s="452"/>
      <c r="B42" s="452"/>
      <c r="C42" s="452"/>
      <c r="D42" s="452"/>
      <c r="E42" s="452"/>
      <c r="F42" s="452"/>
      <c r="G42" s="452"/>
      <c r="H42" s="452"/>
      <c r="I42" s="452"/>
      <c r="J42" s="452"/>
      <c r="K42" s="452"/>
      <c r="L42" s="452"/>
      <c r="M42" s="452"/>
      <c r="N42" s="452"/>
    </row>
    <row r="43" spans="1:14" customFormat="1" x14ac:dyDescent="0.25">
      <c r="A43" s="452"/>
      <c r="B43" s="452"/>
      <c r="C43" s="452"/>
      <c r="D43" s="452"/>
      <c r="E43" s="452"/>
      <c r="F43" s="452"/>
      <c r="G43" s="452"/>
      <c r="H43" s="452"/>
      <c r="I43" s="452"/>
      <c r="J43" s="452"/>
      <c r="K43" s="452"/>
      <c r="L43" s="452"/>
      <c r="M43" s="452"/>
      <c r="N43" s="452"/>
    </row>
    <row r="44" spans="1:14" customFormat="1" x14ac:dyDescent="0.25">
      <c r="A44" s="452"/>
      <c r="B44" s="452"/>
      <c r="C44" s="452"/>
      <c r="D44" s="452"/>
      <c r="E44" s="452"/>
      <c r="F44" s="452"/>
      <c r="G44" s="452"/>
      <c r="H44" s="452"/>
      <c r="I44" s="452"/>
      <c r="J44" s="452"/>
      <c r="K44" s="452"/>
      <c r="L44" s="452"/>
      <c r="M44" s="452"/>
      <c r="N44" s="452"/>
    </row>
    <row r="45" spans="1:14" customFormat="1" x14ac:dyDescent="0.25">
      <c r="A45" s="452"/>
      <c r="B45" s="452"/>
      <c r="C45" s="452"/>
      <c r="D45" s="452"/>
      <c r="E45" s="452"/>
      <c r="F45" s="452"/>
      <c r="G45" s="452"/>
      <c r="H45" s="452"/>
      <c r="I45" s="452"/>
      <c r="J45" s="452"/>
      <c r="K45" s="452"/>
      <c r="L45" s="452"/>
      <c r="M45" s="452"/>
      <c r="N45" s="452"/>
    </row>
    <row r="46" spans="1:14" customFormat="1" x14ac:dyDescent="0.25">
      <c r="A46" s="452"/>
      <c r="B46" s="452"/>
      <c r="C46" s="452"/>
      <c r="D46" s="452"/>
      <c r="E46" s="452"/>
      <c r="F46" s="452"/>
      <c r="G46" s="452"/>
      <c r="H46" s="452"/>
      <c r="I46" s="452"/>
      <c r="J46" s="452"/>
      <c r="K46" s="452"/>
      <c r="L46" s="452"/>
      <c r="M46" s="452"/>
      <c r="N46" s="452"/>
    </row>
    <row r="47" spans="1:14" customFormat="1" x14ac:dyDescent="0.25">
      <c r="A47" s="452"/>
      <c r="B47" s="452"/>
      <c r="C47" s="452"/>
      <c r="D47" s="452"/>
      <c r="E47" s="452"/>
      <c r="F47" s="452"/>
      <c r="G47" s="452"/>
      <c r="H47" s="452"/>
      <c r="I47" s="452"/>
      <c r="J47" s="452"/>
      <c r="K47" s="452"/>
      <c r="L47" s="452"/>
      <c r="M47" s="452"/>
      <c r="N47" s="452"/>
    </row>
    <row r="48" spans="1:14" customFormat="1" x14ac:dyDescent="0.25">
      <c r="A48" s="452"/>
      <c r="B48" s="452"/>
      <c r="C48" s="452"/>
      <c r="D48" s="452"/>
      <c r="E48" s="452"/>
      <c r="F48" s="452"/>
      <c r="G48" s="452"/>
      <c r="H48" s="452"/>
      <c r="I48" s="452"/>
      <c r="J48" s="452"/>
      <c r="K48" s="452"/>
      <c r="L48" s="452"/>
      <c r="M48" s="452"/>
      <c r="N48" s="452"/>
    </row>
    <row r="49" spans="1:14" customFormat="1" x14ac:dyDescent="0.25">
      <c r="A49" s="452"/>
      <c r="B49" s="452"/>
      <c r="C49" s="452"/>
      <c r="D49" s="452"/>
      <c r="E49" s="452"/>
      <c r="F49" s="452"/>
      <c r="G49" s="452"/>
      <c r="H49" s="452"/>
      <c r="I49" s="452"/>
      <c r="J49" s="452"/>
      <c r="K49" s="452"/>
      <c r="L49" s="452"/>
      <c r="M49" s="452"/>
      <c r="N49" s="452"/>
    </row>
    <row r="50" spans="1:14" customFormat="1" x14ac:dyDescent="0.25">
      <c r="A50" s="452"/>
      <c r="B50" s="452"/>
      <c r="C50" s="452"/>
      <c r="D50" s="452"/>
      <c r="E50" s="452"/>
      <c r="F50" s="452"/>
      <c r="G50" s="452"/>
      <c r="H50" s="452"/>
      <c r="I50" s="452"/>
      <c r="J50" s="452"/>
      <c r="K50" s="452"/>
      <c r="L50" s="452"/>
      <c r="M50" s="452"/>
      <c r="N50" s="452"/>
    </row>
    <row r="51" spans="1:14" customFormat="1" x14ac:dyDescent="0.25">
      <c r="A51" s="452"/>
      <c r="B51" s="452"/>
      <c r="C51" s="452"/>
      <c r="D51" s="452"/>
      <c r="E51" s="452"/>
      <c r="F51" s="452"/>
      <c r="G51" s="452"/>
      <c r="H51" s="452"/>
      <c r="I51" s="452"/>
      <c r="J51" s="452"/>
      <c r="K51" s="452"/>
      <c r="L51" s="452"/>
      <c r="M51" s="452"/>
      <c r="N51" s="452"/>
    </row>
    <row r="52" spans="1:14" customFormat="1" x14ac:dyDescent="0.25">
      <c r="A52" s="452"/>
      <c r="B52" s="452"/>
      <c r="C52" s="452"/>
      <c r="D52" s="452"/>
      <c r="E52" s="452"/>
      <c r="F52" s="452"/>
      <c r="G52" s="452"/>
      <c r="H52" s="452"/>
      <c r="I52" s="452"/>
      <c r="J52" s="452"/>
      <c r="K52" s="452"/>
      <c r="L52" s="452"/>
      <c r="M52" s="452"/>
      <c r="N52" s="452"/>
    </row>
    <row r="53" spans="1:14" customFormat="1" x14ac:dyDescent="0.25">
      <c r="A53" s="452"/>
      <c r="B53" s="452"/>
      <c r="C53" s="452"/>
      <c r="D53" s="452"/>
      <c r="E53" s="452"/>
      <c r="F53" s="452"/>
      <c r="G53" s="452"/>
      <c r="H53" s="452"/>
      <c r="I53" s="452"/>
      <c r="J53" s="452"/>
      <c r="K53" s="452"/>
      <c r="L53" s="452"/>
      <c r="M53" s="452"/>
      <c r="N53" s="452"/>
    </row>
    <row r="54" spans="1:14" customFormat="1" x14ac:dyDescent="0.25">
      <c r="A54" s="452"/>
      <c r="B54" s="452"/>
      <c r="C54" s="452"/>
      <c r="D54" s="452"/>
      <c r="E54" s="452"/>
      <c r="F54" s="452"/>
      <c r="G54" s="452"/>
      <c r="H54" s="452"/>
      <c r="I54" s="452"/>
      <c r="J54" s="452"/>
      <c r="K54" s="452"/>
      <c r="L54" s="452"/>
      <c r="M54" s="452"/>
      <c r="N54" s="452"/>
    </row>
    <row r="55" spans="1:14" customFormat="1" x14ac:dyDescent="0.25">
      <c r="A55" s="452"/>
      <c r="B55" s="452"/>
      <c r="C55" s="452"/>
      <c r="D55" s="452"/>
      <c r="E55" s="452"/>
      <c r="F55" s="452"/>
      <c r="G55" s="452"/>
      <c r="H55" s="452"/>
      <c r="I55" s="452"/>
      <c r="J55" s="452"/>
      <c r="K55" s="452"/>
      <c r="L55" s="452"/>
      <c r="M55" s="452"/>
      <c r="N55" s="452"/>
    </row>
    <row r="56" spans="1:14" customFormat="1" x14ac:dyDescent="0.25">
      <c r="A56" s="452"/>
      <c r="B56" s="452"/>
      <c r="C56" s="452"/>
      <c r="D56" s="452"/>
      <c r="E56" s="452"/>
      <c r="F56" s="452"/>
      <c r="G56" s="452"/>
      <c r="H56" s="452"/>
      <c r="I56" s="452"/>
      <c r="J56" s="452"/>
      <c r="K56" s="452"/>
      <c r="L56" s="452"/>
      <c r="M56" s="452"/>
      <c r="N56" s="452"/>
    </row>
    <row r="57" spans="1:14" customFormat="1" x14ac:dyDescent="0.25">
      <c r="A57" s="452"/>
      <c r="B57" s="452"/>
      <c r="C57" s="452"/>
      <c r="D57" s="452"/>
      <c r="E57" s="452"/>
      <c r="F57" s="452"/>
      <c r="G57" s="452"/>
      <c r="H57" s="452"/>
      <c r="I57" s="452"/>
      <c r="J57" s="452"/>
      <c r="K57" s="452"/>
      <c r="L57" s="452"/>
      <c r="M57" s="452"/>
      <c r="N57" s="452"/>
    </row>
    <row r="58" spans="1:14" customFormat="1" x14ac:dyDescent="0.25">
      <c r="A58" s="452"/>
      <c r="B58" s="452"/>
      <c r="C58" s="452"/>
      <c r="D58" s="452"/>
      <c r="E58" s="452"/>
      <c r="F58" s="452"/>
      <c r="G58" s="452"/>
      <c r="H58" s="452"/>
      <c r="I58" s="452"/>
      <c r="J58" s="452"/>
      <c r="K58" s="452"/>
      <c r="L58" s="452"/>
      <c r="M58" s="452"/>
      <c r="N58" s="452"/>
    </row>
    <row r="59" spans="1:14" customFormat="1" x14ac:dyDescent="0.25">
      <c r="A59" s="452"/>
      <c r="B59" s="452"/>
      <c r="C59" s="452"/>
      <c r="D59" s="452"/>
      <c r="E59" s="452"/>
      <c r="F59" s="452"/>
      <c r="G59" s="452"/>
      <c r="H59" s="452"/>
      <c r="I59" s="452"/>
      <c r="J59" s="452"/>
      <c r="K59" s="452"/>
      <c r="L59" s="452"/>
      <c r="M59" s="452"/>
      <c r="N59" s="452"/>
    </row>
    <row r="60" spans="1:14" customFormat="1" x14ac:dyDescent="0.25">
      <c r="A60" s="452"/>
      <c r="B60" s="452"/>
      <c r="C60" s="452"/>
      <c r="D60" s="452"/>
      <c r="E60" s="452"/>
      <c r="F60" s="452"/>
      <c r="G60" s="452"/>
      <c r="H60" s="452"/>
      <c r="I60" s="452"/>
      <c r="J60" s="452"/>
      <c r="K60" s="452"/>
      <c r="L60" s="452"/>
      <c r="M60" s="452"/>
      <c r="N60" s="452"/>
    </row>
    <row r="61" spans="1:14" customFormat="1" x14ac:dyDescent="0.25">
      <c r="A61" s="452"/>
      <c r="B61" s="452"/>
      <c r="C61" s="452"/>
      <c r="D61" s="452"/>
      <c r="E61" s="452"/>
      <c r="F61" s="452"/>
      <c r="G61" s="452"/>
      <c r="H61" s="452"/>
      <c r="I61" s="452"/>
      <c r="J61" s="452"/>
      <c r="K61" s="452"/>
      <c r="L61" s="452"/>
      <c r="M61" s="452"/>
      <c r="N61" s="452"/>
    </row>
    <row r="62" spans="1:14" customFormat="1" x14ac:dyDescent="0.25">
      <c r="A62" s="452"/>
      <c r="B62" s="452"/>
      <c r="C62" s="452"/>
      <c r="D62" s="452"/>
      <c r="E62" s="452"/>
      <c r="F62" s="452"/>
      <c r="G62" s="452"/>
      <c r="H62" s="452"/>
      <c r="I62" s="452"/>
      <c r="J62" s="452"/>
      <c r="K62" s="452"/>
      <c r="L62" s="452"/>
      <c r="M62" s="452"/>
      <c r="N62" s="452"/>
    </row>
    <row r="63" spans="1:14" customFormat="1" x14ac:dyDescent="0.25">
      <c r="A63" s="452"/>
      <c r="B63" s="452"/>
      <c r="C63" s="452"/>
      <c r="D63" s="452"/>
      <c r="E63" s="452"/>
      <c r="F63" s="452"/>
      <c r="G63" s="452"/>
      <c r="H63" s="452"/>
      <c r="I63" s="452"/>
      <c r="J63" s="452"/>
      <c r="K63" s="452"/>
      <c r="L63" s="452"/>
      <c r="M63" s="452"/>
      <c r="N63" s="452"/>
    </row>
    <row r="64" spans="1:14" customFormat="1" x14ac:dyDescent="0.25">
      <c r="A64" s="452"/>
      <c r="B64" s="452"/>
      <c r="C64" s="452"/>
      <c r="D64" s="452"/>
      <c r="E64" s="452"/>
      <c r="F64" s="452"/>
      <c r="G64" s="452"/>
      <c r="H64" s="452"/>
      <c r="I64" s="452"/>
      <c r="J64" s="452"/>
      <c r="K64" s="452"/>
      <c r="L64" s="452"/>
      <c r="M64" s="452"/>
      <c r="N64" s="452"/>
    </row>
    <row r="65" spans="1:14" customFormat="1" x14ac:dyDescent="0.25">
      <c r="A65" s="452"/>
      <c r="B65" s="452"/>
      <c r="C65" s="452"/>
      <c r="D65" s="452"/>
      <c r="E65" s="452"/>
      <c r="F65" s="452"/>
      <c r="G65" s="452"/>
      <c r="H65" s="452"/>
      <c r="I65" s="452"/>
      <c r="J65" s="452"/>
      <c r="K65" s="452"/>
      <c r="L65" s="452"/>
      <c r="M65" s="452"/>
      <c r="N65" s="452"/>
    </row>
    <row r="66" spans="1:14" customFormat="1" x14ac:dyDescent="0.25">
      <c r="A66" s="452"/>
      <c r="B66" s="452"/>
      <c r="C66" s="452"/>
      <c r="D66" s="452"/>
      <c r="E66" s="452"/>
      <c r="F66" s="452"/>
      <c r="G66" s="452"/>
      <c r="H66" s="452"/>
      <c r="I66" s="452"/>
      <c r="J66" s="452"/>
      <c r="K66" s="452"/>
      <c r="L66" s="452"/>
      <c r="M66" s="452"/>
      <c r="N66" s="452"/>
    </row>
    <row r="67" spans="1:14" customFormat="1" x14ac:dyDescent="0.25">
      <c r="A67" s="452"/>
      <c r="B67" s="452"/>
      <c r="C67" s="452"/>
      <c r="D67" s="452"/>
      <c r="E67" s="452"/>
      <c r="F67" s="452"/>
      <c r="G67" s="452"/>
      <c r="H67" s="452"/>
      <c r="I67" s="452"/>
      <c r="J67" s="452"/>
      <c r="K67" s="452"/>
      <c r="L67" s="452"/>
      <c r="M67" s="452"/>
      <c r="N67" s="452"/>
    </row>
    <row r="68" spans="1:14" customFormat="1" x14ac:dyDescent="0.25">
      <c r="A68" s="452"/>
      <c r="B68" s="452"/>
      <c r="C68" s="452"/>
      <c r="D68" s="452"/>
      <c r="E68" s="452"/>
      <c r="F68" s="452"/>
      <c r="G68" s="452"/>
      <c r="H68" s="452"/>
      <c r="I68" s="452"/>
      <c r="J68" s="452"/>
      <c r="K68" s="452"/>
      <c r="L68" s="452"/>
      <c r="M68" s="452"/>
      <c r="N68" s="452"/>
    </row>
    <row r="69" spans="1:14" customFormat="1" x14ac:dyDescent="0.25">
      <c r="A69" s="452"/>
      <c r="B69" s="452"/>
      <c r="C69" s="452"/>
      <c r="D69" s="452"/>
      <c r="E69" s="452"/>
      <c r="F69" s="452"/>
      <c r="G69" s="452"/>
      <c r="H69" s="452"/>
      <c r="I69" s="452"/>
      <c r="J69" s="452"/>
      <c r="K69" s="452"/>
      <c r="L69" s="452"/>
      <c r="M69" s="452"/>
      <c r="N69" s="452"/>
    </row>
    <row r="70" spans="1:14" customFormat="1" x14ac:dyDescent="0.25">
      <c r="A70" s="452"/>
      <c r="B70" s="452"/>
      <c r="C70" s="452"/>
      <c r="D70" s="452"/>
      <c r="E70" s="452"/>
      <c r="F70" s="452"/>
      <c r="G70" s="452"/>
      <c r="H70" s="452"/>
      <c r="I70" s="452"/>
      <c r="J70" s="452"/>
      <c r="K70" s="452"/>
      <c r="L70" s="452"/>
      <c r="M70" s="452"/>
      <c r="N70" s="452"/>
    </row>
    <row r="71" spans="1:14" customFormat="1" x14ac:dyDescent="0.25">
      <c r="A71" s="452"/>
      <c r="B71" s="452"/>
      <c r="C71" s="452"/>
      <c r="D71" s="452"/>
      <c r="E71" s="452"/>
      <c r="F71" s="452"/>
      <c r="G71" s="452"/>
      <c r="H71" s="452"/>
      <c r="I71" s="452"/>
      <c r="J71" s="452"/>
      <c r="K71" s="452"/>
      <c r="L71" s="452"/>
      <c r="M71" s="452"/>
      <c r="N71" s="452"/>
    </row>
    <row r="72" spans="1:14" customFormat="1" x14ac:dyDescent="0.25">
      <c r="A72" s="452"/>
      <c r="B72" s="452"/>
      <c r="C72" s="452"/>
      <c r="D72" s="452"/>
      <c r="E72" s="452"/>
      <c r="F72" s="452"/>
      <c r="G72" s="452"/>
      <c r="H72" s="452"/>
      <c r="I72" s="452"/>
      <c r="J72" s="452"/>
      <c r="K72" s="452"/>
      <c r="L72" s="452"/>
      <c r="M72" s="452"/>
      <c r="N72" s="452"/>
    </row>
    <row r="73" spans="1:14" customFormat="1" x14ac:dyDescent="0.25">
      <c r="A73" s="452"/>
      <c r="B73" s="452"/>
      <c r="C73" s="452"/>
      <c r="D73" s="452"/>
      <c r="E73" s="452"/>
      <c r="F73" s="452"/>
      <c r="G73" s="452"/>
      <c r="H73" s="452"/>
      <c r="I73" s="452"/>
      <c r="J73" s="452"/>
      <c r="K73" s="452"/>
      <c r="L73" s="452"/>
      <c r="M73" s="452"/>
      <c r="N73" s="452"/>
    </row>
    <row r="74" spans="1:14" customFormat="1" x14ac:dyDescent="0.25">
      <c r="A74" s="452"/>
      <c r="B74" s="452"/>
      <c r="C74" s="452"/>
      <c r="D74" s="452"/>
      <c r="E74" s="452"/>
      <c r="F74" s="452"/>
      <c r="G74" s="452"/>
      <c r="H74" s="452"/>
      <c r="I74" s="452"/>
      <c r="J74" s="452"/>
      <c r="K74" s="452"/>
      <c r="L74" s="452"/>
      <c r="M74" s="452"/>
      <c r="N74" s="452"/>
    </row>
    <row r="75" spans="1:14" customFormat="1" x14ac:dyDescent="0.25">
      <c r="A75" s="452"/>
      <c r="B75" s="452"/>
      <c r="C75" s="452"/>
      <c r="D75" s="452"/>
      <c r="E75" s="452"/>
      <c r="F75" s="452"/>
      <c r="G75" s="452"/>
      <c r="H75" s="452"/>
      <c r="I75" s="452"/>
      <c r="J75" s="452"/>
      <c r="K75" s="452"/>
      <c r="L75" s="452"/>
      <c r="M75" s="452"/>
      <c r="N75" s="452"/>
    </row>
    <row r="76" spans="1:14" customFormat="1" x14ac:dyDescent="0.25">
      <c r="A76" s="452"/>
      <c r="B76" s="452"/>
      <c r="C76" s="452"/>
      <c r="D76" s="452"/>
      <c r="E76" s="452"/>
      <c r="F76" s="452"/>
      <c r="G76" s="452"/>
      <c r="H76" s="452"/>
      <c r="I76" s="452"/>
      <c r="J76" s="452"/>
      <c r="K76" s="452"/>
      <c r="L76" s="452"/>
      <c r="M76" s="452"/>
      <c r="N76" s="452"/>
    </row>
    <row r="77" spans="1:14" customFormat="1" x14ac:dyDescent="0.25">
      <c r="A77" s="452"/>
      <c r="B77" s="452"/>
      <c r="C77" s="452"/>
      <c r="D77" s="452"/>
      <c r="E77" s="452"/>
      <c r="F77" s="452"/>
      <c r="G77" s="452"/>
      <c r="H77" s="452"/>
      <c r="I77" s="452"/>
      <c r="J77" s="452"/>
      <c r="K77" s="452"/>
      <c r="L77" s="452"/>
      <c r="M77" s="452"/>
      <c r="N77" s="452"/>
    </row>
    <row r="78" spans="1:14" customFormat="1" x14ac:dyDescent="0.25">
      <c r="A78" s="452"/>
      <c r="B78" s="452"/>
      <c r="C78" s="452"/>
      <c r="D78" s="452"/>
      <c r="E78" s="452"/>
      <c r="F78" s="452"/>
      <c r="G78" s="452"/>
      <c r="H78" s="452"/>
      <c r="I78" s="452"/>
      <c r="J78" s="452"/>
      <c r="K78" s="452"/>
      <c r="L78" s="452"/>
      <c r="M78" s="452"/>
      <c r="N78" s="452"/>
    </row>
    <row r="79" spans="1:14" customFormat="1" x14ac:dyDescent="0.25">
      <c r="A79" s="452"/>
      <c r="B79" s="452"/>
      <c r="C79" s="452"/>
      <c r="D79" s="452"/>
      <c r="E79" s="452"/>
      <c r="F79" s="452"/>
      <c r="G79" s="452"/>
      <c r="H79" s="452"/>
      <c r="I79" s="452"/>
      <c r="J79" s="452"/>
      <c r="K79" s="452"/>
      <c r="L79" s="452"/>
      <c r="M79" s="452"/>
      <c r="N79" s="452"/>
    </row>
    <row r="80" spans="1:14" customFormat="1" x14ac:dyDescent="0.25">
      <c r="A80" s="452"/>
      <c r="B80" s="452"/>
      <c r="C80" s="452"/>
      <c r="D80" s="452"/>
      <c r="E80" s="452"/>
      <c r="F80" s="452"/>
      <c r="G80" s="452"/>
      <c r="H80" s="452"/>
      <c r="I80" s="452"/>
      <c r="J80" s="452"/>
      <c r="K80" s="452"/>
      <c r="L80" s="452"/>
      <c r="M80" s="452"/>
      <c r="N80" s="452"/>
    </row>
    <row r="81" spans="1:14" customFormat="1" x14ac:dyDescent="0.25">
      <c r="A81" s="452"/>
      <c r="B81" s="452"/>
      <c r="C81" s="452"/>
      <c r="D81" s="452"/>
      <c r="E81" s="452"/>
      <c r="F81" s="452"/>
      <c r="G81" s="452"/>
      <c r="H81" s="452"/>
      <c r="I81" s="452"/>
      <c r="J81" s="452"/>
      <c r="K81" s="452"/>
      <c r="L81" s="452"/>
      <c r="M81" s="452"/>
      <c r="N81" s="452"/>
    </row>
    <row r="82" spans="1:14" customFormat="1" x14ac:dyDescent="0.25">
      <c r="A82" s="452"/>
      <c r="B82" s="452"/>
      <c r="C82" s="452"/>
      <c r="D82" s="452"/>
      <c r="E82" s="452"/>
      <c r="F82" s="452"/>
      <c r="G82" s="452"/>
      <c r="H82" s="452"/>
      <c r="I82" s="452"/>
      <c r="J82" s="452"/>
      <c r="K82" s="452"/>
      <c r="L82" s="452"/>
      <c r="M82" s="452"/>
      <c r="N82" s="452"/>
    </row>
    <row r="83" spans="1:14" customFormat="1" x14ac:dyDescent="0.25">
      <c r="A83" s="452"/>
      <c r="B83" s="452"/>
      <c r="C83" s="452"/>
      <c r="D83" s="452"/>
      <c r="E83" s="452"/>
      <c r="F83" s="452"/>
      <c r="G83" s="452"/>
      <c r="H83" s="452"/>
      <c r="I83" s="452"/>
      <c r="J83" s="452"/>
      <c r="K83" s="452"/>
      <c r="L83" s="452"/>
      <c r="M83" s="452"/>
      <c r="N83" s="452"/>
    </row>
    <row r="84" spans="1:14" customFormat="1" x14ac:dyDescent="0.25">
      <c r="A84" s="452"/>
      <c r="B84" s="452"/>
      <c r="C84" s="452"/>
      <c r="D84" s="452"/>
      <c r="E84" s="452"/>
      <c r="F84" s="452"/>
      <c r="G84" s="452"/>
      <c r="H84" s="452"/>
      <c r="I84" s="452"/>
      <c r="J84" s="452"/>
      <c r="K84" s="452"/>
      <c r="L84" s="452"/>
      <c r="M84" s="452"/>
      <c r="N84" s="452"/>
    </row>
    <row r="85" spans="1:14" customFormat="1" x14ac:dyDescent="0.25">
      <c r="A85" s="452"/>
      <c r="B85" s="452"/>
      <c r="C85" s="452"/>
      <c r="D85" s="452"/>
      <c r="E85" s="452"/>
      <c r="F85" s="452"/>
      <c r="G85" s="452"/>
      <c r="H85" s="452"/>
      <c r="I85" s="452"/>
      <c r="J85" s="452"/>
      <c r="K85" s="452"/>
      <c r="L85" s="452"/>
      <c r="M85" s="452"/>
      <c r="N85" s="452"/>
    </row>
    <row r="86" spans="1:14" customFormat="1" x14ac:dyDescent="0.25">
      <c r="A86" s="452"/>
      <c r="B86" s="452"/>
      <c r="C86" s="452"/>
      <c r="D86" s="452"/>
      <c r="E86" s="452"/>
      <c r="F86" s="452"/>
      <c r="G86" s="452"/>
      <c r="H86" s="452"/>
      <c r="I86" s="452"/>
      <c r="J86" s="452"/>
      <c r="K86" s="452"/>
      <c r="L86" s="452"/>
      <c r="M86" s="452"/>
      <c r="N86" s="452"/>
    </row>
    <row r="87" spans="1:14" customFormat="1" x14ac:dyDescent="0.25">
      <c r="A87" s="452"/>
      <c r="B87" s="452"/>
      <c r="C87" s="452"/>
      <c r="D87" s="452"/>
      <c r="E87" s="452"/>
      <c r="F87" s="452"/>
      <c r="G87" s="452"/>
      <c r="H87" s="452"/>
      <c r="I87" s="452"/>
      <c r="J87" s="452"/>
      <c r="K87" s="452"/>
      <c r="L87" s="452"/>
      <c r="M87" s="452"/>
      <c r="N87" s="452"/>
    </row>
    <row r="88" spans="1:14" customFormat="1" x14ac:dyDescent="0.25">
      <c r="A88" s="452"/>
      <c r="B88" s="452"/>
      <c r="C88" s="452"/>
      <c r="D88" s="452"/>
      <c r="E88" s="452"/>
      <c r="F88" s="452"/>
      <c r="G88" s="452"/>
      <c r="H88" s="452"/>
      <c r="I88" s="452"/>
      <c r="J88" s="452"/>
      <c r="K88" s="452"/>
      <c r="L88" s="452"/>
      <c r="M88" s="452"/>
      <c r="N88" s="452"/>
    </row>
    <row r="89" spans="1:14" customFormat="1" x14ac:dyDescent="0.25">
      <c r="A89" s="452"/>
      <c r="B89" s="452"/>
      <c r="C89" s="452"/>
      <c r="D89" s="452"/>
      <c r="E89" s="452"/>
      <c r="F89" s="452"/>
      <c r="G89" s="452"/>
      <c r="H89" s="452"/>
      <c r="I89" s="452"/>
      <c r="J89" s="452"/>
      <c r="K89" s="452"/>
      <c r="L89" s="452"/>
      <c r="M89" s="452"/>
      <c r="N89" s="452"/>
    </row>
    <row r="90" spans="1:14" customFormat="1" x14ac:dyDescent="0.25">
      <c r="A90" s="452"/>
      <c r="B90" s="452"/>
      <c r="C90" s="452"/>
      <c r="D90" s="452"/>
      <c r="E90" s="452"/>
      <c r="F90" s="452"/>
      <c r="G90" s="452"/>
      <c r="H90" s="452"/>
      <c r="I90" s="452"/>
      <c r="J90" s="452"/>
      <c r="K90" s="452"/>
      <c r="L90" s="452"/>
      <c r="M90" s="452"/>
      <c r="N90" s="452"/>
    </row>
    <row r="91" spans="1:14" customFormat="1" x14ac:dyDescent="0.25">
      <c r="A91" s="452"/>
      <c r="B91" s="452"/>
      <c r="C91" s="452"/>
      <c r="D91" s="452"/>
      <c r="E91" s="452"/>
      <c r="F91" s="452"/>
      <c r="G91" s="452"/>
      <c r="H91" s="452"/>
      <c r="I91" s="452"/>
      <c r="J91" s="452"/>
      <c r="K91" s="452"/>
      <c r="L91" s="452"/>
      <c r="M91" s="452"/>
      <c r="N91" s="452"/>
    </row>
    <row r="92" spans="1:14" customFormat="1" x14ac:dyDescent="0.25">
      <c r="A92" s="452"/>
      <c r="B92" s="452"/>
      <c r="C92" s="452"/>
      <c r="D92" s="452"/>
      <c r="E92" s="452"/>
      <c r="F92" s="452"/>
      <c r="G92" s="452"/>
      <c r="H92" s="452"/>
      <c r="I92" s="452"/>
      <c r="J92" s="452"/>
      <c r="K92" s="452"/>
      <c r="L92" s="452"/>
      <c r="M92" s="452"/>
      <c r="N92" s="452"/>
    </row>
    <row r="93" spans="1:14" customFormat="1" x14ac:dyDescent="0.25">
      <c r="A93" s="452"/>
      <c r="B93" s="452"/>
      <c r="C93" s="452"/>
      <c r="D93" s="452"/>
      <c r="E93" s="452"/>
      <c r="F93" s="452"/>
      <c r="G93" s="452"/>
      <c r="H93" s="452"/>
      <c r="I93" s="452"/>
      <c r="J93" s="452"/>
      <c r="K93" s="452"/>
      <c r="L93" s="452"/>
      <c r="M93" s="452"/>
      <c r="N93" s="452"/>
    </row>
    <row r="94" spans="1:14" customFormat="1" x14ac:dyDescent="0.25">
      <c r="A94" s="452"/>
      <c r="B94" s="452"/>
      <c r="C94" s="452"/>
      <c r="D94" s="452"/>
      <c r="E94" s="452"/>
      <c r="F94" s="452"/>
      <c r="G94" s="452"/>
      <c r="H94" s="452"/>
      <c r="I94" s="452"/>
      <c r="J94" s="452"/>
      <c r="K94" s="452"/>
      <c r="L94" s="452"/>
      <c r="M94" s="452"/>
      <c r="N94" s="452"/>
    </row>
    <row r="95" spans="1:14" customFormat="1" x14ac:dyDescent="0.25">
      <c r="A95" s="452"/>
      <c r="B95" s="452"/>
      <c r="C95" s="452"/>
      <c r="D95" s="452"/>
      <c r="E95" s="452"/>
      <c r="F95" s="452"/>
      <c r="G95" s="452"/>
      <c r="H95" s="452"/>
      <c r="I95" s="452"/>
      <c r="J95" s="452"/>
      <c r="K95" s="452"/>
      <c r="L95" s="452"/>
      <c r="M95" s="452"/>
      <c r="N95" s="452"/>
    </row>
    <row r="96" spans="1:14" customFormat="1" x14ac:dyDescent="0.25">
      <c r="A96" s="452"/>
      <c r="B96" s="452"/>
      <c r="C96" s="452"/>
      <c r="D96" s="452"/>
      <c r="E96" s="452"/>
      <c r="F96" s="452"/>
      <c r="G96" s="452"/>
      <c r="H96" s="452"/>
      <c r="I96" s="452"/>
      <c r="J96" s="452"/>
      <c r="K96" s="452"/>
      <c r="L96" s="452"/>
      <c r="M96" s="452"/>
      <c r="N96" s="452"/>
    </row>
    <row r="97" spans="1:14" customFormat="1" x14ac:dyDescent="0.25">
      <c r="A97" s="452"/>
      <c r="B97" s="452"/>
      <c r="C97" s="452"/>
      <c r="D97" s="452"/>
      <c r="E97" s="452"/>
      <c r="F97" s="452"/>
      <c r="G97" s="452"/>
      <c r="H97" s="452"/>
      <c r="I97" s="452"/>
      <c r="J97" s="452"/>
      <c r="K97" s="452"/>
      <c r="L97" s="452"/>
      <c r="M97" s="452"/>
      <c r="N97" s="452"/>
    </row>
    <row r="98" spans="1:14" customFormat="1" x14ac:dyDescent="0.25">
      <c r="A98" s="452"/>
      <c r="B98" s="452"/>
      <c r="C98" s="452"/>
      <c r="D98" s="452"/>
      <c r="E98" s="452"/>
      <c r="F98" s="452"/>
      <c r="G98" s="452"/>
      <c r="H98" s="452"/>
      <c r="I98" s="452"/>
      <c r="J98" s="452"/>
      <c r="K98" s="452"/>
      <c r="L98" s="452"/>
      <c r="M98" s="452"/>
      <c r="N98" s="452"/>
    </row>
    <row r="99" spans="1:14" customFormat="1" x14ac:dyDescent="0.25">
      <c r="A99" s="452"/>
      <c r="B99" s="452"/>
      <c r="C99" s="452"/>
      <c r="D99" s="452"/>
      <c r="E99" s="452"/>
      <c r="F99" s="452"/>
      <c r="G99" s="452"/>
      <c r="H99" s="452"/>
      <c r="I99" s="452"/>
      <c r="J99" s="452"/>
      <c r="K99" s="452"/>
      <c r="L99" s="452"/>
      <c r="M99" s="452"/>
      <c r="N99" s="452"/>
    </row>
    <row r="100" spans="1:14" customFormat="1" x14ac:dyDescent="0.25">
      <c r="A100" s="452"/>
      <c r="B100" s="452"/>
      <c r="C100" s="452"/>
      <c r="D100" s="452"/>
      <c r="E100" s="452"/>
      <c r="F100" s="452"/>
      <c r="G100" s="452"/>
      <c r="H100" s="452"/>
      <c r="I100" s="452"/>
      <c r="J100" s="452"/>
      <c r="K100" s="452"/>
      <c r="L100" s="452"/>
      <c r="M100" s="452"/>
      <c r="N100" s="452"/>
    </row>
    <row r="101" spans="1:14" customFormat="1" x14ac:dyDescent="0.25">
      <c r="A101" s="452"/>
      <c r="B101" s="452"/>
      <c r="C101" s="452"/>
      <c r="D101" s="452"/>
      <c r="E101" s="452"/>
      <c r="F101" s="452"/>
      <c r="G101" s="452"/>
      <c r="H101" s="452"/>
      <c r="I101" s="452"/>
      <c r="J101" s="452"/>
      <c r="K101" s="452"/>
      <c r="L101" s="452"/>
      <c r="M101" s="452"/>
      <c r="N101" s="452"/>
    </row>
    <row r="102" spans="1:14" customFormat="1" x14ac:dyDescent="0.25">
      <c r="A102" s="452"/>
      <c r="B102" s="452"/>
      <c r="C102" s="452"/>
      <c r="D102" s="452"/>
      <c r="E102" s="452"/>
      <c r="F102" s="452"/>
      <c r="G102" s="452"/>
      <c r="H102" s="452"/>
      <c r="I102" s="452"/>
      <c r="J102" s="452"/>
      <c r="K102" s="452"/>
      <c r="L102" s="452"/>
      <c r="M102" s="452"/>
      <c r="N102" s="452"/>
    </row>
    <row r="103" spans="1:14" customFormat="1" x14ac:dyDescent="0.25">
      <c r="A103" s="452"/>
      <c r="B103" s="452"/>
      <c r="C103" s="452"/>
      <c r="D103" s="452"/>
      <c r="E103" s="452"/>
      <c r="F103" s="452"/>
      <c r="G103" s="452"/>
      <c r="H103" s="452"/>
      <c r="I103" s="452"/>
      <c r="J103" s="452"/>
      <c r="K103" s="452"/>
      <c r="L103" s="452"/>
      <c r="M103" s="452"/>
      <c r="N103" s="452"/>
    </row>
    <row r="104" spans="1:14" customFormat="1" x14ac:dyDescent="0.25">
      <c r="A104" s="452"/>
      <c r="B104" s="452"/>
      <c r="C104" s="452"/>
      <c r="D104" s="452"/>
      <c r="E104" s="452"/>
      <c r="F104" s="452"/>
      <c r="G104" s="452"/>
      <c r="H104" s="452"/>
      <c r="I104" s="452"/>
      <c r="J104" s="452"/>
      <c r="K104" s="452"/>
      <c r="L104" s="452"/>
      <c r="M104" s="452"/>
      <c r="N104" s="452"/>
    </row>
    <row r="105" spans="1:14" customFormat="1" x14ac:dyDescent="0.25">
      <c r="A105" s="452"/>
      <c r="B105" s="452"/>
      <c r="C105" s="452"/>
      <c r="D105" s="452"/>
      <c r="E105" s="452"/>
      <c r="F105" s="452"/>
      <c r="G105" s="452"/>
      <c r="H105" s="452"/>
      <c r="I105" s="452"/>
      <c r="J105" s="452"/>
      <c r="K105" s="452"/>
      <c r="L105" s="452"/>
      <c r="M105" s="452"/>
      <c r="N105" s="452"/>
    </row>
    <row r="106" spans="1:14" customFormat="1" x14ac:dyDescent="0.25">
      <c r="A106" s="452"/>
      <c r="B106" s="452"/>
      <c r="C106" s="452"/>
      <c r="D106" s="452"/>
      <c r="E106" s="452"/>
      <c r="F106" s="452"/>
      <c r="G106" s="452"/>
      <c r="H106" s="452"/>
      <c r="I106" s="452"/>
      <c r="J106" s="452"/>
      <c r="K106" s="452"/>
      <c r="L106" s="452"/>
      <c r="M106" s="452"/>
      <c r="N106" s="452"/>
    </row>
    <row r="107" spans="1:14" customFormat="1" x14ac:dyDescent="0.25">
      <c r="A107" s="452"/>
      <c r="B107" s="452"/>
      <c r="C107" s="452"/>
      <c r="D107" s="452"/>
      <c r="E107" s="452"/>
      <c r="F107" s="452"/>
      <c r="G107" s="452"/>
      <c r="H107" s="452"/>
      <c r="I107" s="452"/>
      <c r="J107" s="452"/>
      <c r="K107" s="452"/>
      <c r="L107" s="452"/>
      <c r="M107" s="452"/>
      <c r="N107" s="452"/>
    </row>
    <row r="108" spans="1:14" customFormat="1" x14ac:dyDescent="0.25">
      <c r="A108" s="452"/>
      <c r="B108" s="452"/>
      <c r="C108" s="452"/>
      <c r="D108" s="452"/>
      <c r="E108" s="452"/>
      <c r="F108" s="452"/>
      <c r="G108" s="452"/>
      <c r="H108" s="452"/>
      <c r="I108" s="452"/>
      <c r="J108" s="452"/>
      <c r="K108" s="452"/>
      <c r="L108" s="452"/>
      <c r="M108" s="452"/>
      <c r="N108" s="452"/>
    </row>
    <row r="109" spans="1:14" customFormat="1" x14ac:dyDescent="0.25">
      <c r="A109" s="452"/>
      <c r="B109" s="452"/>
      <c r="C109" s="452"/>
      <c r="D109" s="452"/>
      <c r="E109" s="452"/>
      <c r="F109" s="452"/>
      <c r="G109" s="452"/>
      <c r="H109" s="452"/>
      <c r="I109" s="452"/>
      <c r="J109" s="452"/>
      <c r="K109" s="452"/>
      <c r="L109" s="452"/>
      <c r="M109" s="452"/>
      <c r="N109" s="452"/>
    </row>
    <row r="110" spans="1:14" customFormat="1" x14ac:dyDescent="0.25">
      <c r="A110" s="452"/>
      <c r="B110" s="452"/>
      <c r="C110" s="452"/>
      <c r="D110" s="452"/>
      <c r="E110" s="452"/>
      <c r="F110" s="452"/>
      <c r="G110" s="452"/>
      <c r="H110" s="452"/>
      <c r="I110" s="452"/>
      <c r="J110" s="452"/>
      <c r="K110" s="452"/>
      <c r="L110" s="452"/>
      <c r="M110" s="452"/>
      <c r="N110" s="452"/>
    </row>
    <row r="111" spans="1:14" customFormat="1" x14ac:dyDescent="0.25">
      <c r="A111" s="452"/>
      <c r="B111" s="452"/>
      <c r="C111" s="452"/>
      <c r="D111" s="452"/>
      <c r="E111" s="452"/>
      <c r="F111" s="452"/>
      <c r="G111" s="452"/>
      <c r="H111" s="452"/>
      <c r="I111" s="452"/>
      <c r="J111" s="452"/>
      <c r="K111" s="452"/>
      <c r="L111" s="452"/>
      <c r="M111" s="452"/>
      <c r="N111" s="452"/>
    </row>
    <row r="112" spans="1:14" customFormat="1" x14ac:dyDescent="0.25">
      <c r="A112" s="452"/>
      <c r="B112" s="452"/>
      <c r="C112" s="452"/>
      <c r="D112" s="452"/>
      <c r="E112" s="452"/>
      <c r="F112" s="452"/>
      <c r="G112" s="452"/>
      <c r="H112" s="452"/>
      <c r="I112" s="452"/>
      <c r="J112" s="452"/>
      <c r="K112" s="452"/>
      <c r="L112" s="452"/>
      <c r="M112" s="452"/>
      <c r="N112" s="452"/>
    </row>
    <row r="113" spans="1:14" customFormat="1" x14ac:dyDescent="0.25">
      <c r="A113" s="452"/>
      <c r="B113" s="452"/>
      <c r="C113" s="452"/>
      <c r="D113" s="452"/>
      <c r="E113" s="452"/>
      <c r="F113" s="452"/>
      <c r="G113" s="452"/>
      <c r="H113" s="452"/>
      <c r="I113" s="452"/>
      <c r="J113" s="452"/>
      <c r="K113" s="452"/>
      <c r="L113" s="452"/>
      <c r="M113" s="452"/>
      <c r="N113" s="452"/>
    </row>
    <row r="114" spans="1:14" customFormat="1" x14ac:dyDescent="0.25">
      <c r="A114" s="452"/>
      <c r="B114" s="452"/>
      <c r="C114" s="452"/>
      <c r="D114" s="452"/>
      <c r="E114" s="452"/>
      <c r="F114" s="452"/>
      <c r="G114" s="452"/>
      <c r="H114" s="452"/>
      <c r="I114" s="452"/>
      <c r="J114" s="452"/>
      <c r="K114" s="452"/>
      <c r="L114" s="452"/>
      <c r="M114" s="452"/>
      <c r="N114" s="452"/>
    </row>
    <row r="115" spans="1:14" customFormat="1" x14ac:dyDescent="0.25">
      <c r="A115" s="452"/>
      <c r="B115" s="452"/>
      <c r="C115" s="452"/>
      <c r="D115" s="452"/>
      <c r="E115" s="452"/>
      <c r="F115" s="452"/>
      <c r="G115" s="452"/>
      <c r="H115" s="452"/>
      <c r="I115" s="452"/>
      <c r="J115" s="452"/>
      <c r="K115" s="452"/>
      <c r="L115" s="452"/>
      <c r="M115" s="452"/>
      <c r="N115" s="452"/>
    </row>
    <row r="116" spans="1:14" customFormat="1" x14ac:dyDescent="0.25">
      <c r="A116" s="452"/>
      <c r="B116" s="452"/>
      <c r="C116" s="452"/>
      <c r="D116" s="452"/>
      <c r="E116" s="452"/>
      <c r="F116" s="452"/>
      <c r="G116" s="452"/>
      <c r="H116" s="452"/>
      <c r="I116" s="452"/>
      <c r="J116" s="452"/>
      <c r="K116" s="452"/>
      <c r="L116" s="452"/>
      <c r="M116" s="452"/>
      <c r="N116" s="452"/>
    </row>
    <row r="117" spans="1:14" customFormat="1" x14ac:dyDescent="0.25">
      <c r="A117" s="452"/>
      <c r="B117" s="452"/>
      <c r="C117" s="452"/>
      <c r="D117" s="452"/>
      <c r="E117" s="452"/>
      <c r="F117" s="452"/>
      <c r="G117" s="452"/>
      <c r="H117" s="452"/>
      <c r="I117" s="452"/>
      <c r="J117" s="452"/>
      <c r="K117" s="452"/>
      <c r="L117" s="452"/>
      <c r="M117" s="452"/>
      <c r="N117" s="452"/>
    </row>
    <row r="118" spans="1:14" customFormat="1" x14ac:dyDescent="0.25">
      <c r="A118" s="452"/>
      <c r="B118" s="452"/>
      <c r="C118" s="452"/>
      <c r="D118" s="452"/>
      <c r="E118" s="452"/>
      <c r="F118" s="452"/>
      <c r="G118" s="452"/>
      <c r="H118" s="452"/>
      <c r="I118" s="452"/>
      <c r="J118" s="452"/>
      <c r="K118" s="452"/>
      <c r="L118" s="452"/>
      <c r="M118" s="452"/>
      <c r="N118" s="452"/>
    </row>
    <row r="119" spans="1:14" customFormat="1" x14ac:dyDescent="0.25">
      <c r="A119" s="452"/>
      <c r="B119" s="452"/>
      <c r="C119" s="452"/>
      <c r="D119" s="452"/>
      <c r="E119" s="452"/>
      <c r="F119" s="452"/>
      <c r="G119" s="452"/>
      <c r="H119" s="452"/>
      <c r="I119" s="452"/>
      <c r="J119" s="452"/>
      <c r="K119" s="452"/>
      <c r="L119" s="452"/>
      <c r="M119" s="452"/>
      <c r="N119" s="452"/>
    </row>
    <row r="120" spans="1:14" customFormat="1" x14ac:dyDescent="0.25">
      <c r="A120" s="452"/>
      <c r="B120" s="452"/>
      <c r="C120" s="452"/>
      <c r="D120" s="452"/>
      <c r="E120" s="452"/>
      <c r="F120" s="452"/>
      <c r="G120" s="452"/>
      <c r="H120" s="452"/>
      <c r="I120" s="452"/>
      <c r="J120" s="452"/>
      <c r="K120" s="452"/>
      <c r="L120" s="452"/>
      <c r="M120" s="452"/>
      <c r="N120" s="452"/>
    </row>
    <row r="121" spans="1:14" customFormat="1" x14ac:dyDescent="0.25">
      <c r="A121" s="452"/>
      <c r="B121" s="452"/>
      <c r="C121" s="452"/>
      <c r="D121" s="452"/>
      <c r="E121" s="452"/>
      <c r="F121" s="452"/>
      <c r="G121" s="452"/>
      <c r="H121" s="452"/>
      <c r="I121" s="452"/>
      <c r="J121" s="452"/>
      <c r="K121" s="452"/>
      <c r="L121" s="452"/>
      <c r="M121" s="452"/>
      <c r="N121" s="452"/>
    </row>
    <row r="122" spans="1:14" customFormat="1" x14ac:dyDescent="0.25">
      <c r="A122" s="452"/>
      <c r="B122" s="452"/>
      <c r="C122" s="452"/>
      <c r="D122" s="452"/>
      <c r="E122" s="452"/>
      <c r="F122" s="452"/>
      <c r="G122" s="452"/>
      <c r="H122" s="452"/>
      <c r="I122" s="452"/>
      <c r="J122" s="452"/>
      <c r="K122" s="452"/>
      <c r="L122" s="452"/>
      <c r="M122" s="452"/>
      <c r="N122" s="452"/>
    </row>
    <row r="123" spans="1:14" customFormat="1" x14ac:dyDescent="0.25">
      <c r="A123" s="452"/>
      <c r="B123" s="452"/>
      <c r="C123" s="452"/>
      <c r="D123" s="452"/>
      <c r="E123" s="452"/>
      <c r="F123" s="452"/>
      <c r="G123" s="452"/>
      <c r="H123" s="452"/>
      <c r="I123" s="452"/>
      <c r="J123" s="452"/>
      <c r="K123" s="452"/>
      <c r="L123" s="452"/>
      <c r="M123" s="452"/>
      <c r="N123" s="452"/>
    </row>
    <row r="124" spans="1:14" customFormat="1" x14ac:dyDescent="0.25">
      <c r="A124" s="452"/>
      <c r="B124" s="452"/>
      <c r="C124" s="452"/>
      <c r="D124" s="452"/>
      <c r="E124" s="452"/>
      <c r="F124" s="452"/>
      <c r="G124" s="452"/>
      <c r="H124" s="452"/>
      <c r="I124" s="452"/>
      <c r="J124" s="452"/>
      <c r="K124" s="452"/>
      <c r="L124" s="452"/>
      <c r="M124" s="452"/>
      <c r="N124" s="452"/>
    </row>
    <row r="125" spans="1:14" customFormat="1" x14ac:dyDescent="0.25">
      <c r="A125" s="452"/>
      <c r="B125" s="452"/>
      <c r="C125" s="452"/>
      <c r="D125" s="452"/>
      <c r="E125" s="452"/>
      <c r="F125" s="452"/>
      <c r="G125" s="452"/>
      <c r="H125" s="452"/>
      <c r="I125" s="452"/>
      <c r="J125" s="452"/>
      <c r="K125" s="452"/>
      <c r="L125" s="452"/>
      <c r="M125" s="452"/>
      <c r="N125" s="452"/>
    </row>
    <row r="126" spans="1:14" customFormat="1" x14ac:dyDescent="0.25">
      <c r="A126" s="452"/>
      <c r="B126" s="452"/>
      <c r="C126" s="452"/>
      <c r="D126" s="452"/>
      <c r="E126" s="452"/>
      <c r="F126" s="452"/>
      <c r="G126" s="452"/>
      <c r="H126" s="452"/>
      <c r="I126" s="452"/>
      <c r="J126" s="452"/>
      <c r="K126" s="452"/>
      <c r="L126" s="452"/>
      <c r="M126" s="452"/>
      <c r="N126" s="452"/>
    </row>
    <row r="127" spans="1:14" customFormat="1" x14ac:dyDescent="0.25">
      <c r="A127" s="452"/>
      <c r="B127" s="452"/>
      <c r="C127" s="452"/>
      <c r="D127" s="452"/>
      <c r="E127" s="452"/>
      <c r="F127" s="452"/>
      <c r="G127" s="452"/>
      <c r="H127" s="452"/>
      <c r="I127" s="452"/>
      <c r="J127" s="452"/>
      <c r="K127" s="452"/>
      <c r="L127" s="452"/>
      <c r="M127" s="452"/>
      <c r="N127" s="452"/>
    </row>
    <row r="128" spans="1:14" customFormat="1" x14ac:dyDescent="0.25">
      <c r="A128" s="452"/>
      <c r="B128" s="452"/>
      <c r="C128" s="452"/>
      <c r="D128" s="452"/>
      <c r="E128" s="452"/>
      <c r="F128" s="452"/>
      <c r="G128" s="452"/>
      <c r="H128" s="452"/>
      <c r="I128" s="452"/>
      <c r="J128" s="452"/>
      <c r="K128" s="452"/>
      <c r="L128" s="452"/>
      <c r="M128" s="452"/>
      <c r="N128" s="452"/>
    </row>
    <row r="129" spans="1:14" customFormat="1" x14ac:dyDescent="0.25">
      <c r="A129" s="452"/>
      <c r="B129" s="452"/>
      <c r="C129" s="452"/>
      <c r="D129" s="452"/>
      <c r="E129" s="452"/>
      <c r="F129" s="452"/>
      <c r="G129" s="452"/>
      <c r="H129" s="452"/>
      <c r="I129" s="452"/>
      <c r="J129" s="452"/>
      <c r="K129" s="452"/>
      <c r="L129" s="452"/>
      <c r="M129" s="452"/>
      <c r="N129" s="452"/>
    </row>
    <row r="130" spans="1:14" customFormat="1" x14ac:dyDescent="0.25">
      <c r="A130" s="452"/>
      <c r="B130" s="452"/>
      <c r="C130" s="452"/>
      <c r="D130" s="452"/>
      <c r="E130" s="452"/>
      <c r="F130" s="452"/>
      <c r="G130" s="452"/>
      <c r="H130" s="452"/>
      <c r="I130" s="452"/>
      <c r="J130" s="452"/>
      <c r="K130" s="452"/>
      <c r="L130" s="452"/>
      <c r="M130" s="452"/>
      <c r="N130" s="452"/>
    </row>
    <row r="131" spans="1:14" customFormat="1" x14ac:dyDescent="0.25">
      <c r="A131" s="452"/>
      <c r="B131" s="452"/>
      <c r="C131" s="452"/>
      <c r="D131" s="452"/>
      <c r="E131" s="452"/>
      <c r="F131" s="452"/>
      <c r="G131" s="452"/>
      <c r="H131" s="452"/>
      <c r="I131" s="452"/>
      <c r="J131" s="452"/>
      <c r="K131" s="452"/>
      <c r="L131" s="452"/>
      <c r="M131" s="452"/>
      <c r="N131" s="452"/>
    </row>
    <row r="132" spans="1:14" customFormat="1" x14ac:dyDescent="0.25">
      <c r="A132" s="452"/>
      <c r="B132" s="452"/>
      <c r="C132" s="452"/>
      <c r="D132" s="452"/>
      <c r="E132" s="452"/>
      <c r="F132" s="452"/>
      <c r="G132" s="452"/>
      <c r="H132" s="452"/>
      <c r="I132" s="452"/>
      <c r="J132" s="452"/>
      <c r="K132" s="452"/>
      <c r="L132" s="452"/>
      <c r="M132" s="452"/>
      <c r="N132" s="452"/>
    </row>
    <row r="133" spans="1:14" customFormat="1" x14ac:dyDescent="0.25">
      <c r="A133" s="452"/>
      <c r="B133" s="452"/>
      <c r="C133" s="452"/>
      <c r="D133" s="452"/>
      <c r="E133" s="452"/>
      <c r="F133" s="452"/>
      <c r="G133" s="452"/>
      <c r="H133" s="452"/>
      <c r="I133" s="452"/>
      <c r="J133" s="452"/>
      <c r="K133" s="452"/>
      <c r="L133" s="452"/>
      <c r="M133" s="452"/>
      <c r="N133" s="452"/>
    </row>
    <row r="134" spans="1:14" customFormat="1" x14ac:dyDescent="0.25">
      <c r="A134" s="452"/>
      <c r="B134" s="452"/>
      <c r="C134" s="452"/>
      <c r="D134" s="452"/>
      <c r="E134" s="452"/>
      <c r="F134" s="452"/>
      <c r="G134" s="452"/>
      <c r="H134" s="452"/>
      <c r="I134" s="452"/>
      <c r="J134" s="452"/>
      <c r="K134" s="452"/>
      <c r="L134" s="452"/>
      <c r="M134" s="452"/>
      <c r="N134" s="452"/>
    </row>
    <row r="135" spans="1:14" customFormat="1" x14ac:dyDescent="0.25">
      <c r="A135" s="452"/>
      <c r="B135" s="452"/>
      <c r="C135" s="452"/>
      <c r="D135" s="452"/>
      <c r="E135" s="452"/>
      <c r="F135" s="452"/>
      <c r="G135" s="452"/>
      <c r="H135" s="452"/>
      <c r="I135" s="452"/>
      <c r="J135" s="452"/>
      <c r="K135" s="452"/>
      <c r="L135" s="452"/>
      <c r="M135" s="452"/>
      <c r="N135" s="452"/>
    </row>
    <row r="136" spans="1:14" customFormat="1" x14ac:dyDescent="0.25">
      <c r="A136" s="452"/>
      <c r="B136" s="452"/>
      <c r="C136" s="452"/>
      <c r="D136" s="452"/>
      <c r="E136" s="452"/>
      <c r="F136" s="452"/>
      <c r="G136" s="452"/>
      <c r="H136" s="452"/>
      <c r="I136" s="452"/>
      <c r="J136" s="452"/>
      <c r="K136" s="452"/>
      <c r="L136" s="452"/>
      <c r="M136" s="452"/>
      <c r="N136" s="452"/>
    </row>
    <row r="137" spans="1:14" customFormat="1" x14ac:dyDescent="0.25">
      <c r="A137" s="452"/>
      <c r="B137" s="452"/>
      <c r="C137" s="452"/>
      <c r="D137" s="452"/>
      <c r="E137" s="452"/>
      <c r="F137" s="452"/>
      <c r="G137" s="452"/>
      <c r="H137" s="452"/>
      <c r="I137" s="452"/>
      <c r="J137" s="452"/>
      <c r="K137" s="452"/>
      <c r="L137" s="452"/>
      <c r="M137" s="452"/>
      <c r="N137" s="452"/>
    </row>
    <row r="138" spans="1:14" customFormat="1" x14ac:dyDescent="0.25">
      <c r="A138" s="452"/>
      <c r="B138" s="452"/>
      <c r="C138" s="452"/>
      <c r="D138" s="452"/>
      <c r="E138" s="452"/>
      <c r="F138" s="452"/>
      <c r="G138" s="452"/>
      <c r="H138" s="452"/>
      <c r="I138" s="452"/>
      <c r="J138" s="452"/>
      <c r="K138" s="452"/>
      <c r="L138" s="452"/>
      <c r="M138" s="452"/>
      <c r="N138" s="452"/>
    </row>
    <row r="139" spans="1:14" customFormat="1" x14ac:dyDescent="0.25">
      <c r="A139" s="452"/>
      <c r="B139" s="452"/>
      <c r="C139" s="452"/>
      <c r="D139" s="452"/>
      <c r="E139" s="452"/>
      <c r="F139" s="452"/>
      <c r="G139" s="452"/>
      <c r="H139" s="452"/>
      <c r="I139" s="452"/>
      <c r="J139" s="452"/>
      <c r="K139" s="452"/>
      <c r="L139" s="452"/>
      <c r="M139" s="452"/>
      <c r="N139" s="452"/>
    </row>
    <row r="140" spans="1:14" customFormat="1" x14ac:dyDescent="0.25">
      <c r="A140" s="452"/>
      <c r="B140" s="452"/>
      <c r="C140" s="452"/>
      <c r="D140" s="452"/>
      <c r="E140" s="452"/>
      <c r="F140" s="452"/>
      <c r="G140" s="452"/>
      <c r="H140" s="452"/>
      <c r="I140" s="452"/>
      <c r="J140" s="452"/>
      <c r="K140" s="452"/>
      <c r="L140" s="452"/>
      <c r="M140" s="452"/>
      <c r="N140" s="452"/>
    </row>
    <row r="141" spans="1:14" customFormat="1" x14ac:dyDescent="0.25">
      <c r="A141" s="452"/>
      <c r="B141" s="452"/>
      <c r="C141" s="452"/>
      <c r="D141" s="452"/>
      <c r="E141" s="452"/>
      <c r="F141" s="452"/>
      <c r="G141" s="452"/>
      <c r="H141" s="452"/>
      <c r="I141" s="452"/>
      <c r="J141" s="452"/>
      <c r="K141" s="452"/>
      <c r="L141" s="452"/>
      <c r="M141" s="452"/>
      <c r="N141" s="452"/>
    </row>
    <row r="142" spans="1:14" customFormat="1" x14ac:dyDescent="0.25">
      <c r="A142" s="452"/>
      <c r="B142" s="452"/>
      <c r="C142" s="452"/>
      <c r="D142" s="452"/>
      <c r="E142" s="452"/>
      <c r="F142" s="452"/>
      <c r="G142" s="452"/>
      <c r="H142" s="452"/>
      <c r="I142" s="452"/>
      <c r="J142" s="452"/>
      <c r="K142" s="452"/>
      <c r="L142" s="452"/>
      <c r="M142" s="452"/>
      <c r="N142" s="452"/>
    </row>
    <row r="143" spans="1:14" customFormat="1" x14ac:dyDescent="0.25">
      <c r="A143" s="452"/>
      <c r="B143" s="452"/>
      <c r="C143" s="452"/>
      <c r="D143" s="452"/>
      <c r="E143" s="452"/>
      <c r="F143" s="452"/>
      <c r="G143" s="452"/>
      <c r="H143" s="452"/>
      <c r="I143" s="452"/>
      <c r="J143" s="452"/>
      <c r="K143" s="452"/>
      <c r="L143" s="452"/>
      <c r="M143" s="452"/>
      <c r="N143" s="452"/>
    </row>
    <row r="144" spans="1:14" customFormat="1" x14ac:dyDescent="0.25">
      <c r="A144" s="452"/>
      <c r="B144" s="452"/>
      <c r="C144" s="452"/>
      <c r="D144" s="452"/>
      <c r="E144" s="452"/>
      <c r="F144" s="452"/>
      <c r="G144" s="452"/>
      <c r="H144" s="452"/>
      <c r="I144" s="452"/>
      <c r="J144" s="452"/>
      <c r="K144" s="452"/>
      <c r="L144" s="452"/>
      <c r="M144" s="452"/>
      <c r="N144" s="452"/>
    </row>
    <row r="145" spans="1:14" customFormat="1" x14ac:dyDescent="0.25">
      <c r="A145" s="452"/>
      <c r="B145" s="452"/>
      <c r="C145" s="452"/>
      <c r="D145" s="452"/>
      <c r="E145" s="452"/>
      <c r="F145" s="452"/>
      <c r="G145" s="452"/>
      <c r="H145" s="452"/>
      <c r="I145" s="452"/>
      <c r="J145" s="452"/>
      <c r="K145" s="452"/>
      <c r="L145" s="452"/>
      <c r="M145" s="452"/>
      <c r="N145" s="452"/>
    </row>
  </sheetData>
  <printOptions horizontalCentered="1"/>
  <pageMargins left="0.7" right="0.7" top="0.75" bottom="0.75" header="0.3" footer="0.3"/>
  <pageSetup scale="85" orientation="landscape" blackAndWhite="1" horizontalDpi="300" verticalDpi="300" r:id="rId1"/>
  <headerFooter>
    <oddFooter>&amp;L&amp;F
&amp;A&amp;RPage &amp;P of &amp;N</oddFoot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M35"/>
  <sheetViews>
    <sheetView zoomScale="90" zoomScaleNormal="90" workbookViewId="0">
      <selection activeCell="K25" sqref="K25"/>
    </sheetView>
  </sheetViews>
  <sheetFormatPr defaultColWidth="9.140625" defaultRowHeight="15" x14ac:dyDescent="0.25"/>
  <cols>
    <col min="1" max="1" width="2.85546875" style="82" customWidth="1"/>
    <col min="2" max="2" width="7.85546875" style="82" customWidth="1"/>
    <col min="3" max="3" width="27.42578125" style="82" customWidth="1"/>
    <col min="4" max="4" width="17.5703125" style="82" bestFit="1" customWidth="1"/>
    <col min="5" max="5" width="17" style="82" bestFit="1" customWidth="1"/>
    <col min="6" max="6" width="16.5703125" style="82" bestFit="1" customWidth="1"/>
    <col min="7" max="7" width="15.5703125" style="82" bestFit="1" customWidth="1"/>
    <col min="8" max="8" width="15.140625" style="82" bestFit="1" customWidth="1"/>
    <col min="9" max="9" width="14.42578125" style="82" bestFit="1" customWidth="1"/>
    <col min="10" max="10" width="14.7109375" style="82" bestFit="1" customWidth="1"/>
    <col min="11" max="11" width="14.42578125" style="82" bestFit="1" customWidth="1"/>
    <col min="12" max="16384" width="9.140625" style="82"/>
  </cols>
  <sheetData>
    <row r="1" spans="2:13" x14ac:dyDescent="0.25">
      <c r="B1" s="247" t="s">
        <v>0</v>
      </c>
      <c r="C1" s="247"/>
      <c r="D1" s="247"/>
      <c r="E1" s="247"/>
      <c r="F1" s="247"/>
      <c r="G1" s="247"/>
      <c r="H1" s="247"/>
      <c r="I1" s="247"/>
      <c r="J1" s="247"/>
      <c r="K1" s="247"/>
    </row>
    <row r="2" spans="2:13" x14ac:dyDescent="0.25">
      <c r="B2" s="433" t="str">
        <f>'CRM Rates'!$A$2</f>
        <v>2022 Gas Schedule 149 Cost Recovery Mechanism For Pipeline Replacement (CRM) Filing (FINAL - October Filing)</v>
      </c>
      <c r="C2" s="248"/>
      <c r="D2" s="248"/>
      <c r="E2" s="248"/>
      <c r="F2" s="248"/>
      <c r="G2" s="248"/>
      <c r="H2" s="248"/>
      <c r="I2" s="248"/>
      <c r="J2" s="248"/>
      <c r="K2" s="248"/>
      <c r="L2" s="242"/>
    </row>
    <row r="3" spans="2:13" x14ac:dyDescent="0.25">
      <c r="B3" s="247" t="s">
        <v>203</v>
      </c>
      <c r="C3" s="247"/>
      <c r="D3" s="247"/>
      <c r="E3" s="247"/>
      <c r="F3" s="247"/>
      <c r="G3" s="247"/>
      <c r="H3" s="247"/>
      <c r="I3" s="247"/>
      <c r="J3" s="247"/>
      <c r="K3" s="247"/>
    </row>
    <row r="5" spans="2:13" x14ac:dyDescent="0.25">
      <c r="D5" s="83"/>
      <c r="E5" s="83"/>
      <c r="F5" s="83" t="s">
        <v>115</v>
      </c>
      <c r="G5" s="83" t="s">
        <v>116</v>
      </c>
      <c r="H5" s="83"/>
      <c r="I5" s="83" t="s">
        <v>117</v>
      </c>
      <c r="J5" s="83" t="s">
        <v>118</v>
      </c>
      <c r="K5" s="83"/>
    </row>
    <row r="6" spans="2:13" x14ac:dyDescent="0.25">
      <c r="D6" s="83"/>
      <c r="E6" s="83" t="s">
        <v>134</v>
      </c>
      <c r="F6" s="83" t="s">
        <v>121</v>
      </c>
      <c r="G6" s="83" t="s">
        <v>122</v>
      </c>
      <c r="H6" s="83" t="s">
        <v>123</v>
      </c>
      <c r="I6" s="83" t="s">
        <v>124</v>
      </c>
      <c r="J6" s="83" t="s">
        <v>125</v>
      </c>
      <c r="K6" s="83"/>
    </row>
    <row r="7" spans="2:13" x14ac:dyDescent="0.25">
      <c r="B7" s="84" t="s">
        <v>140</v>
      </c>
      <c r="C7" s="84" t="s">
        <v>141</v>
      </c>
      <c r="D7" s="84" t="s">
        <v>90</v>
      </c>
      <c r="E7" s="84" t="s">
        <v>127</v>
      </c>
      <c r="F7" s="84" t="s">
        <v>128</v>
      </c>
      <c r="G7" s="84" t="s">
        <v>129</v>
      </c>
      <c r="H7" s="84" t="s">
        <v>130</v>
      </c>
      <c r="I7" s="84" t="s">
        <v>130</v>
      </c>
      <c r="J7" s="84" t="s">
        <v>130</v>
      </c>
      <c r="K7" s="84" t="s">
        <v>131</v>
      </c>
    </row>
    <row r="8" spans="2:13" x14ac:dyDescent="0.25">
      <c r="B8" s="95"/>
      <c r="C8" s="83"/>
      <c r="D8" s="83"/>
      <c r="E8" s="83"/>
      <c r="F8" s="83"/>
      <c r="G8" s="83"/>
      <c r="H8" s="83"/>
      <c r="I8" s="83"/>
      <c r="J8" s="83"/>
      <c r="K8" s="83"/>
    </row>
    <row r="9" spans="2:13" x14ac:dyDescent="0.25">
      <c r="B9" s="96">
        <v>376</v>
      </c>
      <c r="C9" s="82" t="s">
        <v>83</v>
      </c>
      <c r="D9" s="85">
        <f>SUM(E9:K9)</f>
        <v>1986075583.1600001</v>
      </c>
      <c r="E9" s="829">
        <v>1306583579.4651508</v>
      </c>
      <c r="F9" s="829">
        <v>475813834.95498216</v>
      </c>
      <c r="G9" s="829">
        <v>104680767.91777025</v>
      </c>
      <c r="H9" s="829">
        <v>50987439.999063767</v>
      </c>
      <c r="I9" s="829">
        <v>5490710.6869957671</v>
      </c>
      <c r="J9" s="829">
        <v>39886058.053444222</v>
      </c>
      <c r="K9" s="829">
        <v>2633192.0825931793</v>
      </c>
    </row>
    <row r="10" spans="2:13" x14ac:dyDescent="0.25">
      <c r="B10" s="96">
        <v>376</v>
      </c>
      <c r="C10" s="82" t="s">
        <v>145</v>
      </c>
      <c r="D10" s="85">
        <f>SUM(E10:K10)</f>
        <v>-724714305.39474654</v>
      </c>
      <c r="E10" s="829">
        <v>-476769272.66064942</v>
      </c>
      <c r="F10" s="829">
        <v>-173623348.38634926</v>
      </c>
      <c r="G10" s="829">
        <v>-38197765.811616585</v>
      </c>
      <c r="H10" s="829">
        <v>-18605196.839480493</v>
      </c>
      <c r="I10" s="829">
        <v>-2003547.4054408534</v>
      </c>
      <c r="J10" s="829">
        <v>-14554328.698379485</v>
      </c>
      <c r="K10" s="829">
        <v>-960845.59283045493</v>
      </c>
      <c r="M10" s="202" t="s">
        <v>255</v>
      </c>
    </row>
    <row r="11" spans="2:13" x14ac:dyDescent="0.25">
      <c r="B11" s="96">
        <v>376</v>
      </c>
      <c r="C11" s="82" t="s">
        <v>146</v>
      </c>
      <c r="D11" s="91">
        <f>SUM(E11:K11)</f>
        <v>1261361277.7652538</v>
      </c>
      <c r="E11" s="429">
        <f t="shared" ref="E11:K11" si="0">SUM(E9:E10)</f>
        <v>829814306.80450141</v>
      </c>
      <c r="F11" s="429">
        <f t="shared" si="0"/>
        <v>302190486.5686329</v>
      </c>
      <c r="G11" s="429">
        <f t="shared" si="0"/>
        <v>66483002.106153667</v>
      </c>
      <c r="H11" s="429">
        <f t="shared" si="0"/>
        <v>32382243.159583274</v>
      </c>
      <c r="I11" s="429">
        <f t="shared" si="0"/>
        <v>3487163.2815549136</v>
      </c>
      <c r="J11" s="429">
        <f t="shared" si="0"/>
        <v>25331729.355064735</v>
      </c>
      <c r="K11" s="429">
        <f t="shared" si="0"/>
        <v>1672346.4897627244</v>
      </c>
      <c r="M11" s="203">
        <f>SUM(D9:D10)-D11</f>
        <v>0</v>
      </c>
    </row>
    <row r="12" spans="2:13" x14ac:dyDescent="0.25">
      <c r="B12" s="96"/>
      <c r="C12" s="82" t="s">
        <v>144</v>
      </c>
      <c r="D12" s="94">
        <f>SUM(E12:K12)</f>
        <v>1</v>
      </c>
      <c r="E12" s="430">
        <f t="shared" ref="E12:K12" si="1">E11/$D11</f>
        <v>0.65787203193257882</v>
      </c>
      <c r="F12" s="430">
        <f t="shared" si="1"/>
        <v>0.23957488777840238</v>
      </c>
      <c r="G12" s="430">
        <f t="shared" si="1"/>
        <v>5.2707343469383494E-2</v>
      </c>
      <c r="H12" s="430">
        <f t="shared" si="1"/>
        <v>2.5672456995790058E-2</v>
      </c>
      <c r="I12" s="430">
        <f t="shared" si="1"/>
        <v>2.7646030863838628E-3</v>
      </c>
      <c r="J12" s="430">
        <f t="shared" si="1"/>
        <v>2.0082850014188487E-2</v>
      </c>
      <c r="K12" s="430">
        <f t="shared" si="1"/>
        <v>1.3258267232728205E-3</v>
      </c>
    </row>
    <row r="13" spans="2:13" x14ac:dyDescent="0.25">
      <c r="E13" s="431"/>
      <c r="F13" s="431"/>
      <c r="G13" s="431"/>
      <c r="H13" s="431"/>
      <c r="I13" s="431"/>
      <c r="J13" s="431"/>
      <c r="K13" s="431"/>
    </row>
    <row r="14" spans="2:13" x14ac:dyDescent="0.25">
      <c r="B14" s="96">
        <v>380</v>
      </c>
      <c r="C14" s="82" t="s">
        <v>84</v>
      </c>
      <c r="D14" s="85">
        <f>SUM(E14:K14)</f>
        <v>1176419999.9999998</v>
      </c>
      <c r="E14" s="829">
        <v>677007379.39249671</v>
      </c>
      <c r="F14" s="829">
        <v>478438171.8577565</v>
      </c>
      <c r="G14" s="829">
        <v>8499697.1560583673</v>
      </c>
      <c r="H14" s="829">
        <v>8532534.3420465346</v>
      </c>
      <c r="I14" s="829">
        <v>1344876.3507996157</v>
      </c>
      <c r="J14" s="829">
        <v>1098092.7451304488</v>
      </c>
      <c r="K14" s="829">
        <v>1499248.1557116287</v>
      </c>
    </row>
    <row r="15" spans="2:13" x14ac:dyDescent="0.25">
      <c r="B15" s="96">
        <v>380</v>
      </c>
      <c r="C15" s="82" t="s">
        <v>142</v>
      </c>
      <c r="D15" s="85">
        <f>SUM(E15:K15)</f>
        <v>-574607566.79999995</v>
      </c>
      <c r="E15" s="829">
        <v>-330675747.58875829</v>
      </c>
      <c r="F15" s="829">
        <v>-233687113.27198255</v>
      </c>
      <c r="G15" s="829">
        <v>-4151570.2736944109</v>
      </c>
      <c r="H15" s="829">
        <v>-4167609.1845776159</v>
      </c>
      <c r="I15" s="829">
        <v>-656887.95462490479</v>
      </c>
      <c r="J15" s="829">
        <v>-536349.60337306384</v>
      </c>
      <c r="K15" s="829">
        <v>-732288.92298910813</v>
      </c>
      <c r="M15" s="202" t="s">
        <v>255</v>
      </c>
    </row>
    <row r="16" spans="2:13" x14ac:dyDescent="0.25">
      <c r="B16" s="96">
        <v>380</v>
      </c>
      <c r="C16" s="82" t="s">
        <v>143</v>
      </c>
      <c r="D16" s="91">
        <f t="shared" ref="D16:D17" si="2">SUM(E16:K16)</f>
        <v>601812433.19999969</v>
      </c>
      <c r="E16" s="429">
        <f t="shared" ref="E16:K16" si="3">SUM(E14:E15)</f>
        <v>346331631.80373842</v>
      </c>
      <c r="F16" s="429">
        <f t="shared" si="3"/>
        <v>244751058.58577394</v>
      </c>
      <c r="G16" s="429">
        <f t="shared" si="3"/>
        <v>4348126.8823639564</v>
      </c>
      <c r="H16" s="429">
        <f t="shared" si="3"/>
        <v>4364925.1574689187</v>
      </c>
      <c r="I16" s="429">
        <f t="shared" si="3"/>
        <v>687988.39617471094</v>
      </c>
      <c r="J16" s="429">
        <f t="shared" si="3"/>
        <v>561743.14175738499</v>
      </c>
      <c r="K16" s="429">
        <f t="shared" si="3"/>
        <v>766959.2327225206</v>
      </c>
      <c r="M16" s="203">
        <f>SUM(D14:D15)-D16</f>
        <v>0</v>
      </c>
    </row>
    <row r="17" spans="2:13" x14ac:dyDescent="0.25">
      <c r="B17" s="96"/>
      <c r="C17" s="82" t="s">
        <v>144</v>
      </c>
      <c r="D17" s="94">
        <f t="shared" si="2"/>
        <v>1.0000000000000002</v>
      </c>
      <c r="E17" s="430">
        <f t="shared" ref="E17:K17" si="4">E16/$D16</f>
        <v>0.5754810181674036</v>
      </c>
      <c r="F17" s="430">
        <f t="shared" si="4"/>
        <v>0.40668993374624429</v>
      </c>
      <c r="G17" s="430">
        <f t="shared" si="4"/>
        <v>7.2250532599397923E-3</v>
      </c>
      <c r="H17" s="430">
        <f t="shared" si="4"/>
        <v>7.2529660682804928E-3</v>
      </c>
      <c r="I17" s="430">
        <f t="shared" si="4"/>
        <v>1.1431940555240614E-3</v>
      </c>
      <c r="J17" s="430">
        <f t="shared" si="4"/>
        <v>9.3341897037660816E-4</v>
      </c>
      <c r="K17" s="430">
        <f t="shared" si="4"/>
        <v>1.2744157322313709E-3</v>
      </c>
    </row>
    <row r="18" spans="2:13" x14ac:dyDescent="0.25">
      <c r="B18" s="96"/>
      <c r="E18" s="432"/>
      <c r="F18" s="432"/>
      <c r="G18" s="432"/>
      <c r="H18" s="432"/>
      <c r="I18" s="432"/>
      <c r="J18" s="432"/>
      <c r="K18" s="432"/>
      <c r="M18" s="202"/>
    </row>
    <row r="19" spans="2:13" x14ac:dyDescent="0.25">
      <c r="B19" s="96">
        <v>874</v>
      </c>
      <c r="C19" s="160" t="s">
        <v>204</v>
      </c>
      <c r="D19" s="85">
        <f>SUM(E19:K19)</f>
        <v>18158259.387260605</v>
      </c>
      <c r="E19" s="829">
        <v>11389283.621756714</v>
      </c>
      <c r="F19" s="829">
        <v>5479076.5725610275</v>
      </c>
      <c r="G19" s="829">
        <v>649853.94867423992</v>
      </c>
      <c r="H19" s="829">
        <v>341748.81968658749</v>
      </c>
      <c r="I19" s="829">
        <v>39248.232679730892</v>
      </c>
      <c r="J19" s="829">
        <v>235320.75267707065</v>
      </c>
      <c r="K19" s="829">
        <v>23727.439225231425</v>
      </c>
      <c r="M19" s="203"/>
    </row>
    <row r="20" spans="2:13" x14ac:dyDescent="0.25">
      <c r="C20" s="160" t="s">
        <v>144</v>
      </c>
      <c r="D20" s="94">
        <f>SUM(E20:K20)</f>
        <v>0.99999999999999967</v>
      </c>
      <c r="E20" s="430">
        <f>E19/$D19</f>
        <v>0.62722331358187111</v>
      </c>
      <c r="F20" s="430">
        <f t="shared" ref="F20:K20" si="5">F19/$D19</f>
        <v>0.30174018641924538</v>
      </c>
      <c r="G20" s="430">
        <f t="shared" si="5"/>
        <v>3.5788339334449741E-2</v>
      </c>
      <c r="H20" s="430">
        <f t="shared" si="5"/>
        <v>1.8820571531561567E-2</v>
      </c>
      <c r="I20" s="430">
        <f t="shared" si="5"/>
        <v>2.1614534654828483E-3</v>
      </c>
      <c r="J20" s="430">
        <f t="shared" si="5"/>
        <v>1.2959433371800272E-2</v>
      </c>
      <c r="K20" s="430">
        <f t="shared" si="5"/>
        <v>1.3067022955888614E-3</v>
      </c>
    </row>
    <row r="21" spans="2:13" x14ac:dyDescent="0.25">
      <c r="E21" s="431"/>
      <c r="F21" s="431"/>
      <c r="G21" s="431"/>
      <c r="H21" s="431"/>
      <c r="I21" s="431"/>
      <c r="J21" s="431"/>
      <c r="K21" s="431"/>
    </row>
    <row r="22" spans="2:13" x14ac:dyDescent="0.25">
      <c r="B22" s="249">
        <v>878</v>
      </c>
      <c r="C22" s="250" t="s">
        <v>205</v>
      </c>
      <c r="D22" s="251">
        <f>SUM(E22:K22)</f>
        <v>2973291.5607245164</v>
      </c>
      <c r="E22" s="829">
        <v>2354360.0167112835</v>
      </c>
      <c r="F22" s="829">
        <v>606772.57417975529</v>
      </c>
      <c r="G22" s="829">
        <v>12028.212115445152</v>
      </c>
      <c r="H22" s="829">
        <v>68.268365354355169</v>
      </c>
      <c r="I22" s="829">
        <v>39.733230892989994</v>
      </c>
      <c r="J22" s="829">
        <v>0</v>
      </c>
      <c r="K22" s="829">
        <v>22.756121784785059</v>
      </c>
    </row>
    <row r="23" spans="2:13" x14ac:dyDescent="0.25">
      <c r="B23" s="249">
        <v>878</v>
      </c>
      <c r="C23" s="250" t="s">
        <v>144</v>
      </c>
      <c r="D23" s="252">
        <f>SUM(E23:K23)</f>
        <v>0.99999999999999978</v>
      </c>
      <c r="E23" s="430">
        <f>E22/$D22</f>
        <v>0.79183624230164129</v>
      </c>
      <c r="F23" s="430">
        <f t="shared" ref="F23:K23" si="6">F22/$D22</f>
        <v>0.20407436061598347</v>
      </c>
      <c r="G23" s="430">
        <f t="shared" si="6"/>
        <v>4.0454196535351476E-3</v>
      </c>
      <c r="H23" s="430">
        <f t="shared" si="6"/>
        <v>2.2960535137603488E-5</v>
      </c>
      <c r="I23" s="430">
        <f t="shared" si="6"/>
        <v>1.3363381989793159E-5</v>
      </c>
      <c r="J23" s="430">
        <f t="shared" si="6"/>
        <v>0</v>
      </c>
      <c r="K23" s="430">
        <f t="shared" si="6"/>
        <v>7.6535117125344954E-6</v>
      </c>
    </row>
    <row r="24" spans="2:13" x14ac:dyDescent="0.25">
      <c r="E24" s="431"/>
      <c r="F24" s="431"/>
      <c r="G24" s="431"/>
      <c r="H24" s="431"/>
      <c r="I24" s="431"/>
      <c r="J24" s="431"/>
      <c r="K24" s="431"/>
    </row>
    <row r="25" spans="2:13" x14ac:dyDescent="0.25">
      <c r="B25" s="96">
        <v>887</v>
      </c>
      <c r="C25" s="82" t="s">
        <v>270</v>
      </c>
      <c r="D25" s="85">
        <f>SUM(E25:K25)</f>
        <v>8777737.9699345045</v>
      </c>
      <c r="E25" s="829">
        <v>5774628.3140525632</v>
      </c>
      <c r="F25" s="829">
        <v>2102925.5890952814</v>
      </c>
      <c r="G25" s="829">
        <v>462651.25006558705</v>
      </c>
      <c r="H25" s="829">
        <v>225346.10055345713</v>
      </c>
      <c r="I25" s="829">
        <v>24266.96148314976</v>
      </c>
      <c r="J25" s="829">
        <v>176281.99511404205</v>
      </c>
      <c r="K25" s="829">
        <v>11637.759570425686</v>
      </c>
    </row>
    <row r="26" spans="2:13" x14ac:dyDescent="0.25">
      <c r="B26" s="96">
        <v>887</v>
      </c>
      <c r="C26" s="160" t="s">
        <v>144</v>
      </c>
      <c r="D26" s="94">
        <f>SUM(E26:K26)</f>
        <v>1.0000000000000002</v>
      </c>
      <c r="E26" s="430">
        <f>E25/$D25</f>
        <v>0.65787203193257893</v>
      </c>
      <c r="F26" s="430">
        <f t="shared" ref="F26:K26" si="7">F25/$D25</f>
        <v>0.2395748877784025</v>
      </c>
      <c r="G26" s="430">
        <f t="shared" si="7"/>
        <v>5.2707343469383508E-2</v>
      </c>
      <c r="H26" s="430">
        <f t="shared" si="7"/>
        <v>2.5672456995790061E-2</v>
      </c>
      <c r="I26" s="430">
        <f t="shared" si="7"/>
        <v>2.7646030863838636E-3</v>
      </c>
      <c r="J26" s="430">
        <f t="shared" si="7"/>
        <v>2.0082850014188493E-2</v>
      </c>
      <c r="K26" s="430">
        <f t="shared" si="7"/>
        <v>1.3258267232728208E-3</v>
      </c>
    </row>
    <row r="27" spans="2:13" x14ac:dyDescent="0.25">
      <c r="E27" s="431"/>
      <c r="F27" s="431"/>
      <c r="G27" s="431"/>
      <c r="H27" s="431"/>
      <c r="I27" s="431"/>
      <c r="J27" s="431"/>
      <c r="K27" s="431"/>
    </row>
    <row r="28" spans="2:13" x14ac:dyDescent="0.25">
      <c r="B28" s="96">
        <v>892</v>
      </c>
      <c r="C28" s="82" t="s">
        <v>282</v>
      </c>
      <c r="D28" s="85">
        <v>4898591.6298621129</v>
      </c>
      <c r="E28" s="829">
        <v>2819046.4987393692</v>
      </c>
      <c r="F28" s="829">
        <v>1992207.9053985288</v>
      </c>
      <c r="G28" s="829">
        <v>35392.585424449033</v>
      </c>
      <c r="H28" s="829">
        <v>35529.318873752731</v>
      </c>
      <c r="I28" s="829">
        <v>5600.0408316982894</v>
      </c>
      <c r="J28" s="829">
        <v>4572.4383554413616</v>
      </c>
      <c r="K28" s="829">
        <v>6242.8422388731869</v>
      </c>
    </row>
    <row r="29" spans="2:13" x14ac:dyDescent="0.25">
      <c r="B29" s="96">
        <v>892</v>
      </c>
      <c r="C29" s="160" t="s">
        <v>144</v>
      </c>
      <c r="D29" s="94">
        <f>SUM(E29:K29)</f>
        <v>1</v>
      </c>
      <c r="E29" s="430">
        <f>E28/$D28</f>
        <v>0.57548101816740349</v>
      </c>
      <c r="F29" s="430">
        <f t="shared" ref="F29:K29" si="8">F28/$D28</f>
        <v>0.40668993374624413</v>
      </c>
      <c r="G29" s="430">
        <f t="shared" si="8"/>
        <v>7.2250532599397906E-3</v>
      </c>
      <c r="H29" s="430">
        <f t="shared" si="8"/>
        <v>7.2529660682804911E-3</v>
      </c>
      <c r="I29" s="430">
        <f t="shared" si="8"/>
        <v>1.1431940555240612E-3</v>
      </c>
      <c r="J29" s="430">
        <f t="shared" si="8"/>
        <v>9.3341897037660761E-4</v>
      </c>
      <c r="K29" s="430">
        <f t="shared" si="8"/>
        <v>1.2744157322313705E-3</v>
      </c>
    </row>
    <row r="30" spans="2:13" x14ac:dyDescent="0.25">
      <c r="C30" s="250"/>
      <c r="D30" s="94"/>
      <c r="E30" s="430"/>
      <c r="F30" s="430"/>
      <c r="G30" s="430"/>
      <c r="H30" s="430"/>
      <c r="I30" s="430"/>
      <c r="J30" s="430"/>
      <c r="K30" s="430"/>
    </row>
    <row r="31" spans="2:13" x14ac:dyDescent="0.25">
      <c r="B31" s="96">
        <v>893</v>
      </c>
      <c r="C31" s="82" t="s">
        <v>284</v>
      </c>
      <c r="D31" s="85">
        <v>1085653.5718860903</v>
      </c>
      <c r="E31" s="829">
        <v>859659.84480363666</v>
      </c>
      <c r="F31" s="829">
        <v>221554.05853311255</v>
      </c>
      <c r="G31" s="829">
        <v>4391.9242966386228</v>
      </c>
      <c r="H31" s="829">
        <v>24.927186984555306</v>
      </c>
      <c r="I31" s="829">
        <v>14.50800338969719</v>
      </c>
      <c r="J31" s="829">
        <v>0</v>
      </c>
      <c r="K31" s="829">
        <v>8.309062328185103</v>
      </c>
    </row>
    <row r="32" spans="2:13" x14ac:dyDescent="0.25">
      <c r="B32" s="96">
        <v>893</v>
      </c>
      <c r="C32" s="160" t="s">
        <v>144</v>
      </c>
      <c r="D32" s="94">
        <f>SUM(E32:K32)</f>
        <v>0.99999999999999989</v>
      </c>
      <c r="E32" s="94">
        <f>E31/$D31</f>
        <v>0.7918362423016414</v>
      </c>
      <c r="F32" s="94">
        <f t="shared" ref="F32:K32" si="9">F31/$D31</f>
        <v>0.2040743606159835</v>
      </c>
      <c r="G32" s="94">
        <f t="shared" si="9"/>
        <v>4.0454196535351476E-3</v>
      </c>
      <c r="H32" s="94">
        <f t="shared" si="9"/>
        <v>2.2960535137603484E-5</v>
      </c>
      <c r="I32" s="94">
        <f t="shared" si="9"/>
        <v>1.3363381989793157E-5</v>
      </c>
      <c r="J32" s="94">
        <f t="shared" si="9"/>
        <v>0</v>
      </c>
      <c r="K32" s="94">
        <f t="shared" si="9"/>
        <v>7.6535117125344954E-6</v>
      </c>
    </row>
    <row r="33" spans="2:11" x14ac:dyDescent="0.25">
      <c r="C33" s="250"/>
      <c r="D33" s="94"/>
      <c r="E33" s="94"/>
      <c r="F33" s="94"/>
      <c r="G33" s="94"/>
      <c r="H33" s="94"/>
      <c r="I33" s="94"/>
      <c r="J33" s="94"/>
      <c r="K33" s="94"/>
    </row>
    <row r="34" spans="2:11" x14ac:dyDescent="0.25">
      <c r="C34" s="250"/>
      <c r="D34" s="94"/>
      <c r="E34" s="94"/>
      <c r="F34" s="94"/>
      <c r="G34" s="94"/>
      <c r="H34" s="94"/>
      <c r="I34" s="94"/>
      <c r="J34" s="94"/>
      <c r="K34" s="94"/>
    </row>
    <row r="35" spans="2:11" x14ac:dyDescent="0.25">
      <c r="B35" s="431" t="s">
        <v>448</v>
      </c>
    </row>
  </sheetData>
  <printOptions horizontalCentered="1"/>
  <pageMargins left="0.7" right="0.7" top="0.75" bottom="0.75" header="0.3" footer="0.3"/>
  <pageSetup scale="77" orientation="landscape" blackAndWhite="1" horizontalDpi="300" verticalDpi="300" r:id="rId1"/>
  <headerFooter>
    <oddFooter>&amp;L&amp;F
&amp;A&amp;RPage &amp;P of &amp;N</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31"/>
  <sheetViews>
    <sheetView zoomScale="90" zoomScaleNormal="90" workbookViewId="0">
      <selection activeCell="D8" sqref="D8"/>
    </sheetView>
  </sheetViews>
  <sheetFormatPr defaultColWidth="9.140625" defaultRowHeight="15" x14ac:dyDescent="0.25"/>
  <cols>
    <col min="1" max="1" width="18.5703125" style="97" customWidth="1"/>
    <col min="2" max="6" width="11.42578125" style="97" bestFit="1" customWidth="1"/>
    <col min="7" max="13" width="10.42578125" style="97" bestFit="1" customWidth="1"/>
    <col min="14" max="14" width="13" style="97" bestFit="1" customWidth="1"/>
    <col min="15" max="15" width="9.140625" style="97"/>
    <col min="16" max="16" width="11.42578125" style="97" bestFit="1" customWidth="1"/>
    <col min="17" max="16384" width="9.140625" style="97"/>
  </cols>
  <sheetData>
    <row r="1" spans="1:16" x14ac:dyDescent="0.25">
      <c r="A1" s="98" t="s">
        <v>0</v>
      </c>
      <c r="B1" s="98"/>
      <c r="C1" s="98"/>
      <c r="D1" s="98"/>
      <c r="E1" s="98"/>
      <c r="F1" s="98"/>
      <c r="G1" s="98"/>
      <c r="H1" s="98"/>
      <c r="I1" s="98"/>
      <c r="J1" s="98"/>
      <c r="K1" s="98"/>
      <c r="L1" s="98"/>
      <c r="M1" s="98"/>
      <c r="N1" s="98"/>
    </row>
    <row r="2" spans="1:16" x14ac:dyDescent="0.25">
      <c r="A2" s="244" t="str">
        <f>'CRM Rates'!$A$2</f>
        <v>2022 Gas Schedule 149 Cost Recovery Mechanism For Pipeline Replacement (CRM) Filing (FINAL - October Filing)</v>
      </c>
      <c r="B2" s="433"/>
      <c r="C2" s="433"/>
      <c r="D2" s="433"/>
      <c r="E2" s="433"/>
      <c r="F2" s="433"/>
      <c r="G2" s="433"/>
      <c r="H2" s="433"/>
      <c r="I2" s="433"/>
      <c r="J2" s="433"/>
      <c r="K2" s="433"/>
      <c r="L2" s="433"/>
      <c r="M2" s="243"/>
      <c r="N2" s="243"/>
    </row>
    <row r="3" spans="1:16" x14ac:dyDescent="0.25">
      <c r="A3" s="434" t="s">
        <v>161</v>
      </c>
      <c r="B3" s="434"/>
      <c r="C3" s="434"/>
      <c r="D3" s="434"/>
      <c r="E3" s="434"/>
      <c r="F3" s="434"/>
      <c r="G3" s="434"/>
      <c r="H3" s="434"/>
      <c r="I3" s="434"/>
      <c r="J3" s="434"/>
      <c r="K3" s="434"/>
      <c r="L3" s="434"/>
      <c r="M3" s="98"/>
      <c r="N3" s="98"/>
    </row>
    <row r="4" spans="1:16" s="273" customFormat="1" x14ac:dyDescent="0.25">
      <c r="A4" s="434" t="str">
        <f>TEXT(B7,"MMMM YYYY")&amp;" - "&amp;TEXT(M7,"MMMM YYYY")</f>
        <v>November 2022 - October 2023</v>
      </c>
      <c r="B4" s="434"/>
      <c r="C4" s="434"/>
      <c r="D4" s="434"/>
      <c r="E4" s="434"/>
      <c r="F4" s="434"/>
      <c r="G4" s="434"/>
      <c r="H4" s="434"/>
      <c r="I4" s="434"/>
      <c r="J4" s="434"/>
      <c r="K4" s="434"/>
      <c r="L4" s="434"/>
      <c r="M4" s="272"/>
      <c r="N4" s="272"/>
    </row>
    <row r="5" spans="1:16" x14ac:dyDescent="0.25">
      <c r="A5" s="98"/>
      <c r="B5" s="98"/>
      <c r="C5" s="98"/>
      <c r="D5" s="98"/>
      <c r="E5" s="98"/>
      <c r="F5" s="98"/>
      <c r="G5" s="98"/>
      <c r="H5" s="98"/>
      <c r="I5" s="98"/>
      <c r="J5" s="98"/>
      <c r="K5" s="98"/>
      <c r="L5" s="98"/>
    </row>
    <row r="6" spans="1:16" x14ac:dyDescent="0.25">
      <c r="A6" s="98"/>
      <c r="B6" s="98"/>
      <c r="C6" s="98"/>
      <c r="D6" s="98"/>
      <c r="E6" s="98"/>
      <c r="F6" s="98"/>
      <c r="G6" s="98"/>
      <c r="H6" s="98"/>
      <c r="I6" s="98"/>
      <c r="J6" s="98"/>
      <c r="K6" s="98"/>
      <c r="L6" s="98"/>
    </row>
    <row r="7" spans="1:16" x14ac:dyDescent="0.25">
      <c r="A7" s="97" t="s">
        <v>162</v>
      </c>
      <c r="B7" s="270">
        <v>44866</v>
      </c>
      <c r="C7" s="271">
        <f>EDATE(B7,1)</f>
        <v>44896</v>
      </c>
      <c r="D7" s="271">
        <f t="shared" ref="D7:M7" si="0">EDATE(C7,1)</f>
        <v>44927</v>
      </c>
      <c r="E7" s="271">
        <f t="shared" si="0"/>
        <v>44958</v>
      </c>
      <c r="F7" s="271">
        <f t="shared" si="0"/>
        <v>44986</v>
      </c>
      <c r="G7" s="271">
        <f t="shared" si="0"/>
        <v>45017</v>
      </c>
      <c r="H7" s="271">
        <f t="shared" si="0"/>
        <v>45047</v>
      </c>
      <c r="I7" s="271">
        <f t="shared" si="0"/>
        <v>45078</v>
      </c>
      <c r="J7" s="271">
        <f t="shared" si="0"/>
        <v>45108</v>
      </c>
      <c r="K7" s="271">
        <f t="shared" si="0"/>
        <v>45139</v>
      </c>
      <c r="L7" s="271">
        <f t="shared" si="0"/>
        <v>45170</v>
      </c>
      <c r="M7" s="271">
        <f t="shared" si="0"/>
        <v>45200</v>
      </c>
      <c r="N7" s="99" t="s">
        <v>90</v>
      </c>
    </row>
    <row r="8" spans="1:16" x14ac:dyDescent="0.25">
      <c r="A8" s="100">
        <v>16</v>
      </c>
      <c r="B8" s="828">
        <v>589</v>
      </c>
      <c r="C8" s="828">
        <v>589</v>
      </c>
      <c r="D8" s="828">
        <v>589</v>
      </c>
      <c r="E8" s="828">
        <v>589</v>
      </c>
      <c r="F8" s="828">
        <v>589</v>
      </c>
      <c r="G8" s="828">
        <v>589</v>
      </c>
      <c r="H8" s="828">
        <v>589</v>
      </c>
      <c r="I8" s="828">
        <v>589</v>
      </c>
      <c r="J8" s="828">
        <v>589</v>
      </c>
      <c r="K8" s="828">
        <v>589</v>
      </c>
      <c r="L8" s="828">
        <v>589</v>
      </c>
      <c r="M8" s="828">
        <v>589</v>
      </c>
      <c r="N8" s="101">
        <f t="shared" ref="N8:N21" si="1">SUM(B8:M8)</f>
        <v>7068</v>
      </c>
      <c r="P8" s="101"/>
    </row>
    <row r="9" spans="1:16" x14ac:dyDescent="0.25">
      <c r="A9" s="100">
        <v>23</v>
      </c>
      <c r="B9" s="828">
        <v>71510105</v>
      </c>
      <c r="C9" s="828">
        <v>93363533</v>
      </c>
      <c r="D9" s="828">
        <v>91157352</v>
      </c>
      <c r="E9" s="828">
        <v>79642432</v>
      </c>
      <c r="F9" s="828">
        <v>73078363</v>
      </c>
      <c r="G9" s="828">
        <v>50199903</v>
      </c>
      <c r="H9" s="828">
        <v>28209513</v>
      </c>
      <c r="I9" s="828">
        <v>18430547</v>
      </c>
      <c r="J9" s="828">
        <v>13296329</v>
      </c>
      <c r="K9" s="828">
        <v>12799549</v>
      </c>
      <c r="L9" s="828">
        <v>18485479</v>
      </c>
      <c r="M9" s="828">
        <v>42611904</v>
      </c>
      <c r="N9" s="101">
        <f t="shared" si="1"/>
        <v>592785009</v>
      </c>
    </row>
    <row r="10" spans="1:16" x14ac:dyDescent="0.25">
      <c r="A10" s="100">
        <v>53</v>
      </c>
      <c r="B10" s="828">
        <v>0</v>
      </c>
      <c r="C10" s="828">
        <v>0</v>
      </c>
      <c r="D10" s="828">
        <v>0</v>
      </c>
      <c r="E10" s="828">
        <v>0</v>
      </c>
      <c r="F10" s="828">
        <v>0</v>
      </c>
      <c r="G10" s="828">
        <v>0</v>
      </c>
      <c r="H10" s="828">
        <v>0</v>
      </c>
      <c r="I10" s="828">
        <v>0</v>
      </c>
      <c r="J10" s="828">
        <v>0</v>
      </c>
      <c r="K10" s="828">
        <v>0</v>
      </c>
      <c r="L10" s="828">
        <v>0</v>
      </c>
      <c r="M10" s="828">
        <v>0</v>
      </c>
      <c r="N10" s="101">
        <f t="shared" si="1"/>
        <v>0</v>
      </c>
    </row>
    <row r="11" spans="1:16" x14ac:dyDescent="0.25">
      <c r="A11" s="100">
        <v>31</v>
      </c>
      <c r="B11" s="828">
        <v>27796819</v>
      </c>
      <c r="C11" s="828">
        <v>34723815</v>
      </c>
      <c r="D11" s="828">
        <v>31107887</v>
      </c>
      <c r="E11" s="828">
        <v>27944916</v>
      </c>
      <c r="F11" s="828">
        <v>25031743</v>
      </c>
      <c r="G11" s="828">
        <v>18276075</v>
      </c>
      <c r="H11" s="828">
        <v>13348322</v>
      </c>
      <c r="I11" s="828">
        <v>10772903</v>
      </c>
      <c r="J11" s="828">
        <v>9272634</v>
      </c>
      <c r="K11" s="828">
        <v>9999282</v>
      </c>
      <c r="L11" s="828">
        <v>11696231</v>
      </c>
      <c r="M11" s="828">
        <v>19346533</v>
      </c>
      <c r="N11" s="101">
        <f t="shared" si="1"/>
        <v>239317160</v>
      </c>
    </row>
    <row r="12" spans="1:16" x14ac:dyDescent="0.25">
      <c r="A12" s="100">
        <v>41</v>
      </c>
      <c r="B12" s="828">
        <v>7592067</v>
      </c>
      <c r="C12" s="828">
        <v>8313250</v>
      </c>
      <c r="D12" s="828">
        <v>7405161</v>
      </c>
      <c r="E12" s="828">
        <v>7068900</v>
      </c>
      <c r="F12" s="828">
        <v>6549005</v>
      </c>
      <c r="G12" s="828">
        <v>5111853</v>
      </c>
      <c r="H12" s="828">
        <v>4105933</v>
      </c>
      <c r="I12" s="828">
        <v>3502707</v>
      </c>
      <c r="J12" s="828">
        <v>2902125</v>
      </c>
      <c r="K12" s="828">
        <v>3161567</v>
      </c>
      <c r="L12" s="828">
        <v>3759483</v>
      </c>
      <c r="M12" s="828">
        <v>5805117</v>
      </c>
      <c r="N12" s="101">
        <f t="shared" si="1"/>
        <v>65277168</v>
      </c>
    </row>
    <row r="13" spans="1:16" x14ac:dyDescent="0.25">
      <c r="A13" s="100">
        <v>85</v>
      </c>
      <c r="B13" s="828">
        <v>1252245</v>
      </c>
      <c r="C13" s="828">
        <v>1529720</v>
      </c>
      <c r="D13" s="828">
        <v>1306618</v>
      </c>
      <c r="E13" s="828">
        <v>1284218</v>
      </c>
      <c r="F13" s="828">
        <v>1228239</v>
      </c>
      <c r="G13" s="828">
        <v>1033613</v>
      </c>
      <c r="H13" s="828">
        <v>970474</v>
      </c>
      <c r="I13" s="828">
        <v>808858</v>
      </c>
      <c r="J13" s="828">
        <v>770936</v>
      </c>
      <c r="K13" s="828">
        <v>832251</v>
      </c>
      <c r="L13" s="828">
        <v>779550</v>
      </c>
      <c r="M13" s="828">
        <v>1067853</v>
      </c>
      <c r="N13" s="101">
        <f t="shared" si="1"/>
        <v>12864575</v>
      </c>
    </row>
    <row r="14" spans="1:16" x14ac:dyDescent="0.25">
      <c r="A14" s="100">
        <v>86</v>
      </c>
      <c r="B14" s="828">
        <v>568845</v>
      </c>
      <c r="C14" s="828">
        <v>840776</v>
      </c>
      <c r="D14" s="828">
        <v>718407</v>
      </c>
      <c r="E14" s="828">
        <v>692620</v>
      </c>
      <c r="F14" s="828">
        <v>651358</v>
      </c>
      <c r="G14" s="828">
        <v>463304</v>
      </c>
      <c r="H14" s="828">
        <v>397877</v>
      </c>
      <c r="I14" s="828">
        <v>257135</v>
      </c>
      <c r="J14" s="828">
        <v>184922</v>
      </c>
      <c r="K14" s="828">
        <v>152007</v>
      </c>
      <c r="L14" s="828">
        <v>166978</v>
      </c>
      <c r="M14" s="828">
        <v>363562</v>
      </c>
      <c r="N14" s="101">
        <f t="shared" si="1"/>
        <v>5457791</v>
      </c>
    </row>
    <row r="15" spans="1:16" x14ac:dyDescent="0.25">
      <c r="A15" s="100">
        <v>87</v>
      </c>
      <c r="B15" s="828">
        <v>1656822</v>
      </c>
      <c r="C15" s="828">
        <v>2033762</v>
      </c>
      <c r="D15" s="828">
        <v>1521398</v>
      </c>
      <c r="E15" s="828">
        <v>1477173</v>
      </c>
      <c r="F15" s="828">
        <v>1401402</v>
      </c>
      <c r="G15" s="828">
        <v>1071596</v>
      </c>
      <c r="H15" s="828">
        <v>1088262</v>
      </c>
      <c r="I15" s="828">
        <v>910333</v>
      </c>
      <c r="J15" s="828">
        <v>929795</v>
      </c>
      <c r="K15" s="828">
        <v>1005946</v>
      </c>
      <c r="L15" s="828">
        <v>1004039</v>
      </c>
      <c r="M15" s="828">
        <v>1534262</v>
      </c>
      <c r="N15" s="101">
        <f t="shared" si="1"/>
        <v>15634790</v>
      </c>
    </row>
    <row r="16" spans="1:16" x14ac:dyDescent="0.25">
      <c r="A16" s="100" t="s">
        <v>163</v>
      </c>
      <c r="B16" s="828">
        <v>3971</v>
      </c>
      <c r="C16" s="828">
        <v>4350</v>
      </c>
      <c r="D16" s="828">
        <v>3638</v>
      </c>
      <c r="E16" s="828">
        <v>4142</v>
      </c>
      <c r="F16" s="828">
        <v>3396</v>
      </c>
      <c r="G16" s="828">
        <v>3003</v>
      </c>
      <c r="H16" s="828">
        <v>2289</v>
      </c>
      <c r="I16" s="828">
        <v>1975</v>
      </c>
      <c r="J16" s="828">
        <v>1678</v>
      </c>
      <c r="K16" s="828">
        <v>1835</v>
      </c>
      <c r="L16" s="828">
        <v>2343</v>
      </c>
      <c r="M16" s="828">
        <v>2751</v>
      </c>
      <c r="N16" s="101">
        <f t="shared" si="1"/>
        <v>35371</v>
      </c>
    </row>
    <row r="17" spans="1:14" x14ac:dyDescent="0.25">
      <c r="A17" s="100" t="s">
        <v>164</v>
      </c>
      <c r="B17" s="828">
        <v>1967978</v>
      </c>
      <c r="C17" s="828">
        <v>1938149</v>
      </c>
      <c r="D17" s="828">
        <v>1898192</v>
      </c>
      <c r="E17" s="828">
        <v>2250888</v>
      </c>
      <c r="F17" s="828">
        <v>2003089</v>
      </c>
      <c r="G17" s="828">
        <v>2170389</v>
      </c>
      <c r="H17" s="828">
        <v>2048013</v>
      </c>
      <c r="I17" s="828">
        <v>1974473</v>
      </c>
      <c r="J17" s="828">
        <v>1749202</v>
      </c>
      <c r="K17" s="828">
        <v>1775579</v>
      </c>
      <c r="L17" s="828">
        <v>2017119</v>
      </c>
      <c r="M17" s="828">
        <v>1757599</v>
      </c>
      <c r="N17" s="101">
        <f t="shared" si="1"/>
        <v>23550670</v>
      </c>
    </row>
    <row r="18" spans="1:14" x14ac:dyDescent="0.25">
      <c r="A18" s="100" t="s">
        <v>165</v>
      </c>
      <c r="B18" s="828">
        <v>5849336</v>
      </c>
      <c r="C18" s="828">
        <v>5735536</v>
      </c>
      <c r="D18" s="828">
        <v>5284730</v>
      </c>
      <c r="E18" s="828">
        <v>6633683</v>
      </c>
      <c r="F18" s="828">
        <v>5858974</v>
      </c>
      <c r="G18" s="828">
        <v>6601220</v>
      </c>
      <c r="H18" s="828">
        <v>6609285</v>
      </c>
      <c r="I18" s="828">
        <v>6420495</v>
      </c>
      <c r="J18" s="828">
        <v>5925902</v>
      </c>
      <c r="K18" s="828">
        <v>5952306</v>
      </c>
      <c r="L18" s="828">
        <v>6882341</v>
      </c>
      <c r="M18" s="828">
        <v>5593547</v>
      </c>
      <c r="N18" s="101">
        <f t="shared" si="1"/>
        <v>73347355</v>
      </c>
    </row>
    <row r="19" spans="1:14" x14ac:dyDescent="0.25">
      <c r="A19" s="100" t="s">
        <v>166</v>
      </c>
      <c r="B19" s="828">
        <v>94814</v>
      </c>
      <c r="C19" s="828">
        <v>92907</v>
      </c>
      <c r="D19" s="828">
        <v>88619</v>
      </c>
      <c r="E19" s="828">
        <v>122475</v>
      </c>
      <c r="F19" s="828">
        <v>101578</v>
      </c>
      <c r="G19" s="828">
        <v>112412</v>
      </c>
      <c r="H19" s="828">
        <v>114421</v>
      </c>
      <c r="I19" s="828">
        <v>116067</v>
      </c>
      <c r="J19" s="828">
        <v>106552</v>
      </c>
      <c r="K19" s="828">
        <v>100786</v>
      </c>
      <c r="L19" s="828">
        <v>131542</v>
      </c>
      <c r="M19" s="828">
        <v>98743</v>
      </c>
      <c r="N19" s="101">
        <f t="shared" si="1"/>
        <v>1280916</v>
      </c>
    </row>
    <row r="20" spans="1:14" x14ac:dyDescent="0.25">
      <c r="A20" s="100" t="s">
        <v>167</v>
      </c>
      <c r="B20" s="828">
        <v>7393649</v>
      </c>
      <c r="C20" s="828">
        <v>8345897</v>
      </c>
      <c r="D20" s="828">
        <v>7156555</v>
      </c>
      <c r="E20" s="828">
        <v>9579531</v>
      </c>
      <c r="F20" s="828">
        <v>8230984</v>
      </c>
      <c r="G20" s="828">
        <v>8666713</v>
      </c>
      <c r="H20" s="828">
        <v>9477545</v>
      </c>
      <c r="I20" s="828">
        <v>9039484</v>
      </c>
      <c r="J20" s="828">
        <v>9489194</v>
      </c>
      <c r="K20" s="828">
        <v>8922464</v>
      </c>
      <c r="L20" s="828">
        <v>10013921</v>
      </c>
      <c r="M20" s="828">
        <v>7479343</v>
      </c>
      <c r="N20" s="101">
        <f t="shared" si="1"/>
        <v>103795280</v>
      </c>
    </row>
    <row r="21" spans="1:14" x14ac:dyDescent="0.25">
      <c r="A21" s="100">
        <v>99</v>
      </c>
      <c r="B21" s="828">
        <v>3339028</v>
      </c>
      <c r="C21" s="828">
        <v>3867436</v>
      </c>
      <c r="D21" s="828">
        <v>3542589</v>
      </c>
      <c r="E21" s="828">
        <v>4673686</v>
      </c>
      <c r="F21" s="828">
        <v>3395825</v>
      </c>
      <c r="G21" s="828">
        <v>3248720</v>
      </c>
      <c r="H21" s="828">
        <v>2851176</v>
      </c>
      <c r="I21" s="828">
        <v>2492595</v>
      </c>
      <c r="J21" s="828">
        <v>2211174</v>
      </c>
      <c r="K21" s="828">
        <v>2072278</v>
      </c>
      <c r="L21" s="828">
        <v>2587516</v>
      </c>
      <c r="M21" s="828">
        <v>2629021</v>
      </c>
      <c r="N21" s="101">
        <f t="shared" si="1"/>
        <v>36911044</v>
      </c>
    </row>
    <row r="22" spans="1:14" x14ac:dyDescent="0.25">
      <c r="A22" s="100" t="s">
        <v>90</v>
      </c>
      <c r="B22" s="102">
        <f>SUM(B8:B21)</f>
        <v>129026268</v>
      </c>
      <c r="C22" s="102">
        <f t="shared" ref="C22:M22" si="2">SUM(C8:C21)</f>
        <v>160789720</v>
      </c>
      <c r="D22" s="102">
        <f t="shared" si="2"/>
        <v>151191735</v>
      </c>
      <c r="E22" s="102">
        <f t="shared" si="2"/>
        <v>141375253</v>
      </c>
      <c r="F22" s="102">
        <f t="shared" si="2"/>
        <v>127534545</v>
      </c>
      <c r="G22" s="102">
        <f t="shared" si="2"/>
        <v>96959390</v>
      </c>
      <c r="H22" s="102">
        <f t="shared" si="2"/>
        <v>69223699</v>
      </c>
      <c r="I22" s="102">
        <f t="shared" si="2"/>
        <v>54728161</v>
      </c>
      <c r="J22" s="102">
        <f t="shared" si="2"/>
        <v>46841032</v>
      </c>
      <c r="K22" s="102">
        <f t="shared" si="2"/>
        <v>46776439</v>
      </c>
      <c r="L22" s="102">
        <f t="shared" si="2"/>
        <v>57527131</v>
      </c>
      <c r="M22" s="102">
        <f t="shared" si="2"/>
        <v>88290824</v>
      </c>
      <c r="N22" s="102">
        <f>SUM(N8:N21)</f>
        <v>1170264197</v>
      </c>
    </row>
    <row r="23" spans="1:14" x14ac:dyDescent="0.25">
      <c r="A23" s="100"/>
      <c r="B23" s="255"/>
      <c r="C23" s="255"/>
      <c r="D23" s="255"/>
      <c r="E23" s="255"/>
      <c r="F23" s="255"/>
      <c r="G23" s="255"/>
      <c r="H23" s="255"/>
      <c r="I23" s="255"/>
      <c r="J23" s="255"/>
      <c r="K23" s="255"/>
      <c r="L23" s="255"/>
      <c r="M23" s="255"/>
      <c r="N23" s="101"/>
    </row>
    <row r="24" spans="1:14" x14ac:dyDescent="0.25">
      <c r="A24" s="100" t="s">
        <v>168</v>
      </c>
      <c r="B24" s="101">
        <f>SUM(B8:B12)</f>
        <v>106899580</v>
      </c>
      <c r="C24" s="101">
        <f t="shared" ref="C24:M24" si="3">SUM(C8:C12)</f>
        <v>136401187</v>
      </c>
      <c r="D24" s="101">
        <f t="shared" si="3"/>
        <v>129670989</v>
      </c>
      <c r="E24" s="101">
        <f t="shared" si="3"/>
        <v>114656837</v>
      </c>
      <c r="F24" s="101">
        <f t="shared" si="3"/>
        <v>104659700</v>
      </c>
      <c r="G24" s="101">
        <f t="shared" si="3"/>
        <v>73588420</v>
      </c>
      <c r="H24" s="101">
        <f t="shared" si="3"/>
        <v>45664357</v>
      </c>
      <c r="I24" s="101">
        <f t="shared" si="3"/>
        <v>32706746</v>
      </c>
      <c r="J24" s="101">
        <f t="shared" si="3"/>
        <v>25471677</v>
      </c>
      <c r="K24" s="101">
        <f t="shared" si="3"/>
        <v>25960987</v>
      </c>
      <c r="L24" s="101">
        <f t="shared" si="3"/>
        <v>33941782</v>
      </c>
      <c r="M24" s="101">
        <f t="shared" si="3"/>
        <v>67764143</v>
      </c>
      <c r="N24" s="101">
        <f>SUM(B24:M24)</f>
        <v>897386405</v>
      </c>
    </row>
    <row r="25" spans="1:14" x14ac:dyDescent="0.25">
      <c r="A25" s="100" t="s">
        <v>169</v>
      </c>
      <c r="B25" s="101">
        <f>SUM(B13:B15)</f>
        <v>3477912</v>
      </c>
      <c r="C25" s="101">
        <f t="shared" ref="C25:M25" si="4">SUM(C13:C15)</f>
        <v>4404258</v>
      </c>
      <c r="D25" s="101">
        <f t="shared" si="4"/>
        <v>3546423</v>
      </c>
      <c r="E25" s="101">
        <f t="shared" si="4"/>
        <v>3454011</v>
      </c>
      <c r="F25" s="101">
        <f t="shared" si="4"/>
        <v>3280999</v>
      </c>
      <c r="G25" s="101">
        <f t="shared" si="4"/>
        <v>2568513</v>
      </c>
      <c r="H25" s="101">
        <f t="shared" si="4"/>
        <v>2456613</v>
      </c>
      <c r="I25" s="101">
        <f t="shared" si="4"/>
        <v>1976326</v>
      </c>
      <c r="J25" s="101">
        <f t="shared" si="4"/>
        <v>1885653</v>
      </c>
      <c r="K25" s="101">
        <f t="shared" si="4"/>
        <v>1990204</v>
      </c>
      <c r="L25" s="101">
        <f t="shared" si="4"/>
        <v>1950567</v>
      </c>
      <c r="M25" s="101">
        <f t="shared" si="4"/>
        <v>2965677</v>
      </c>
      <c r="N25" s="101">
        <f>SUM(B25:M25)</f>
        <v>33957156</v>
      </c>
    </row>
    <row r="26" spans="1:14" x14ac:dyDescent="0.25">
      <c r="A26" s="100" t="s">
        <v>170</v>
      </c>
      <c r="B26" s="103">
        <f>SUM(B16:B21)</f>
        <v>18648776</v>
      </c>
      <c r="C26" s="103">
        <f t="shared" ref="C26:M26" si="5">SUM(C16:C21)</f>
        <v>19984275</v>
      </c>
      <c r="D26" s="103">
        <f t="shared" si="5"/>
        <v>17974323</v>
      </c>
      <c r="E26" s="103">
        <f t="shared" si="5"/>
        <v>23264405</v>
      </c>
      <c r="F26" s="103">
        <f t="shared" si="5"/>
        <v>19593846</v>
      </c>
      <c r="G26" s="103">
        <f t="shared" si="5"/>
        <v>20802457</v>
      </c>
      <c r="H26" s="103">
        <f t="shared" si="5"/>
        <v>21102729</v>
      </c>
      <c r="I26" s="103">
        <f t="shared" si="5"/>
        <v>20045089</v>
      </c>
      <c r="J26" s="103">
        <f t="shared" si="5"/>
        <v>19483702</v>
      </c>
      <c r="K26" s="103">
        <f t="shared" si="5"/>
        <v>18825248</v>
      </c>
      <c r="L26" s="103">
        <f t="shared" si="5"/>
        <v>21634782</v>
      </c>
      <c r="M26" s="103">
        <f t="shared" si="5"/>
        <v>17561004</v>
      </c>
      <c r="N26" s="103">
        <f>SUM(B26:M26)</f>
        <v>238920636</v>
      </c>
    </row>
    <row r="27" spans="1:14" x14ac:dyDescent="0.25">
      <c r="A27" s="100" t="s">
        <v>171</v>
      </c>
      <c r="B27" s="101">
        <f t="shared" ref="B27:M27" si="6">SUM(B24:B26)</f>
        <v>129026268</v>
      </c>
      <c r="C27" s="101">
        <f t="shared" si="6"/>
        <v>160789720</v>
      </c>
      <c r="D27" s="101">
        <f t="shared" si="6"/>
        <v>151191735</v>
      </c>
      <c r="E27" s="101">
        <f t="shared" si="6"/>
        <v>141375253</v>
      </c>
      <c r="F27" s="101">
        <f t="shared" si="6"/>
        <v>127534545</v>
      </c>
      <c r="G27" s="101">
        <f t="shared" si="6"/>
        <v>96959390</v>
      </c>
      <c r="H27" s="101">
        <f t="shared" si="6"/>
        <v>69223699</v>
      </c>
      <c r="I27" s="101">
        <f t="shared" si="6"/>
        <v>54728161</v>
      </c>
      <c r="J27" s="101">
        <f t="shared" si="6"/>
        <v>46841032</v>
      </c>
      <c r="K27" s="101">
        <f t="shared" si="6"/>
        <v>46776439</v>
      </c>
      <c r="L27" s="101">
        <f t="shared" si="6"/>
        <v>57527131</v>
      </c>
      <c r="M27" s="101">
        <f t="shared" si="6"/>
        <v>88290824</v>
      </c>
      <c r="N27" s="101">
        <f>SUM(B27:M27)</f>
        <v>1170264197</v>
      </c>
    </row>
    <row r="28" spans="1:14" x14ac:dyDescent="0.25">
      <c r="A28" s="104" t="s">
        <v>104</v>
      </c>
      <c r="B28" s="105">
        <f>B22-B27</f>
        <v>0</v>
      </c>
      <c r="C28" s="105">
        <f t="shared" ref="C28:N28" si="7">C22-C27</f>
        <v>0</v>
      </c>
      <c r="D28" s="105">
        <f t="shared" si="7"/>
        <v>0</v>
      </c>
      <c r="E28" s="105">
        <f t="shared" si="7"/>
        <v>0</v>
      </c>
      <c r="F28" s="105">
        <f t="shared" si="7"/>
        <v>0</v>
      </c>
      <c r="G28" s="105">
        <f t="shared" si="7"/>
        <v>0</v>
      </c>
      <c r="H28" s="105">
        <f t="shared" si="7"/>
        <v>0</v>
      </c>
      <c r="I28" s="105">
        <f t="shared" si="7"/>
        <v>0</v>
      </c>
      <c r="J28" s="105">
        <f t="shared" si="7"/>
        <v>0</v>
      </c>
      <c r="K28" s="105">
        <f t="shared" si="7"/>
        <v>0</v>
      </c>
      <c r="L28" s="105">
        <f t="shared" si="7"/>
        <v>0</v>
      </c>
      <c r="M28" s="105">
        <f t="shared" si="7"/>
        <v>0</v>
      </c>
      <c r="N28" s="105">
        <f t="shared" si="7"/>
        <v>0</v>
      </c>
    </row>
    <row r="30" spans="1:14" s="256" customFormat="1" x14ac:dyDescent="0.25">
      <c r="A30" s="431" t="s">
        <v>447</v>
      </c>
    </row>
    <row r="31" spans="1:14" x14ac:dyDescent="0.25">
      <c r="A31" s="257"/>
    </row>
  </sheetData>
  <printOptions horizontalCentered="1"/>
  <pageMargins left="0.7" right="0.7" top="0.75" bottom="0.75" header="0.3" footer="0.3"/>
  <pageSetup scale="77" orientation="landscape" blackAndWhite="1" r:id="rId1"/>
  <headerFooter>
    <oddFooter>&amp;L&amp;F 
&amp;A&amp;RPage &amp;P of &amp;N</oddFooter>
  </headerFooter>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opLeftCell="A5" workbookViewId="0">
      <selection activeCell="F31" sqref="F31:F33"/>
    </sheetView>
  </sheetViews>
  <sheetFormatPr defaultRowHeight="12.75" x14ac:dyDescent="0.2"/>
  <sheetData/>
  <pageMargins left="0.7" right="0.7" top="0.75" bottom="0.75" header="0.3" footer="0.3"/>
  <pageSetup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27" activePane="bottomRight" state="frozen"/>
      <selection activeCell="S42" sqref="S42"/>
      <selection pane="topRight" activeCell="S42" sqref="S42"/>
      <selection pane="bottomLeft" activeCell="S42" sqref="S42"/>
      <selection pane="bottomRight" activeCell="S42" sqref="S42"/>
    </sheetView>
  </sheetViews>
  <sheetFormatPr defaultColWidth="10.28515625" defaultRowHeight="15" outlineLevelRow="1" outlineLevelCol="1" x14ac:dyDescent="0.2"/>
  <cols>
    <col min="1" max="1" width="5.7109375" style="53" customWidth="1"/>
    <col min="2" max="2" width="7.42578125" style="53" customWidth="1"/>
    <col min="3" max="3" width="26.42578125" style="53" customWidth="1"/>
    <col min="4" max="4" width="15.5703125" style="22" customWidth="1"/>
    <col min="5" max="5" width="13.5703125" style="75" customWidth="1"/>
    <col min="6" max="6" width="13.42578125" style="75" customWidth="1"/>
    <col min="7" max="7" width="14.5703125" style="75" bestFit="1" customWidth="1"/>
    <col min="8" max="8" width="13" style="75" bestFit="1" customWidth="1"/>
    <col min="9" max="25" width="12.7109375" style="75" bestFit="1" customWidth="1"/>
    <col min="26" max="38" width="12.28515625" style="75" bestFit="1" customWidth="1"/>
    <col min="39" max="39" width="17" style="75" customWidth="1" outlineLevel="1"/>
    <col min="40" max="40" width="13" style="75" customWidth="1" outlineLevel="1"/>
    <col min="41" max="41" width="14.28515625" style="75" customWidth="1" outlineLevel="1"/>
    <col min="42" max="42" width="12.7109375" style="22" bestFit="1" customWidth="1"/>
    <col min="43" max="43" width="12.28515625" style="22" customWidth="1"/>
    <col min="44" max="45" width="14" style="22" customWidth="1"/>
    <col min="46" max="46" width="16.5703125" style="22" customWidth="1"/>
    <col min="47" max="47" width="15" style="22" bestFit="1" customWidth="1"/>
    <col min="48" max="48" width="12.28515625" style="22" bestFit="1" customWidth="1"/>
    <col min="49" max="16384" width="10.28515625" style="22"/>
  </cols>
  <sheetData>
    <row r="1" spans="1:41" ht="17.25" customHeight="1" x14ac:dyDescent="0.25">
      <c r="A1" s="20" t="s">
        <v>0</v>
      </c>
      <c r="B1" s="21"/>
      <c r="C1" s="21"/>
      <c r="E1" s="831"/>
      <c r="F1" s="831"/>
      <c r="G1" s="22"/>
      <c r="H1" s="23"/>
      <c r="I1" s="24"/>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ht="12.75" customHeight="1" x14ac:dyDescent="0.25">
      <c r="A2" s="25" t="s">
        <v>1</v>
      </c>
      <c r="B2" s="21"/>
      <c r="C2" s="21"/>
      <c r="E2" s="22"/>
      <c r="F2" s="24"/>
      <c r="G2" s="2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x14ac:dyDescent="0.25">
      <c r="A3" s="25" t="s">
        <v>2</v>
      </c>
      <c r="B3" s="21"/>
      <c r="C3" s="486" t="s">
        <v>316</v>
      </c>
      <c r="D3" s="523" t="s">
        <v>3</v>
      </c>
      <c r="E3" s="22"/>
      <c r="F3" s="24"/>
      <c r="G3" s="24"/>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ht="7.5" customHeight="1" thickBot="1" x14ac:dyDescent="0.25">
      <c r="A4" s="21"/>
      <c r="B4" s="21"/>
      <c r="C4" s="21"/>
      <c r="E4" s="22"/>
      <c r="F4" s="24"/>
      <c r="G4" s="24"/>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41" x14ac:dyDescent="0.2">
      <c r="A5" s="26" t="s">
        <v>4</v>
      </c>
      <c r="B5" s="27"/>
      <c r="C5" s="27"/>
      <c r="D5" s="169" t="s">
        <v>231</v>
      </c>
      <c r="E5" s="28"/>
      <c r="F5" s="29"/>
      <c r="G5" s="30"/>
      <c r="H5" s="22"/>
      <c r="I5" s="22"/>
      <c r="J5" s="22"/>
      <c r="K5" s="22"/>
      <c r="L5" s="22"/>
      <c r="M5" s="22"/>
      <c r="N5" s="4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x14ac:dyDescent="0.2">
      <c r="A6" s="31"/>
      <c r="B6" s="32"/>
      <c r="C6" s="32"/>
      <c r="D6" s="134" t="s">
        <v>196</v>
      </c>
      <c r="E6" s="134"/>
      <c r="F6" s="135"/>
      <c r="G6" s="30"/>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x14ac:dyDescent="0.2">
      <c r="A7" s="31"/>
      <c r="B7" s="32"/>
      <c r="C7" s="32"/>
      <c r="D7" s="35"/>
      <c r="E7" s="35"/>
      <c r="F7" s="36" t="s">
        <v>5</v>
      </c>
      <c r="G7" s="37"/>
      <c r="H7" s="22"/>
      <c r="I7" s="22"/>
      <c r="J7" s="22"/>
      <c r="K7" s="22"/>
      <c r="L7" s="22"/>
      <c r="M7" s="136"/>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spans="1:41" x14ac:dyDescent="0.2">
      <c r="A8" s="31" t="s">
        <v>6</v>
      </c>
      <c r="B8" s="32"/>
      <c r="C8" s="32"/>
      <c r="D8" s="38" t="s">
        <v>7</v>
      </c>
      <c r="E8" s="38" t="s">
        <v>8</v>
      </c>
      <c r="F8" s="39" t="s">
        <v>8</v>
      </c>
      <c r="G8" s="37"/>
      <c r="H8" s="22"/>
      <c r="I8" s="22"/>
      <c r="J8" s="22"/>
      <c r="K8" s="22"/>
      <c r="L8" s="22"/>
      <c r="M8" s="127"/>
      <c r="N8" s="4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spans="1:41" x14ac:dyDescent="0.2">
      <c r="A9" s="31"/>
      <c r="B9" s="32"/>
      <c r="C9" s="32"/>
      <c r="D9" s="33"/>
      <c r="E9" s="33"/>
      <c r="F9" s="40"/>
      <c r="G9" s="33"/>
      <c r="H9" s="22"/>
      <c r="I9" s="22"/>
      <c r="J9" s="22"/>
      <c r="K9" s="22"/>
      <c r="L9" s="22"/>
      <c r="M9" s="127"/>
      <c r="N9" s="41"/>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spans="1:41" x14ac:dyDescent="0.2">
      <c r="A10" s="31"/>
      <c r="B10" s="32"/>
      <c r="C10" s="32"/>
      <c r="D10" s="42"/>
      <c r="E10" s="42"/>
      <c r="F10" s="43"/>
      <c r="G10" s="41"/>
      <c r="H10" s="22"/>
      <c r="I10" s="22"/>
      <c r="J10" s="22"/>
      <c r="K10" s="22"/>
      <c r="L10" s="22"/>
      <c r="M10" s="127"/>
      <c r="N10" s="41"/>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x14ac:dyDescent="0.2">
      <c r="A11" s="31" t="s">
        <v>173</v>
      </c>
      <c r="B11" s="32"/>
      <c r="C11" s="32"/>
      <c r="D11" s="42">
        <f>'2019 GRC'!C12</f>
        <v>0.51500000000000001</v>
      </c>
      <c r="E11" s="42">
        <f>'2019 GRC'!D12</f>
        <v>5.4951456310679617E-2</v>
      </c>
      <c r="F11" s="43">
        <f>'2019 GRC'!E12</f>
        <v>2.8299999999999999E-2</v>
      </c>
      <c r="G11" s="41"/>
      <c r="H11" s="22"/>
      <c r="I11" s="22"/>
      <c r="J11" s="22"/>
      <c r="K11" s="22"/>
      <c r="L11" s="22"/>
      <c r="M11" s="127"/>
      <c r="N11" s="41"/>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1" x14ac:dyDescent="0.2">
      <c r="A12" s="31" t="s">
        <v>9</v>
      </c>
      <c r="B12" s="32"/>
      <c r="C12" s="32"/>
      <c r="D12" s="44">
        <f>'2019 GRC'!C13</f>
        <v>0.48499999999999999</v>
      </c>
      <c r="E12" s="44">
        <f>'2019 GRC'!D13</f>
        <v>9.4E-2</v>
      </c>
      <c r="F12" s="45">
        <f>'2019 GRC'!E13</f>
        <v>4.5600000000000002E-2</v>
      </c>
      <c r="G12" s="41"/>
      <c r="H12" s="22"/>
      <c r="I12" s="22"/>
      <c r="J12" s="22"/>
      <c r="K12" s="22"/>
      <c r="L12" s="22"/>
      <c r="M12" s="127"/>
      <c r="N12" s="4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15.75" thickBot="1" x14ac:dyDescent="0.25">
      <c r="A13" s="31" t="s">
        <v>10</v>
      </c>
      <c r="B13" s="32"/>
      <c r="C13" s="32"/>
      <c r="D13" s="46">
        <f>D10+D11+D12</f>
        <v>1</v>
      </c>
      <c r="E13" s="47"/>
      <c r="F13" s="170">
        <f>F10+F11+F12</f>
        <v>7.3899999999999993E-2</v>
      </c>
      <c r="G13" s="47"/>
      <c r="H13" s="22"/>
      <c r="I13" s="22"/>
      <c r="J13" s="22"/>
      <c r="K13" s="22"/>
      <c r="L13" s="22"/>
      <c r="M13" s="127"/>
      <c r="N13" s="4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ht="15.75" thickTop="1" x14ac:dyDescent="0.2">
      <c r="A14" s="31"/>
      <c r="B14" s="32"/>
      <c r="C14" s="32"/>
      <c r="D14" s="33"/>
      <c r="E14" s="33"/>
      <c r="F14" s="40"/>
      <c r="G14" s="33"/>
      <c r="H14" s="22"/>
      <c r="I14" s="22"/>
      <c r="J14" s="22"/>
      <c r="K14" s="22"/>
      <c r="L14" s="22"/>
      <c r="M14" s="127"/>
      <c r="N14" s="41"/>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1:41" x14ac:dyDescent="0.2">
      <c r="A15" s="31" t="s">
        <v>11</v>
      </c>
      <c r="B15" s="32"/>
      <c r="C15" s="32"/>
      <c r="D15" s="33"/>
      <c r="E15" s="33"/>
      <c r="F15" s="43">
        <f>'2019 GRC'!I19</f>
        <v>0.21</v>
      </c>
      <c r="G15" s="47"/>
      <c r="H15" s="22"/>
      <c r="I15" s="22"/>
      <c r="J15" s="22"/>
      <c r="K15" s="22"/>
      <c r="L15" s="22"/>
      <c r="M15" s="127"/>
      <c r="N15" s="41"/>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spans="1:41" x14ac:dyDescent="0.2">
      <c r="A16" s="31" t="s">
        <v>12</v>
      </c>
      <c r="B16" s="32"/>
      <c r="C16" s="32"/>
      <c r="D16" s="33"/>
      <c r="E16" s="33"/>
      <c r="F16" s="43">
        <f>'2019 GRC'!J38</f>
        <v>4.7447000000000003E-2</v>
      </c>
      <c r="G16" s="524"/>
      <c r="H16" s="22"/>
      <c r="I16" s="22"/>
      <c r="J16" s="22"/>
      <c r="K16" s="22"/>
      <c r="L16" s="22"/>
      <c r="M16" s="127"/>
      <c r="N16" s="41"/>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8" x14ac:dyDescent="0.2">
      <c r="A17" s="31" t="s">
        <v>13</v>
      </c>
      <c r="B17" s="32"/>
      <c r="C17" s="32"/>
      <c r="D17" s="33"/>
      <c r="E17" s="33"/>
      <c r="F17" s="43">
        <f>'2022 C&amp;OM'!G7</f>
        <v>2.528131715400191E-2</v>
      </c>
      <c r="H17" s="22"/>
      <c r="I17" s="22"/>
      <c r="J17" s="22"/>
      <c r="K17" s="22"/>
      <c r="L17" s="22"/>
      <c r="M17" s="127"/>
      <c r="N17" s="41"/>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8" x14ac:dyDescent="0.2">
      <c r="A18" s="31" t="s">
        <v>14</v>
      </c>
      <c r="B18" s="32"/>
      <c r="C18" s="32"/>
      <c r="D18" s="33"/>
      <c r="E18" s="33"/>
      <c r="F18" s="49">
        <v>2</v>
      </c>
      <c r="G18" s="24"/>
      <c r="H18" s="22"/>
      <c r="I18" s="22"/>
      <c r="J18" s="22"/>
      <c r="K18" s="22"/>
      <c r="L18" s="22"/>
      <c r="M18" s="127"/>
      <c r="N18" s="41"/>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8" x14ac:dyDescent="0.2">
      <c r="A19" s="31"/>
      <c r="B19" s="32"/>
      <c r="C19" s="32"/>
      <c r="D19" s="33"/>
      <c r="E19" s="33"/>
      <c r="F19" s="34"/>
      <c r="G19" s="24"/>
      <c r="H19" s="22"/>
      <c r="I19" s="22"/>
      <c r="J19" s="22"/>
      <c r="K19" s="22"/>
      <c r="L19" s="22"/>
      <c r="M19" s="127"/>
      <c r="N19" s="41"/>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spans="1:48" x14ac:dyDescent="0.2">
      <c r="A20" s="31" t="s">
        <v>15</v>
      </c>
      <c r="B20" s="32"/>
      <c r="C20" s="32"/>
      <c r="D20" s="33"/>
      <c r="E20" s="33"/>
      <c r="F20" s="34"/>
      <c r="G20" s="24"/>
      <c r="H20" s="22"/>
      <c r="I20" s="22"/>
      <c r="J20" s="22"/>
      <c r="K20" s="22"/>
      <c r="L20" s="22"/>
      <c r="N20" s="137"/>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8" ht="15.75" thickBot="1" x14ac:dyDescent="0.25">
      <c r="A21" s="31" t="s">
        <v>16</v>
      </c>
      <c r="B21" s="32"/>
      <c r="C21" s="32"/>
      <c r="D21" s="33"/>
      <c r="E21" s="33"/>
      <c r="F21" s="34"/>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spans="1:48" ht="15.75" thickBot="1" x14ac:dyDescent="0.25">
      <c r="A22" s="50" t="s">
        <v>17</v>
      </c>
      <c r="B22" s="51"/>
      <c r="C22" s="51"/>
      <c r="D22" s="51"/>
      <c r="E22" s="52"/>
      <c r="F22" s="274">
        <f>'2022 C&amp;OM'!F6</f>
        <v>39096717.459999964</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8" ht="6" customHeight="1" x14ac:dyDescent="0.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spans="1:48" ht="6" customHeight="1" x14ac:dyDescent="0.2">
      <c r="B24" s="22"/>
      <c r="C24" s="22"/>
      <c r="D24" s="12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48" x14ac:dyDescent="0.2">
      <c r="A25" s="21"/>
      <c r="B25" s="21"/>
      <c r="C25" s="21"/>
      <c r="D25" s="523"/>
      <c r="E25" s="55" t="s">
        <v>18</v>
      </c>
      <c r="F25" s="116" t="s">
        <v>19</v>
      </c>
      <c r="G25" s="56" t="s">
        <v>20</v>
      </c>
      <c r="H25" s="56" t="s">
        <v>21</v>
      </c>
      <c r="I25" s="56" t="s">
        <v>22</v>
      </c>
      <c r="J25" s="56" t="s">
        <v>23</v>
      </c>
      <c r="K25" s="56" t="s">
        <v>24</v>
      </c>
      <c r="L25" s="56" t="s">
        <v>25</v>
      </c>
      <c r="M25" s="56" t="s">
        <v>26</v>
      </c>
      <c r="N25" s="56" t="s">
        <v>27</v>
      </c>
      <c r="O25" s="56" t="s">
        <v>28</v>
      </c>
      <c r="P25" s="56" t="s">
        <v>29</v>
      </c>
      <c r="Q25" s="56" t="s">
        <v>30</v>
      </c>
      <c r="R25" s="56" t="s">
        <v>31</v>
      </c>
      <c r="S25" s="56" t="s">
        <v>32</v>
      </c>
      <c r="T25" s="56" t="s">
        <v>33</v>
      </c>
      <c r="U25" s="56" t="s">
        <v>34</v>
      </c>
      <c r="V25" s="56" t="s">
        <v>35</v>
      </c>
      <c r="W25" s="56" t="s">
        <v>36</v>
      </c>
      <c r="X25" s="56" t="s">
        <v>37</v>
      </c>
      <c r="Y25" s="56" t="s">
        <v>38</v>
      </c>
      <c r="Z25" s="56" t="s">
        <v>39</v>
      </c>
      <c r="AA25" s="56" t="s">
        <v>40</v>
      </c>
      <c r="AB25" s="56" t="s">
        <v>41</v>
      </c>
      <c r="AC25" s="56" t="s">
        <v>42</v>
      </c>
      <c r="AD25" s="56" t="s">
        <v>43</v>
      </c>
      <c r="AE25" s="56" t="s">
        <v>44</v>
      </c>
      <c r="AF25" s="56" t="s">
        <v>45</v>
      </c>
      <c r="AG25" s="56" t="s">
        <v>46</v>
      </c>
      <c r="AH25" s="56" t="s">
        <v>47</v>
      </c>
      <c r="AI25" s="56" t="s">
        <v>48</v>
      </c>
      <c r="AJ25" s="56" t="s">
        <v>49</v>
      </c>
      <c r="AK25" s="56" t="s">
        <v>50</v>
      </c>
      <c r="AL25" s="56" t="s">
        <v>51</v>
      </c>
      <c r="AM25" s="56" t="s">
        <v>52</v>
      </c>
      <c r="AN25" s="56" t="s">
        <v>74</v>
      </c>
      <c r="AO25" s="56" t="s">
        <v>75</v>
      </c>
      <c r="AP25" s="56" t="s">
        <v>174</v>
      </c>
      <c r="AQ25" s="56" t="s">
        <v>175</v>
      </c>
      <c r="AR25" s="56" t="s">
        <v>176</v>
      </c>
      <c r="AS25" s="22" t="s">
        <v>177</v>
      </c>
    </row>
    <row r="26" spans="1:48" x14ac:dyDescent="0.2">
      <c r="A26" s="21"/>
      <c r="B26" s="21"/>
      <c r="C26" s="21"/>
      <c r="D26" s="523"/>
      <c r="E26" s="106">
        <v>2022</v>
      </c>
      <c r="F26" s="106">
        <v>2023</v>
      </c>
      <c r="G26" s="106">
        <v>2024</v>
      </c>
      <c r="H26" s="106">
        <v>2025</v>
      </c>
      <c r="I26" s="106">
        <v>2026</v>
      </c>
      <c r="J26" s="106">
        <v>2027</v>
      </c>
      <c r="K26" s="106">
        <v>2028</v>
      </c>
      <c r="L26" s="106">
        <v>2029</v>
      </c>
      <c r="M26" s="106">
        <v>2030</v>
      </c>
      <c r="N26" s="106">
        <v>2031</v>
      </c>
      <c r="O26" s="106">
        <v>2032</v>
      </c>
      <c r="P26" s="106">
        <v>2033</v>
      </c>
      <c r="Q26" s="106">
        <v>2034</v>
      </c>
      <c r="R26" s="106">
        <v>2035</v>
      </c>
      <c r="S26" s="106">
        <v>2036</v>
      </c>
      <c r="T26" s="106">
        <v>2037</v>
      </c>
      <c r="U26" s="106">
        <v>2038</v>
      </c>
      <c r="V26" s="106">
        <v>2039</v>
      </c>
      <c r="W26" s="106">
        <v>2040</v>
      </c>
      <c r="X26" s="106">
        <v>2041</v>
      </c>
      <c r="Y26" s="106">
        <v>2042</v>
      </c>
      <c r="Z26" s="106">
        <v>2043</v>
      </c>
      <c r="AA26" s="106">
        <v>2044</v>
      </c>
      <c r="AB26" s="106">
        <v>2045</v>
      </c>
      <c r="AC26" s="106">
        <v>2046</v>
      </c>
      <c r="AD26" s="106">
        <v>2047</v>
      </c>
      <c r="AE26" s="106">
        <v>2048</v>
      </c>
      <c r="AF26" s="106">
        <v>2049</v>
      </c>
      <c r="AG26" s="106">
        <v>2050</v>
      </c>
      <c r="AH26" s="106">
        <v>2051</v>
      </c>
      <c r="AI26" s="106">
        <v>2052</v>
      </c>
      <c r="AJ26" s="106">
        <v>2053</v>
      </c>
      <c r="AK26" s="106">
        <v>2054</v>
      </c>
      <c r="AL26" s="106">
        <v>2055</v>
      </c>
      <c r="AM26" s="106">
        <v>2056</v>
      </c>
      <c r="AN26" s="106">
        <v>2057</v>
      </c>
      <c r="AO26" s="106">
        <v>2058</v>
      </c>
      <c r="AP26" s="106">
        <v>2059</v>
      </c>
      <c r="AQ26" s="106">
        <v>2060</v>
      </c>
      <c r="AR26" s="106">
        <v>2061</v>
      </c>
      <c r="AS26" s="106"/>
    </row>
    <row r="27" spans="1:48" x14ac:dyDescent="0.2">
      <c r="A27" s="486">
        <v>1</v>
      </c>
      <c r="B27" s="21" t="s">
        <v>207</v>
      </c>
      <c r="C27" s="21"/>
      <c r="D27" s="523"/>
      <c r="E27" s="57">
        <f>$F22*$F17</f>
        <v>988416.51378666307</v>
      </c>
      <c r="F27" s="123">
        <f>$F22*$F17</f>
        <v>988416.51378666307</v>
      </c>
      <c r="G27" s="123">
        <f>$F22*$F17</f>
        <v>988416.51378666307</v>
      </c>
      <c r="H27" s="123">
        <f t="shared" ref="H27:AQ27" si="0">$F22*$F17</f>
        <v>988416.51378666307</v>
      </c>
      <c r="I27" s="123">
        <f t="shared" si="0"/>
        <v>988416.51378666307</v>
      </c>
      <c r="J27" s="123">
        <f t="shared" si="0"/>
        <v>988416.51378666307</v>
      </c>
      <c r="K27" s="123">
        <f t="shared" si="0"/>
        <v>988416.51378666307</v>
      </c>
      <c r="L27" s="123">
        <f t="shared" si="0"/>
        <v>988416.51378666307</v>
      </c>
      <c r="M27" s="123">
        <f t="shared" si="0"/>
        <v>988416.51378666307</v>
      </c>
      <c r="N27" s="123">
        <f t="shared" si="0"/>
        <v>988416.51378666307</v>
      </c>
      <c r="O27" s="123">
        <f t="shared" si="0"/>
        <v>988416.51378666307</v>
      </c>
      <c r="P27" s="123">
        <f t="shared" si="0"/>
        <v>988416.51378666307</v>
      </c>
      <c r="Q27" s="123">
        <f t="shared" si="0"/>
        <v>988416.51378666307</v>
      </c>
      <c r="R27" s="123">
        <f t="shared" si="0"/>
        <v>988416.51378666307</v>
      </c>
      <c r="S27" s="123">
        <f t="shared" si="0"/>
        <v>988416.51378666307</v>
      </c>
      <c r="T27" s="123">
        <f t="shared" si="0"/>
        <v>988416.51378666307</v>
      </c>
      <c r="U27" s="123">
        <f t="shared" si="0"/>
        <v>988416.51378666307</v>
      </c>
      <c r="V27" s="123">
        <f t="shared" si="0"/>
        <v>988416.51378666307</v>
      </c>
      <c r="W27" s="123">
        <f t="shared" si="0"/>
        <v>988416.51378666307</v>
      </c>
      <c r="X27" s="123">
        <f t="shared" si="0"/>
        <v>988416.51378666307</v>
      </c>
      <c r="Y27" s="123">
        <f t="shared" si="0"/>
        <v>988416.51378666307</v>
      </c>
      <c r="Z27" s="123">
        <f t="shared" si="0"/>
        <v>988416.51378666307</v>
      </c>
      <c r="AA27" s="123">
        <f t="shared" si="0"/>
        <v>988416.51378666307</v>
      </c>
      <c r="AB27" s="123">
        <f t="shared" si="0"/>
        <v>988416.51378666307</v>
      </c>
      <c r="AC27" s="123">
        <f t="shared" si="0"/>
        <v>988416.51378666307</v>
      </c>
      <c r="AD27" s="123">
        <f t="shared" si="0"/>
        <v>988416.51378666307</v>
      </c>
      <c r="AE27" s="123">
        <f t="shared" si="0"/>
        <v>988416.51378666307</v>
      </c>
      <c r="AF27" s="123">
        <f t="shared" si="0"/>
        <v>988416.51378666307</v>
      </c>
      <c r="AG27" s="123">
        <f t="shared" si="0"/>
        <v>988416.51378666307</v>
      </c>
      <c r="AH27" s="123">
        <f t="shared" si="0"/>
        <v>988416.51378666307</v>
      </c>
      <c r="AI27" s="123">
        <f t="shared" si="0"/>
        <v>988416.51378666307</v>
      </c>
      <c r="AJ27" s="123">
        <f t="shared" si="0"/>
        <v>988416.51378666307</v>
      </c>
      <c r="AK27" s="123">
        <f t="shared" si="0"/>
        <v>988416.51378666307</v>
      </c>
      <c r="AL27" s="123">
        <f t="shared" si="0"/>
        <v>988416.51378666307</v>
      </c>
      <c r="AM27" s="123">
        <f t="shared" si="0"/>
        <v>988416.51378666307</v>
      </c>
      <c r="AN27" s="123">
        <f t="shared" si="0"/>
        <v>988416.51378666307</v>
      </c>
      <c r="AO27" s="123">
        <f t="shared" si="0"/>
        <v>988416.51378666307</v>
      </c>
      <c r="AP27" s="123">
        <f t="shared" si="0"/>
        <v>988416.51378666307</v>
      </c>
      <c r="AQ27" s="123">
        <f t="shared" si="0"/>
        <v>988416.51378666307</v>
      </c>
      <c r="AR27" s="123">
        <f>$F22*$F17-408479.21</f>
        <v>579937.30378666311</v>
      </c>
      <c r="AS27" s="123"/>
      <c r="AT27" s="126">
        <f>SUM(D27:AS27)</f>
        <v>39128181.341466524</v>
      </c>
      <c r="AU27" s="41">
        <f>F22</f>
        <v>39096717.459999964</v>
      </c>
      <c r="AV27" s="126">
        <f>+AU27-AT27</f>
        <v>-31463.881466560066</v>
      </c>
    </row>
    <row r="28" spans="1:48" x14ac:dyDescent="0.2">
      <c r="A28" s="21"/>
      <c r="B28" s="21"/>
      <c r="C28" s="21"/>
      <c r="D28" s="523"/>
      <c r="E28" s="57"/>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58"/>
      <c r="AN28" s="123"/>
      <c r="AO28" s="123"/>
      <c r="AP28" s="525"/>
    </row>
    <row r="29" spans="1:48" x14ac:dyDescent="0.2">
      <c r="A29" s="486">
        <f>A27+1</f>
        <v>2</v>
      </c>
      <c r="B29" s="21" t="s">
        <v>54</v>
      </c>
      <c r="C29" s="21"/>
      <c r="D29" s="523"/>
      <c r="E29" s="57">
        <f>E53</f>
        <v>467313.03782916866</v>
      </c>
      <c r="F29" s="123">
        <f t="shared" ref="F29:AR29" si="1">F53</f>
        <v>452389.70810078213</v>
      </c>
      <c r="G29" s="123">
        <f t="shared" si="1"/>
        <v>436009.88214721088</v>
      </c>
      <c r="H29" s="123">
        <f t="shared" si="1"/>
        <v>420148.56287851912</v>
      </c>
      <c r="I29" s="123">
        <f t="shared" si="1"/>
        <v>404766.93693441839</v>
      </c>
      <c r="J29" s="123">
        <f t="shared" si="1"/>
        <v>389829.17659771955</v>
      </c>
      <c r="K29" s="123">
        <f t="shared" si="1"/>
        <v>375301.94218714896</v>
      </c>
      <c r="L29" s="123">
        <f t="shared" si="1"/>
        <v>361154.3820573492</v>
      </c>
      <c r="M29" s="123">
        <f t="shared" si="1"/>
        <v>347218.80258758657</v>
      </c>
      <c r="N29" s="123">
        <f t="shared" si="1"/>
        <v>333313.57715599833</v>
      </c>
      <c r="O29" s="123">
        <f t="shared" si="1"/>
        <v>319408.35172441008</v>
      </c>
      <c r="P29" s="123">
        <f t="shared" si="1"/>
        <v>305503.12629282178</v>
      </c>
      <c r="Q29" s="123">
        <f t="shared" si="1"/>
        <v>291597.90086123359</v>
      </c>
      <c r="R29" s="123">
        <f t="shared" si="1"/>
        <v>277692.67542964529</v>
      </c>
      <c r="S29" s="123">
        <f t="shared" si="1"/>
        <v>263787.4499980571</v>
      </c>
      <c r="T29" s="123">
        <f t="shared" si="1"/>
        <v>249882.22456646877</v>
      </c>
      <c r="U29" s="123">
        <f t="shared" si="1"/>
        <v>235976.99913488052</v>
      </c>
      <c r="V29" s="123">
        <f t="shared" si="1"/>
        <v>222071.77370329227</v>
      </c>
      <c r="W29" s="123">
        <f t="shared" si="1"/>
        <v>208166.548271704</v>
      </c>
      <c r="X29" s="123">
        <f t="shared" si="1"/>
        <v>194261.3228401157</v>
      </c>
      <c r="Y29" s="123">
        <f t="shared" si="1"/>
        <v>181466.25903421504</v>
      </c>
      <c r="Z29" s="123">
        <f t="shared" si="1"/>
        <v>170891.02087250637</v>
      </c>
      <c r="AA29" s="123">
        <f t="shared" si="1"/>
        <v>161425.94433648532</v>
      </c>
      <c r="AB29" s="123">
        <f t="shared" si="1"/>
        <v>151960.86780046421</v>
      </c>
      <c r="AC29" s="123">
        <f t="shared" si="1"/>
        <v>142495.79126444313</v>
      </c>
      <c r="AD29" s="123">
        <f t="shared" si="1"/>
        <v>133030.71472842208</v>
      </c>
      <c r="AE29" s="123">
        <f t="shared" si="1"/>
        <v>123565.63819240098</v>
      </c>
      <c r="AF29" s="123">
        <f t="shared" si="1"/>
        <v>114100.56165637991</v>
      </c>
      <c r="AG29" s="123">
        <f t="shared" si="1"/>
        <v>104635.48512035882</v>
      </c>
      <c r="AH29" s="123">
        <f t="shared" si="1"/>
        <v>95170.40858433774</v>
      </c>
      <c r="AI29" s="123">
        <f t="shared" si="1"/>
        <v>85705.332048316675</v>
      </c>
      <c r="AJ29" s="123">
        <f t="shared" si="1"/>
        <v>76240.255512295596</v>
      </c>
      <c r="AK29" s="123">
        <f t="shared" si="1"/>
        <v>66775.178976274517</v>
      </c>
      <c r="AL29" s="123">
        <f t="shared" si="1"/>
        <v>57310.102440253446</v>
      </c>
      <c r="AM29" s="123">
        <f t="shared" si="1"/>
        <v>47845.025904232418</v>
      </c>
      <c r="AN29" s="123">
        <f t="shared" si="1"/>
        <v>38379.949368211295</v>
      </c>
      <c r="AO29" s="123">
        <f t="shared" si="1"/>
        <v>28914.872832190173</v>
      </c>
      <c r="AP29" s="123">
        <f t="shared" si="1"/>
        <v>19449.79629616905</v>
      </c>
      <c r="AQ29" s="123">
        <f t="shared" si="1"/>
        <v>9984.7197601479238</v>
      </c>
      <c r="AR29" s="123">
        <f t="shared" si="1"/>
        <v>2475.4416816067646</v>
      </c>
      <c r="AS29" s="123"/>
      <c r="AT29" s="126">
        <f>SUM(D29:AS29)</f>
        <v>8367617.7477082433</v>
      </c>
    </row>
    <row r="30" spans="1:48" x14ac:dyDescent="0.2">
      <c r="A30" s="21"/>
      <c r="B30" s="21"/>
      <c r="C30" s="21"/>
      <c r="D30" s="523"/>
      <c r="E30" s="57"/>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row>
    <row r="31" spans="1:48" x14ac:dyDescent="0.2">
      <c r="A31" s="21"/>
      <c r="B31" s="21" t="s">
        <v>55</v>
      </c>
      <c r="C31" s="21"/>
      <c r="D31" s="523"/>
      <c r="E31" s="57">
        <f>+E30/0.79</f>
        <v>0</v>
      </c>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row>
    <row r="32" spans="1:48" x14ac:dyDescent="0.2">
      <c r="A32" s="486">
        <f>A29+1</f>
        <v>3</v>
      </c>
      <c r="B32" s="21"/>
      <c r="C32" s="21"/>
      <c r="D32" s="523"/>
      <c r="E32" s="57">
        <f>E49*$F10</f>
        <v>0</v>
      </c>
      <c r="F32" s="123">
        <f t="shared" ref="F32:AR32" si="2">F49*$F10</f>
        <v>0</v>
      </c>
      <c r="G32" s="123">
        <f t="shared" si="2"/>
        <v>0</v>
      </c>
      <c r="H32" s="123">
        <f t="shared" si="2"/>
        <v>0</v>
      </c>
      <c r="I32" s="123">
        <f t="shared" si="2"/>
        <v>0</v>
      </c>
      <c r="J32" s="123">
        <f t="shared" si="2"/>
        <v>0</v>
      </c>
      <c r="K32" s="123">
        <f t="shared" si="2"/>
        <v>0</v>
      </c>
      <c r="L32" s="123">
        <f t="shared" si="2"/>
        <v>0</v>
      </c>
      <c r="M32" s="123">
        <f t="shared" si="2"/>
        <v>0</v>
      </c>
      <c r="N32" s="123">
        <f t="shared" si="2"/>
        <v>0</v>
      </c>
      <c r="O32" s="123">
        <f t="shared" si="2"/>
        <v>0</v>
      </c>
      <c r="P32" s="123">
        <f t="shared" si="2"/>
        <v>0</v>
      </c>
      <c r="Q32" s="123">
        <f t="shared" si="2"/>
        <v>0</v>
      </c>
      <c r="R32" s="123">
        <f t="shared" si="2"/>
        <v>0</v>
      </c>
      <c r="S32" s="123">
        <f t="shared" si="2"/>
        <v>0</v>
      </c>
      <c r="T32" s="123">
        <f t="shared" si="2"/>
        <v>0</v>
      </c>
      <c r="U32" s="123">
        <f t="shared" si="2"/>
        <v>0</v>
      </c>
      <c r="V32" s="123">
        <f t="shared" si="2"/>
        <v>0</v>
      </c>
      <c r="W32" s="123">
        <f t="shared" si="2"/>
        <v>0</v>
      </c>
      <c r="X32" s="123">
        <f t="shared" si="2"/>
        <v>0</v>
      </c>
      <c r="Y32" s="123">
        <f t="shared" si="2"/>
        <v>0</v>
      </c>
      <c r="Z32" s="123">
        <f t="shared" si="2"/>
        <v>0</v>
      </c>
      <c r="AA32" s="123">
        <f t="shared" si="2"/>
        <v>0</v>
      </c>
      <c r="AB32" s="123">
        <f t="shared" si="2"/>
        <v>0</v>
      </c>
      <c r="AC32" s="123">
        <f t="shared" si="2"/>
        <v>0</v>
      </c>
      <c r="AD32" s="123">
        <f t="shared" si="2"/>
        <v>0</v>
      </c>
      <c r="AE32" s="123">
        <f t="shared" si="2"/>
        <v>0</v>
      </c>
      <c r="AF32" s="123">
        <f t="shared" si="2"/>
        <v>0</v>
      </c>
      <c r="AG32" s="123">
        <f t="shared" si="2"/>
        <v>0</v>
      </c>
      <c r="AH32" s="123">
        <f t="shared" si="2"/>
        <v>0</v>
      </c>
      <c r="AI32" s="123">
        <f t="shared" si="2"/>
        <v>0</v>
      </c>
      <c r="AJ32" s="123">
        <f t="shared" si="2"/>
        <v>0</v>
      </c>
      <c r="AK32" s="123">
        <f t="shared" si="2"/>
        <v>0</v>
      </c>
      <c r="AL32" s="123">
        <f t="shared" si="2"/>
        <v>0</v>
      </c>
      <c r="AM32" s="123">
        <f t="shared" si="2"/>
        <v>0</v>
      </c>
      <c r="AN32" s="123">
        <f t="shared" si="2"/>
        <v>0</v>
      </c>
      <c r="AO32" s="123">
        <f t="shared" si="2"/>
        <v>0</v>
      </c>
      <c r="AP32" s="123">
        <f t="shared" si="2"/>
        <v>0</v>
      </c>
      <c r="AQ32" s="123">
        <f t="shared" si="2"/>
        <v>0</v>
      </c>
      <c r="AR32" s="123">
        <f t="shared" si="2"/>
        <v>0</v>
      </c>
      <c r="AS32" s="123"/>
      <c r="AT32" s="126">
        <f t="shared" ref="AT32:AT42" si="3">SUM(D32:AS32)</f>
        <v>0</v>
      </c>
    </row>
    <row r="33" spans="1:46" x14ac:dyDescent="0.2">
      <c r="A33" s="486">
        <f>A32+1</f>
        <v>4</v>
      </c>
      <c r="B33" s="32"/>
      <c r="C33" s="32" t="s">
        <v>173</v>
      </c>
      <c r="D33" s="523"/>
      <c r="E33" s="57">
        <f>E49*$F11</f>
        <v>1091031.4940211701</v>
      </c>
      <c r="F33" s="123">
        <f t="shared" ref="F33:AR33" si="4">F49*$F11</f>
        <v>1056190.1319976177</v>
      </c>
      <c r="G33" s="123">
        <f t="shared" si="4"/>
        <v>1017948.3015001246</v>
      </c>
      <c r="H33" s="123">
        <f t="shared" si="4"/>
        <v>980917.02383824671</v>
      </c>
      <c r="I33" s="123">
        <f t="shared" si="4"/>
        <v>945005.68181315705</v>
      </c>
      <c r="J33" s="123">
        <f t="shared" si="4"/>
        <v>910130.62877978443</v>
      </c>
      <c r="K33" s="123">
        <f t="shared" si="4"/>
        <v>876214.02688785398</v>
      </c>
      <c r="L33" s="123">
        <f t="shared" si="4"/>
        <v>843183.84708188765</v>
      </c>
      <c r="M33" s="123">
        <f t="shared" si="4"/>
        <v>810648.57659259334</v>
      </c>
      <c r="N33" s="123">
        <f t="shared" si="4"/>
        <v>778184.17339981778</v>
      </c>
      <c r="O33" s="123">
        <f t="shared" si="4"/>
        <v>745719.77020704222</v>
      </c>
      <c r="P33" s="123">
        <f t="shared" si="4"/>
        <v>713255.36701426667</v>
      </c>
      <c r="Q33" s="123">
        <f t="shared" si="4"/>
        <v>680790.96382149111</v>
      </c>
      <c r="R33" s="123">
        <f t="shared" si="4"/>
        <v>648326.56062871555</v>
      </c>
      <c r="S33" s="123">
        <f t="shared" si="4"/>
        <v>615862.15743594</v>
      </c>
      <c r="T33" s="123">
        <f t="shared" si="4"/>
        <v>583397.75424316444</v>
      </c>
      <c r="U33" s="123">
        <f t="shared" si="4"/>
        <v>550933.35105038888</v>
      </c>
      <c r="V33" s="123">
        <f t="shared" si="4"/>
        <v>518468.94785761327</v>
      </c>
      <c r="W33" s="123">
        <f t="shared" si="4"/>
        <v>486004.54466483765</v>
      </c>
      <c r="X33" s="123">
        <f t="shared" si="4"/>
        <v>453540.1414720621</v>
      </c>
      <c r="Y33" s="123">
        <f t="shared" si="4"/>
        <v>423667.6225175382</v>
      </c>
      <c r="Z33" s="123">
        <f t="shared" si="4"/>
        <v>398977.71028055821</v>
      </c>
      <c r="AA33" s="123">
        <f t="shared" si="4"/>
        <v>376879.68228182977</v>
      </c>
      <c r="AB33" s="123">
        <f t="shared" si="4"/>
        <v>354781.65428310132</v>
      </c>
      <c r="AC33" s="123">
        <f t="shared" si="4"/>
        <v>332683.62628437299</v>
      </c>
      <c r="AD33" s="123">
        <f t="shared" si="4"/>
        <v>310585.59828564455</v>
      </c>
      <c r="AE33" s="123">
        <f t="shared" si="4"/>
        <v>288487.57028691616</v>
      </c>
      <c r="AF33" s="123">
        <f t="shared" si="4"/>
        <v>266389.54228818772</v>
      </c>
      <c r="AG33" s="123">
        <f t="shared" si="4"/>
        <v>244291.51428945927</v>
      </c>
      <c r="AH33" s="123">
        <f t="shared" si="4"/>
        <v>222193.48629073089</v>
      </c>
      <c r="AI33" s="123">
        <f t="shared" si="4"/>
        <v>200095.4582920025</v>
      </c>
      <c r="AJ33" s="123">
        <f t="shared" si="4"/>
        <v>177997.43029327408</v>
      </c>
      <c r="AK33" s="123">
        <f t="shared" si="4"/>
        <v>155899.4022945457</v>
      </c>
      <c r="AL33" s="123">
        <f t="shared" si="4"/>
        <v>133801.37429581728</v>
      </c>
      <c r="AM33" s="123">
        <f t="shared" si="4"/>
        <v>111703.34629708898</v>
      </c>
      <c r="AN33" s="123">
        <f t="shared" si="4"/>
        <v>89605.318298360478</v>
      </c>
      <c r="AO33" s="123">
        <f t="shared" si="4"/>
        <v>67507.290299631961</v>
      </c>
      <c r="AP33" s="123">
        <f t="shared" si="4"/>
        <v>45409.262300903451</v>
      </c>
      <c r="AQ33" s="123">
        <f t="shared" si="4"/>
        <v>23311.234302174933</v>
      </c>
      <c r="AR33" s="123">
        <f t="shared" si="4"/>
        <v>5779.3911524313316</v>
      </c>
      <c r="AS33" s="123"/>
      <c r="AT33" s="126">
        <f t="shared" si="3"/>
        <v>19535800.959222343</v>
      </c>
    </row>
    <row r="34" spans="1:46" x14ac:dyDescent="0.2">
      <c r="A34" s="486">
        <f>A33+1</f>
        <v>5</v>
      </c>
      <c r="B34" s="21"/>
      <c r="C34" s="21" t="s">
        <v>9</v>
      </c>
      <c r="D34" s="523"/>
      <c r="E34" s="59">
        <f>E49*$F12</f>
        <v>1757987.1423097299</v>
      </c>
      <c r="F34" s="121">
        <f t="shared" ref="F34:AR34" si="5">F49*$F12</f>
        <v>1701846.9971410378</v>
      </c>
      <c r="G34" s="121">
        <f t="shared" si="5"/>
        <v>1640227.6518871267</v>
      </c>
      <c r="H34" s="121">
        <f t="shared" si="5"/>
        <v>1580558.8794001434</v>
      </c>
      <c r="I34" s="121">
        <f t="shared" si="5"/>
        <v>1522694.6675151931</v>
      </c>
      <c r="J34" s="121">
        <f t="shared" si="5"/>
        <v>1466500.2357723736</v>
      </c>
      <c r="K34" s="121">
        <f t="shared" si="5"/>
        <v>1411850.1634659416</v>
      </c>
      <c r="L34" s="121">
        <f t="shared" si="5"/>
        <v>1358628.3896443138</v>
      </c>
      <c r="M34" s="121">
        <f t="shared" si="5"/>
        <v>1306204.0668771116</v>
      </c>
      <c r="N34" s="121">
        <f t="shared" si="5"/>
        <v>1253893.9331106604</v>
      </c>
      <c r="O34" s="121">
        <f t="shared" si="5"/>
        <v>1201583.7993442095</v>
      </c>
      <c r="P34" s="121">
        <f t="shared" si="5"/>
        <v>1149273.6655777583</v>
      </c>
      <c r="Q34" s="121">
        <f t="shared" si="5"/>
        <v>1096963.5318113074</v>
      </c>
      <c r="R34" s="121">
        <f t="shared" si="5"/>
        <v>1044653.3980448561</v>
      </c>
      <c r="S34" s="121">
        <f t="shared" si="5"/>
        <v>992343.26427840523</v>
      </c>
      <c r="T34" s="121">
        <f t="shared" si="5"/>
        <v>940033.13051195396</v>
      </c>
      <c r="U34" s="121">
        <f t="shared" si="5"/>
        <v>887722.99674550304</v>
      </c>
      <c r="V34" s="121">
        <f t="shared" si="5"/>
        <v>835412.86297905189</v>
      </c>
      <c r="W34" s="121">
        <f t="shared" si="5"/>
        <v>783102.72921260074</v>
      </c>
      <c r="X34" s="121">
        <f t="shared" si="5"/>
        <v>730792.59544614959</v>
      </c>
      <c r="Y34" s="121">
        <f t="shared" si="5"/>
        <v>682658.78398585669</v>
      </c>
      <c r="Z34" s="121">
        <f t="shared" si="5"/>
        <v>642875.74518704787</v>
      </c>
      <c r="AA34" s="121">
        <f t="shared" si="5"/>
        <v>607269.02869439719</v>
      </c>
      <c r="AB34" s="121">
        <f t="shared" si="5"/>
        <v>571662.31220174639</v>
      </c>
      <c r="AC34" s="121">
        <f t="shared" si="5"/>
        <v>536055.59570909571</v>
      </c>
      <c r="AD34" s="121">
        <f t="shared" si="5"/>
        <v>500448.87921644497</v>
      </c>
      <c r="AE34" s="121">
        <f t="shared" si="5"/>
        <v>464842.16272379423</v>
      </c>
      <c r="AF34" s="121">
        <f t="shared" si="5"/>
        <v>429235.44623114349</v>
      </c>
      <c r="AG34" s="121">
        <f t="shared" si="5"/>
        <v>393628.72973849275</v>
      </c>
      <c r="AH34" s="121">
        <f t="shared" si="5"/>
        <v>358022.01324584201</v>
      </c>
      <c r="AI34" s="121">
        <f t="shared" si="5"/>
        <v>322415.29675319133</v>
      </c>
      <c r="AJ34" s="121">
        <f t="shared" si="5"/>
        <v>286808.58026054059</v>
      </c>
      <c r="AK34" s="121">
        <f t="shared" si="5"/>
        <v>251201.86376788991</v>
      </c>
      <c r="AL34" s="121">
        <f t="shared" si="5"/>
        <v>215595.14727523917</v>
      </c>
      <c r="AM34" s="121">
        <f t="shared" si="5"/>
        <v>179988.43078258864</v>
      </c>
      <c r="AN34" s="121">
        <f t="shared" si="5"/>
        <v>144381.71428993775</v>
      </c>
      <c r="AO34" s="121">
        <f t="shared" si="5"/>
        <v>108774.99779728685</v>
      </c>
      <c r="AP34" s="121">
        <f t="shared" si="5"/>
        <v>73168.281304635952</v>
      </c>
      <c r="AQ34" s="121">
        <f t="shared" si="5"/>
        <v>37561.564811985052</v>
      </c>
      <c r="AR34" s="121">
        <f t="shared" si="5"/>
        <v>9312.3758498540192</v>
      </c>
      <c r="AS34" s="121"/>
      <c r="AT34" s="126">
        <f t="shared" si="3"/>
        <v>31478181.050902441</v>
      </c>
    </row>
    <row r="35" spans="1:46" x14ac:dyDescent="0.2">
      <c r="A35" s="486">
        <f>A34+1</f>
        <v>6</v>
      </c>
      <c r="B35" s="21"/>
      <c r="C35" s="21" t="s">
        <v>58</v>
      </c>
      <c r="D35" s="523"/>
      <c r="E35" s="57">
        <f>E32+E33+E34</f>
        <v>2849018.6363308998</v>
      </c>
      <c r="F35" s="123">
        <f>F32+F33+F34</f>
        <v>2758037.1291386555</v>
      </c>
      <c r="G35" s="123">
        <f>G32+G33+G34</f>
        <v>2658175.9533872511</v>
      </c>
      <c r="H35" s="123">
        <f t="shared" ref="H35:AR35" si="6">H32+H33+H34</f>
        <v>2561475.9032383901</v>
      </c>
      <c r="I35" s="123">
        <f t="shared" si="6"/>
        <v>2467700.3493283503</v>
      </c>
      <c r="J35" s="123">
        <f t="shared" si="6"/>
        <v>2376630.8645521579</v>
      </c>
      <c r="K35" s="123">
        <f t="shared" si="6"/>
        <v>2288064.1903537954</v>
      </c>
      <c r="L35" s="123">
        <f t="shared" si="6"/>
        <v>2201812.2367262016</v>
      </c>
      <c r="M35" s="123">
        <f t="shared" si="6"/>
        <v>2116852.6434697048</v>
      </c>
      <c r="N35" s="123">
        <f t="shared" si="6"/>
        <v>2032078.1065104781</v>
      </c>
      <c r="O35" s="123">
        <f t="shared" si="6"/>
        <v>1947303.5695512518</v>
      </c>
      <c r="P35" s="123">
        <f t="shared" si="6"/>
        <v>1862529.0325920251</v>
      </c>
      <c r="Q35" s="123">
        <f t="shared" si="6"/>
        <v>1777754.4956327984</v>
      </c>
      <c r="R35" s="123">
        <f t="shared" si="6"/>
        <v>1692979.9586735717</v>
      </c>
      <c r="S35" s="123">
        <f t="shared" si="6"/>
        <v>1608205.4217143452</v>
      </c>
      <c r="T35" s="123">
        <f t="shared" si="6"/>
        <v>1523430.8847551183</v>
      </c>
      <c r="U35" s="123">
        <f t="shared" si="6"/>
        <v>1438656.347795892</v>
      </c>
      <c r="V35" s="123">
        <f t="shared" si="6"/>
        <v>1353881.8108366651</v>
      </c>
      <c r="W35" s="123">
        <f t="shared" si="6"/>
        <v>1269107.2738774384</v>
      </c>
      <c r="X35" s="123">
        <f t="shared" si="6"/>
        <v>1184332.7369182117</v>
      </c>
      <c r="Y35" s="123">
        <f t="shared" si="6"/>
        <v>1106326.4065033949</v>
      </c>
      <c r="Z35" s="123">
        <f t="shared" si="6"/>
        <v>1041853.4554676061</v>
      </c>
      <c r="AA35" s="123">
        <f t="shared" si="6"/>
        <v>984148.71097622695</v>
      </c>
      <c r="AB35" s="123">
        <f t="shared" si="6"/>
        <v>926443.96648484771</v>
      </c>
      <c r="AC35" s="123">
        <f t="shared" si="6"/>
        <v>868739.2219934687</v>
      </c>
      <c r="AD35" s="123">
        <f t="shared" si="6"/>
        <v>811034.47750208946</v>
      </c>
      <c r="AE35" s="123">
        <f t="shared" si="6"/>
        <v>753329.73301071045</v>
      </c>
      <c r="AF35" s="123">
        <f t="shared" si="6"/>
        <v>695624.98851933121</v>
      </c>
      <c r="AG35" s="123">
        <f t="shared" si="6"/>
        <v>637920.24402795197</v>
      </c>
      <c r="AH35" s="123">
        <f t="shared" si="6"/>
        <v>580215.49953657296</v>
      </c>
      <c r="AI35" s="123">
        <f t="shared" si="6"/>
        <v>522510.75504519383</v>
      </c>
      <c r="AJ35" s="123">
        <f t="shared" si="6"/>
        <v>464806.0105538147</v>
      </c>
      <c r="AK35" s="123">
        <f t="shared" si="6"/>
        <v>407101.26606243558</v>
      </c>
      <c r="AL35" s="123">
        <f t="shared" si="6"/>
        <v>349396.52157105645</v>
      </c>
      <c r="AM35" s="123">
        <f t="shared" si="6"/>
        <v>291691.77707967762</v>
      </c>
      <c r="AN35" s="123">
        <f t="shared" si="6"/>
        <v>233987.03258829823</v>
      </c>
      <c r="AO35" s="123">
        <f t="shared" si="6"/>
        <v>176282.28809691881</v>
      </c>
      <c r="AP35" s="123">
        <f t="shared" si="6"/>
        <v>118577.54360553939</v>
      </c>
      <c r="AQ35" s="123">
        <f t="shared" si="6"/>
        <v>60872.799114159985</v>
      </c>
      <c r="AR35" s="123">
        <f t="shared" si="6"/>
        <v>15091.767002285351</v>
      </c>
      <c r="AS35" s="123"/>
      <c r="AT35" s="126">
        <f t="shared" si="3"/>
        <v>51013982.010124773</v>
      </c>
    </row>
    <row r="36" spans="1:46" x14ac:dyDescent="0.2">
      <c r="A36" s="21"/>
      <c r="B36" s="21"/>
      <c r="C36" s="21"/>
      <c r="D36" s="523"/>
      <c r="E36" s="5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6">
        <f t="shared" si="3"/>
        <v>0</v>
      </c>
    </row>
    <row r="37" spans="1:46" x14ac:dyDescent="0.2">
      <c r="A37" s="486">
        <f>A35+1</f>
        <v>7</v>
      </c>
      <c r="B37" s="21" t="s">
        <v>59</v>
      </c>
      <c r="C37" s="21"/>
      <c r="D37" s="523"/>
      <c r="E37" s="60">
        <f>E27+E29+E35</f>
        <v>4304748.1879467312</v>
      </c>
      <c r="F37" s="120">
        <f>F27+F29+F35</f>
        <v>4198843.351026101</v>
      </c>
      <c r="G37" s="120">
        <f t="shared" ref="G37:AR37" si="7">G27+G29+G35</f>
        <v>4082602.3493211251</v>
      </c>
      <c r="H37" s="120">
        <f t="shared" si="7"/>
        <v>3970040.9799035722</v>
      </c>
      <c r="I37" s="120">
        <f t="shared" si="7"/>
        <v>3860883.8000494316</v>
      </c>
      <c r="J37" s="120">
        <f t="shared" si="7"/>
        <v>3754876.5549365403</v>
      </c>
      <c r="K37" s="120">
        <f t="shared" si="7"/>
        <v>3651782.6463276073</v>
      </c>
      <c r="L37" s="120">
        <f t="shared" si="7"/>
        <v>3551383.1325702136</v>
      </c>
      <c r="M37" s="120">
        <f t="shared" si="7"/>
        <v>3452487.9598439545</v>
      </c>
      <c r="N37" s="120">
        <f t="shared" si="7"/>
        <v>3353808.1974531393</v>
      </c>
      <c r="O37" s="120">
        <f t="shared" si="7"/>
        <v>3255128.4350623251</v>
      </c>
      <c r="P37" s="120">
        <f t="shared" si="7"/>
        <v>3156448.6726715099</v>
      </c>
      <c r="Q37" s="120">
        <f t="shared" si="7"/>
        <v>3057768.9102806952</v>
      </c>
      <c r="R37" s="120">
        <f t="shared" si="7"/>
        <v>2959089.14788988</v>
      </c>
      <c r="S37" s="120">
        <f t="shared" si="7"/>
        <v>2860409.3854990657</v>
      </c>
      <c r="T37" s="120">
        <f t="shared" si="7"/>
        <v>2761729.6231082501</v>
      </c>
      <c r="U37" s="120">
        <f t="shared" si="7"/>
        <v>2663049.8607174354</v>
      </c>
      <c r="V37" s="120">
        <f t="shared" si="7"/>
        <v>2564370.0983266206</v>
      </c>
      <c r="W37" s="120">
        <f t="shared" si="7"/>
        <v>2465690.3359358055</v>
      </c>
      <c r="X37" s="120">
        <f t="shared" si="7"/>
        <v>2367010.5735449903</v>
      </c>
      <c r="Y37" s="120">
        <f t="shared" si="7"/>
        <v>2276209.179324273</v>
      </c>
      <c r="Z37" s="120">
        <f t="shared" si="7"/>
        <v>2201160.9901267756</v>
      </c>
      <c r="AA37" s="120">
        <f t="shared" si="7"/>
        <v>2133991.1690993756</v>
      </c>
      <c r="AB37" s="120">
        <f t="shared" si="7"/>
        <v>2066821.3480719749</v>
      </c>
      <c r="AC37" s="120">
        <f t="shared" si="7"/>
        <v>1999651.527044575</v>
      </c>
      <c r="AD37" s="120">
        <f t="shared" si="7"/>
        <v>1932481.7060171745</v>
      </c>
      <c r="AE37" s="120">
        <f t="shared" si="7"/>
        <v>1865311.8849897746</v>
      </c>
      <c r="AF37" s="120">
        <f t="shared" si="7"/>
        <v>1798142.0639623741</v>
      </c>
      <c r="AG37" s="120">
        <f t="shared" si="7"/>
        <v>1730972.2429349739</v>
      </c>
      <c r="AH37" s="120">
        <f t="shared" si="7"/>
        <v>1663802.4219075737</v>
      </c>
      <c r="AI37" s="120">
        <f t="shared" si="7"/>
        <v>1596632.6008801735</v>
      </c>
      <c r="AJ37" s="120">
        <f t="shared" si="7"/>
        <v>1529462.7798527733</v>
      </c>
      <c r="AK37" s="120">
        <f t="shared" si="7"/>
        <v>1462292.9588253731</v>
      </c>
      <c r="AL37" s="120">
        <f t="shared" si="7"/>
        <v>1395123.1377979731</v>
      </c>
      <c r="AM37" s="120">
        <f t="shared" si="7"/>
        <v>1327953.3167705731</v>
      </c>
      <c r="AN37" s="120">
        <f t="shared" si="7"/>
        <v>1260783.4957431727</v>
      </c>
      <c r="AO37" s="120">
        <f t="shared" si="7"/>
        <v>1193613.674715772</v>
      </c>
      <c r="AP37" s="120">
        <f t="shared" si="7"/>
        <v>1126443.8536883716</v>
      </c>
      <c r="AQ37" s="120">
        <f t="shared" si="7"/>
        <v>1059274.0326609709</v>
      </c>
      <c r="AR37" s="120">
        <f t="shared" si="7"/>
        <v>597504.51247055526</v>
      </c>
      <c r="AS37" s="120"/>
      <c r="AT37" s="126">
        <f t="shared" si="3"/>
        <v>98509781.09929958</v>
      </c>
    </row>
    <row r="38" spans="1:46" x14ac:dyDescent="0.2">
      <c r="A38" s="486">
        <f>A37+1</f>
        <v>8</v>
      </c>
      <c r="B38" s="21" t="s">
        <v>60</v>
      </c>
      <c r="C38" s="21"/>
      <c r="D38" s="523"/>
      <c r="E38" s="59">
        <f>E37/(1-$F16)-E37</f>
        <v>214421.02147965413</v>
      </c>
      <c r="F38" s="121">
        <f t="shared" ref="F38:AR38" si="8">F37/(1-$F16)-F37</f>
        <v>209145.86429955624</v>
      </c>
      <c r="G38" s="121">
        <f t="shared" si="8"/>
        <v>203355.8591157021</v>
      </c>
      <c r="H38" s="121">
        <f t="shared" si="8"/>
        <v>197749.13771043159</v>
      </c>
      <c r="I38" s="121">
        <f t="shared" si="8"/>
        <v>192311.98018477252</v>
      </c>
      <c r="J38" s="121">
        <f t="shared" si="8"/>
        <v>187031.7220165953</v>
      </c>
      <c r="K38" s="121">
        <f t="shared" si="8"/>
        <v>181896.57816447597</v>
      </c>
      <c r="L38" s="121">
        <f t="shared" si="8"/>
        <v>176895.64306769194</v>
      </c>
      <c r="M38" s="121">
        <f t="shared" si="8"/>
        <v>171969.6397268353</v>
      </c>
      <c r="N38" s="121">
        <f t="shared" si="8"/>
        <v>167054.36605056003</v>
      </c>
      <c r="O38" s="121">
        <f t="shared" si="8"/>
        <v>162139.09237428475</v>
      </c>
      <c r="P38" s="121">
        <f t="shared" si="8"/>
        <v>157223.81869800948</v>
      </c>
      <c r="Q38" s="121">
        <f t="shared" si="8"/>
        <v>152308.5450217342</v>
      </c>
      <c r="R38" s="121">
        <f t="shared" si="8"/>
        <v>147393.27134545939</v>
      </c>
      <c r="S38" s="121">
        <f t="shared" si="8"/>
        <v>142477.99766918411</v>
      </c>
      <c r="T38" s="121">
        <f t="shared" si="8"/>
        <v>137562.72399290884</v>
      </c>
      <c r="U38" s="121">
        <f t="shared" si="8"/>
        <v>132647.45031663356</v>
      </c>
      <c r="V38" s="121">
        <f t="shared" si="8"/>
        <v>127732.17664035829</v>
      </c>
      <c r="W38" s="121">
        <f t="shared" si="8"/>
        <v>122816.90296408301</v>
      </c>
      <c r="X38" s="121">
        <f t="shared" si="8"/>
        <v>117901.62928780774</v>
      </c>
      <c r="Y38" s="121">
        <f t="shared" si="8"/>
        <v>113378.77990137972</v>
      </c>
      <c r="Z38" s="121">
        <f t="shared" si="8"/>
        <v>109640.60319850454</v>
      </c>
      <c r="AA38" s="121">
        <f t="shared" si="8"/>
        <v>106294.85078547662</v>
      </c>
      <c r="AB38" s="121">
        <f t="shared" si="8"/>
        <v>102949.09837244847</v>
      </c>
      <c r="AC38" s="121">
        <f t="shared" si="8"/>
        <v>99603.345959420549</v>
      </c>
      <c r="AD38" s="121">
        <f t="shared" si="8"/>
        <v>96257.593546392629</v>
      </c>
      <c r="AE38" s="121">
        <f t="shared" si="8"/>
        <v>92911.841133364709</v>
      </c>
      <c r="AF38" s="121">
        <f t="shared" si="8"/>
        <v>89566.088720336556</v>
      </c>
      <c r="AG38" s="121">
        <f t="shared" si="8"/>
        <v>86220.336307308637</v>
      </c>
      <c r="AH38" s="121">
        <f t="shared" si="8"/>
        <v>82874.583894280717</v>
      </c>
      <c r="AI38" s="121">
        <f t="shared" si="8"/>
        <v>79528.831481252564</v>
      </c>
      <c r="AJ38" s="121">
        <f t="shared" si="8"/>
        <v>76183.079068224644</v>
      </c>
      <c r="AK38" s="121">
        <f t="shared" si="8"/>
        <v>72837.326655196724</v>
      </c>
      <c r="AL38" s="121">
        <f t="shared" si="8"/>
        <v>69491.574242168572</v>
      </c>
      <c r="AM38" s="121">
        <f t="shared" si="8"/>
        <v>66145.821829140652</v>
      </c>
      <c r="AN38" s="121">
        <f t="shared" si="8"/>
        <v>62800.069416112732</v>
      </c>
      <c r="AO38" s="121">
        <f t="shared" si="8"/>
        <v>59454.317003084579</v>
      </c>
      <c r="AP38" s="121">
        <f t="shared" si="8"/>
        <v>56108.56459005666</v>
      </c>
      <c r="AQ38" s="121">
        <f t="shared" si="8"/>
        <v>52762.812177028507</v>
      </c>
      <c r="AR38" s="121">
        <f t="shared" si="8"/>
        <v>29761.909944318584</v>
      </c>
      <c r="AS38" s="121"/>
      <c r="AT38" s="126">
        <f t="shared" si="3"/>
        <v>4906806.8483522357</v>
      </c>
    </row>
    <row r="39" spans="1:46" x14ac:dyDescent="0.2">
      <c r="A39" s="486">
        <f>A38+1</f>
        <v>9</v>
      </c>
      <c r="B39" s="21"/>
      <c r="C39" s="21" t="s">
        <v>61</v>
      </c>
      <c r="D39" s="523"/>
      <c r="E39" s="60">
        <f>SUM(E37:E38)</f>
        <v>4519169.2094263854</v>
      </c>
      <c r="F39" s="120">
        <f t="shared" ref="F39:AR39" si="9">SUM(F37:F38)</f>
        <v>4407989.2153256573</v>
      </c>
      <c r="G39" s="120">
        <f t="shared" si="9"/>
        <v>4285958.2084368272</v>
      </c>
      <c r="H39" s="120">
        <f t="shared" si="9"/>
        <v>4167790.1176140038</v>
      </c>
      <c r="I39" s="120">
        <f t="shared" si="9"/>
        <v>4053195.7802342041</v>
      </c>
      <c r="J39" s="120">
        <f t="shared" si="9"/>
        <v>3941908.2769531356</v>
      </c>
      <c r="K39" s="120">
        <f t="shared" si="9"/>
        <v>3833679.2244920833</v>
      </c>
      <c r="L39" s="120">
        <f t="shared" si="9"/>
        <v>3728278.7756379056</v>
      </c>
      <c r="M39" s="120">
        <f t="shared" si="9"/>
        <v>3624457.5995707898</v>
      </c>
      <c r="N39" s="120">
        <f t="shared" si="9"/>
        <v>3520862.5635036994</v>
      </c>
      <c r="O39" s="120">
        <f t="shared" si="9"/>
        <v>3417267.5274366098</v>
      </c>
      <c r="P39" s="120">
        <f t="shared" si="9"/>
        <v>3313672.4913695194</v>
      </c>
      <c r="Q39" s="120">
        <f t="shared" si="9"/>
        <v>3210077.4553024294</v>
      </c>
      <c r="R39" s="120">
        <f t="shared" si="9"/>
        <v>3106482.4192353394</v>
      </c>
      <c r="S39" s="120">
        <f t="shared" si="9"/>
        <v>3002887.3831682499</v>
      </c>
      <c r="T39" s="120">
        <f t="shared" si="9"/>
        <v>2899292.3471011589</v>
      </c>
      <c r="U39" s="120">
        <f t="shared" si="9"/>
        <v>2795697.3110340689</v>
      </c>
      <c r="V39" s="120">
        <f t="shared" si="9"/>
        <v>2692102.2749669789</v>
      </c>
      <c r="W39" s="120">
        <f t="shared" si="9"/>
        <v>2588507.2388998885</v>
      </c>
      <c r="X39" s="120">
        <f t="shared" si="9"/>
        <v>2484912.202832798</v>
      </c>
      <c r="Y39" s="120">
        <f t="shared" si="9"/>
        <v>2389587.9592256527</v>
      </c>
      <c r="Z39" s="120">
        <f t="shared" si="9"/>
        <v>2310801.5933252801</v>
      </c>
      <c r="AA39" s="120">
        <f t="shared" si="9"/>
        <v>2240286.0198848522</v>
      </c>
      <c r="AB39" s="120">
        <f t="shared" si="9"/>
        <v>2169770.4464444234</v>
      </c>
      <c r="AC39" s="120">
        <f t="shared" si="9"/>
        <v>2099254.8730039955</v>
      </c>
      <c r="AD39" s="120">
        <f t="shared" si="9"/>
        <v>2028739.2995635672</v>
      </c>
      <c r="AE39" s="120">
        <f t="shared" si="9"/>
        <v>1958223.7261231393</v>
      </c>
      <c r="AF39" s="120">
        <f t="shared" si="9"/>
        <v>1887708.1526827107</v>
      </c>
      <c r="AG39" s="120">
        <f t="shared" si="9"/>
        <v>1817192.5792422825</v>
      </c>
      <c r="AH39" s="120">
        <f t="shared" si="9"/>
        <v>1746677.0058018544</v>
      </c>
      <c r="AI39" s="120">
        <f t="shared" si="9"/>
        <v>1676161.4323614261</v>
      </c>
      <c r="AJ39" s="120">
        <f t="shared" si="9"/>
        <v>1605645.8589209979</v>
      </c>
      <c r="AK39" s="120">
        <f t="shared" si="9"/>
        <v>1535130.2854805698</v>
      </c>
      <c r="AL39" s="120">
        <f t="shared" si="9"/>
        <v>1464614.7120401417</v>
      </c>
      <c r="AM39" s="120">
        <f t="shared" si="9"/>
        <v>1394099.1385997138</v>
      </c>
      <c r="AN39" s="120">
        <f t="shared" si="9"/>
        <v>1323583.5651592854</v>
      </c>
      <c r="AO39" s="120">
        <f t="shared" si="9"/>
        <v>1253067.9917188566</v>
      </c>
      <c r="AP39" s="120">
        <f t="shared" si="9"/>
        <v>1182552.4182784283</v>
      </c>
      <c r="AQ39" s="120">
        <f t="shared" si="9"/>
        <v>1112036.8448379994</v>
      </c>
      <c r="AR39" s="120">
        <f t="shared" si="9"/>
        <v>627266.42241487384</v>
      </c>
      <c r="AS39" s="120"/>
      <c r="AT39" s="126">
        <f t="shared" si="3"/>
        <v>103416587.94765179</v>
      </c>
    </row>
    <row r="40" spans="1:46" x14ac:dyDescent="0.2">
      <c r="A40" s="486">
        <f t="shared" ref="A40:A66" si="10">A39+1</f>
        <v>10</v>
      </c>
      <c r="B40" s="21"/>
      <c r="C40" s="21"/>
      <c r="D40" s="523"/>
      <c r="E40" s="6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6">
        <f t="shared" si="3"/>
        <v>0</v>
      </c>
    </row>
    <row r="41" spans="1:46" x14ac:dyDescent="0.2">
      <c r="A41" s="486">
        <f t="shared" si="10"/>
        <v>11</v>
      </c>
      <c r="B41" s="21"/>
      <c r="C41" s="21"/>
      <c r="D41" s="523"/>
      <c r="E41" s="57"/>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6">
        <f t="shared" si="3"/>
        <v>0</v>
      </c>
    </row>
    <row r="42" spans="1:46" x14ac:dyDescent="0.2">
      <c r="A42" s="486">
        <f t="shared" si="10"/>
        <v>12</v>
      </c>
      <c r="B42" s="21" t="s">
        <v>208</v>
      </c>
      <c r="C42" s="21"/>
      <c r="D42" s="523"/>
      <c r="E42" s="59">
        <f>E39</f>
        <v>4519169.2094263854</v>
      </c>
      <c r="F42" s="121">
        <f>F39</f>
        <v>4407989.2153256573</v>
      </c>
      <c r="G42" s="121">
        <f t="shared" ref="G42:AR42" si="11">G39</f>
        <v>4285958.2084368272</v>
      </c>
      <c r="H42" s="121">
        <f t="shared" si="11"/>
        <v>4167790.1176140038</v>
      </c>
      <c r="I42" s="121">
        <f t="shared" si="11"/>
        <v>4053195.7802342041</v>
      </c>
      <c r="J42" s="121">
        <f t="shared" si="11"/>
        <v>3941908.2769531356</v>
      </c>
      <c r="K42" s="121">
        <f t="shared" si="11"/>
        <v>3833679.2244920833</v>
      </c>
      <c r="L42" s="121">
        <f t="shared" si="11"/>
        <v>3728278.7756379056</v>
      </c>
      <c r="M42" s="121">
        <f t="shared" si="11"/>
        <v>3624457.5995707898</v>
      </c>
      <c r="N42" s="121">
        <f t="shared" si="11"/>
        <v>3520862.5635036994</v>
      </c>
      <c r="O42" s="121">
        <f t="shared" si="11"/>
        <v>3417267.5274366098</v>
      </c>
      <c r="P42" s="121">
        <f t="shared" si="11"/>
        <v>3313672.4913695194</v>
      </c>
      <c r="Q42" s="121">
        <f t="shared" si="11"/>
        <v>3210077.4553024294</v>
      </c>
      <c r="R42" s="121">
        <f t="shared" si="11"/>
        <v>3106482.4192353394</v>
      </c>
      <c r="S42" s="121">
        <f t="shared" si="11"/>
        <v>3002887.3831682499</v>
      </c>
      <c r="T42" s="121">
        <f t="shared" si="11"/>
        <v>2899292.3471011589</v>
      </c>
      <c r="U42" s="121">
        <f t="shared" si="11"/>
        <v>2795697.3110340689</v>
      </c>
      <c r="V42" s="121">
        <f t="shared" si="11"/>
        <v>2692102.2749669789</v>
      </c>
      <c r="W42" s="121">
        <f t="shared" si="11"/>
        <v>2588507.2388998885</v>
      </c>
      <c r="X42" s="121">
        <f t="shared" si="11"/>
        <v>2484912.202832798</v>
      </c>
      <c r="Y42" s="121">
        <f t="shared" si="11"/>
        <v>2389587.9592256527</v>
      </c>
      <c r="Z42" s="121">
        <f t="shared" si="11"/>
        <v>2310801.5933252801</v>
      </c>
      <c r="AA42" s="121">
        <f t="shared" si="11"/>
        <v>2240286.0198848522</v>
      </c>
      <c r="AB42" s="121">
        <f t="shared" si="11"/>
        <v>2169770.4464444234</v>
      </c>
      <c r="AC42" s="121">
        <f t="shared" si="11"/>
        <v>2099254.8730039955</v>
      </c>
      <c r="AD42" s="121">
        <f t="shared" si="11"/>
        <v>2028739.2995635672</v>
      </c>
      <c r="AE42" s="121">
        <f t="shared" si="11"/>
        <v>1958223.7261231393</v>
      </c>
      <c r="AF42" s="121">
        <f t="shared" si="11"/>
        <v>1887708.1526827107</v>
      </c>
      <c r="AG42" s="121">
        <f t="shared" si="11"/>
        <v>1817192.5792422825</v>
      </c>
      <c r="AH42" s="121">
        <f t="shared" si="11"/>
        <v>1746677.0058018544</v>
      </c>
      <c r="AI42" s="121">
        <f t="shared" si="11"/>
        <v>1676161.4323614261</v>
      </c>
      <c r="AJ42" s="121">
        <f t="shared" si="11"/>
        <v>1605645.8589209979</v>
      </c>
      <c r="AK42" s="121">
        <f t="shared" si="11"/>
        <v>1535130.2854805698</v>
      </c>
      <c r="AL42" s="121">
        <f t="shared" si="11"/>
        <v>1464614.7120401417</v>
      </c>
      <c r="AM42" s="121">
        <f t="shared" si="11"/>
        <v>1394099.1385997138</v>
      </c>
      <c r="AN42" s="121">
        <f t="shared" si="11"/>
        <v>1323583.5651592854</v>
      </c>
      <c r="AO42" s="121">
        <f t="shared" si="11"/>
        <v>1253067.9917188566</v>
      </c>
      <c r="AP42" s="121">
        <f t="shared" si="11"/>
        <v>1182552.4182784283</v>
      </c>
      <c r="AQ42" s="121">
        <f t="shared" si="11"/>
        <v>1112036.8448379994</v>
      </c>
      <c r="AR42" s="121">
        <f t="shared" si="11"/>
        <v>627266.42241487384</v>
      </c>
      <c r="AS42" s="121"/>
      <c r="AT42" s="126">
        <f t="shared" si="3"/>
        <v>103416587.94765179</v>
      </c>
    </row>
    <row r="43" spans="1:46" x14ac:dyDescent="0.2">
      <c r="A43" s="486">
        <f t="shared" si="10"/>
        <v>13</v>
      </c>
      <c r="B43" s="21"/>
      <c r="C43" s="21"/>
      <c r="D43" s="523"/>
      <c r="E43" s="10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row>
    <row r="44" spans="1:46" outlineLevel="1" x14ac:dyDescent="0.2">
      <c r="A44" s="486">
        <f t="shared" si="10"/>
        <v>14</v>
      </c>
      <c r="B44" s="21"/>
      <c r="C44" s="21"/>
      <c r="D44" s="523"/>
      <c r="E44" s="62"/>
      <c r="F44" s="52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row>
    <row r="45" spans="1:46" outlineLevel="1" x14ac:dyDescent="0.2">
      <c r="A45" s="486">
        <f t="shared" si="10"/>
        <v>15</v>
      </c>
      <c r="B45" s="21" t="s">
        <v>63</v>
      </c>
      <c r="C45" s="523"/>
      <c r="D45" s="523"/>
      <c r="E45" s="64">
        <f>+E42/$F$22</f>
        <v>0.11558947919476792</v>
      </c>
      <c r="F45" s="122">
        <f t="shared" ref="F45:AR45" si="12">+F42/$F$22</f>
        <v>0.11274576234783629</v>
      </c>
      <c r="G45" s="122">
        <f t="shared" si="12"/>
        <v>0.10962450269186438</v>
      </c>
      <c r="H45" s="122">
        <f t="shared" si="12"/>
        <v>0.10660204713805167</v>
      </c>
      <c r="I45" s="122">
        <f t="shared" si="12"/>
        <v>0.10367099960197548</v>
      </c>
      <c r="J45" s="122">
        <f t="shared" si="12"/>
        <v>0.10082453292878413</v>
      </c>
      <c r="K45" s="122">
        <f t="shared" si="12"/>
        <v>9.8056294071601754E-2</v>
      </c>
      <c r="L45" s="122">
        <f t="shared" si="12"/>
        <v>9.5360404091528281E-2</v>
      </c>
      <c r="M45" s="122">
        <f t="shared" si="12"/>
        <v>9.2704908110993967E-2</v>
      </c>
      <c r="N45" s="122">
        <f t="shared" si="12"/>
        <v>9.0055196247764549E-2</v>
      </c>
      <c r="O45" s="122">
        <f t="shared" si="12"/>
        <v>8.7405484384535159E-2</v>
      </c>
      <c r="P45" s="122">
        <f t="shared" si="12"/>
        <v>8.4755772521305742E-2</v>
      </c>
      <c r="Q45" s="122">
        <f t="shared" si="12"/>
        <v>8.2106060658076338E-2</v>
      </c>
      <c r="R45" s="122">
        <f t="shared" si="12"/>
        <v>7.9456348794846934E-2</v>
      </c>
      <c r="S45" s="122">
        <f t="shared" si="12"/>
        <v>7.6806636931617545E-2</v>
      </c>
      <c r="T45" s="122">
        <f t="shared" si="12"/>
        <v>7.4156925068388127E-2</v>
      </c>
      <c r="U45" s="122">
        <f t="shared" si="12"/>
        <v>7.1507213205158723E-2</v>
      </c>
      <c r="V45" s="122">
        <f t="shared" si="12"/>
        <v>6.885750134192932E-2</v>
      </c>
      <c r="W45" s="122">
        <f t="shared" si="12"/>
        <v>6.6207789478699902E-2</v>
      </c>
      <c r="X45" s="122">
        <f t="shared" si="12"/>
        <v>6.3558077615470485E-2</v>
      </c>
      <c r="Y45" s="122">
        <f t="shared" si="12"/>
        <v>6.1119912731048366E-2</v>
      </c>
      <c r="Z45" s="122">
        <f t="shared" si="12"/>
        <v>5.910474698264559E-2</v>
      </c>
      <c r="AA45" s="122">
        <f t="shared" si="12"/>
        <v>5.7301128213050098E-2</v>
      </c>
      <c r="AB45" s="122">
        <f t="shared" si="12"/>
        <v>5.5497509443454579E-2</v>
      </c>
      <c r="AC45" s="122">
        <f t="shared" si="12"/>
        <v>5.3693890673859081E-2</v>
      </c>
      <c r="AD45" s="122">
        <f t="shared" si="12"/>
        <v>5.1890271904263569E-2</v>
      </c>
      <c r="AE45" s="122">
        <f t="shared" si="12"/>
        <v>5.0086653134668077E-2</v>
      </c>
      <c r="AF45" s="122">
        <f t="shared" si="12"/>
        <v>4.8283034365072565E-2</v>
      </c>
      <c r="AG45" s="122">
        <f t="shared" si="12"/>
        <v>4.647941559547706E-2</v>
      </c>
      <c r="AH45" s="122">
        <f t="shared" si="12"/>
        <v>4.4675796825881554E-2</v>
      </c>
      <c r="AI45" s="122">
        <f t="shared" si="12"/>
        <v>4.2872178056286049E-2</v>
      </c>
      <c r="AJ45" s="122">
        <f t="shared" si="12"/>
        <v>4.1068559286690544E-2</v>
      </c>
      <c r="AK45" s="122">
        <f t="shared" si="12"/>
        <v>3.9264940517095046E-2</v>
      </c>
      <c r="AL45" s="122">
        <f t="shared" si="12"/>
        <v>3.746132174749954E-2</v>
      </c>
      <c r="AM45" s="122">
        <f t="shared" si="12"/>
        <v>3.5657702977904049E-2</v>
      </c>
      <c r="AN45" s="122">
        <f t="shared" si="12"/>
        <v>3.3854084208308537E-2</v>
      </c>
      <c r="AO45" s="122">
        <f t="shared" si="12"/>
        <v>3.2050465438713018E-2</v>
      </c>
      <c r="AP45" s="122">
        <f t="shared" si="12"/>
        <v>3.0246846669117509E-2</v>
      </c>
      <c r="AQ45" s="122">
        <f t="shared" si="12"/>
        <v>2.844322789952199E-2</v>
      </c>
      <c r="AR45" s="122">
        <f t="shared" si="12"/>
        <v>1.604396642906487E-2</v>
      </c>
      <c r="AS45" s="122"/>
    </row>
    <row r="46" spans="1:46" outlineLevel="1" x14ac:dyDescent="0.2">
      <c r="A46" s="486">
        <f t="shared" si="10"/>
        <v>16</v>
      </c>
      <c r="B46" s="21"/>
      <c r="C46" s="21"/>
      <c r="D46" s="523"/>
      <c r="E46" s="62"/>
      <c r="F46" s="52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row>
    <row r="47" spans="1:46" outlineLevel="1" x14ac:dyDescent="0.2">
      <c r="A47" s="486">
        <f t="shared" si="10"/>
        <v>17</v>
      </c>
      <c r="B47" s="21"/>
      <c r="C47" s="21"/>
      <c r="D47" s="523"/>
      <c r="E47" s="62">
        <f>+E27/2</f>
        <v>494208.25689333153</v>
      </c>
      <c r="F47" s="120"/>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row>
    <row r="48" spans="1:46" outlineLevel="1" x14ac:dyDescent="0.2">
      <c r="A48" s="486">
        <f t="shared" si="10"/>
        <v>18</v>
      </c>
      <c r="B48" s="21"/>
      <c r="C48" s="21"/>
      <c r="D48" s="523"/>
      <c r="E48" s="62">
        <f>+E60/2</f>
        <v>50159.59105115023</v>
      </c>
      <c r="F48" s="120"/>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row>
    <row r="49" spans="1:46" x14ac:dyDescent="0.2">
      <c r="A49" s="486">
        <f t="shared" si="10"/>
        <v>19</v>
      </c>
      <c r="B49" s="65" t="s">
        <v>64</v>
      </c>
      <c r="C49" s="21"/>
      <c r="D49" s="523"/>
      <c r="E49" s="60">
        <f>F22-E27/2-E60/2</f>
        <v>38552349.61205548</v>
      </c>
      <c r="F49" s="138">
        <f>$F$22-(SUM($E$27:E27)+F27/2)-(SUM($E$60:E60)+F60/2)</f>
        <v>37321206.077654339</v>
      </c>
      <c r="G49" s="138">
        <f>$F$22-(SUM($E$27:F27)+G27/2)-(SUM($E$60:F60)+G60/2)</f>
        <v>35969904.646647513</v>
      </c>
      <c r="H49" s="138">
        <f>$F$22-(SUM($E$27:G27)+H27/2)-(SUM($E$60:G60)+H60/2)</f>
        <v>34661378.934213668</v>
      </c>
      <c r="I49" s="138">
        <f>$F$22-(SUM($E$27:H27)+I27/2)-(SUM($E$60:H60)+I60/2)</f>
        <v>33392426.919192828</v>
      </c>
      <c r="J49" s="138">
        <f>$F$22-(SUM($E$27:I27)+J27/2)-(SUM($E$60:I60)+J60/2)</f>
        <v>32160092.889745034</v>
      </c>
      <c r="K49" s="138">
        <f>$F$22-(SUM($E$27:J27)+K27/2)-(SUM($E$60:J60)+K60/2)</f>
        <v>30961626.391796961</v>
      </c>
      <c r="L49" s="138">
        <f>$F$22-(SUM($E$27:K27)+L27/2)-(SUM($E$60:K60)+L60/2)</f>
        <v>29794482.229041968</v>
      </c>
      <c r="M49" s="138">
        <f>$F$22-(SUM($E$27:L27)+M27/2)-(SUM($E$60:L60)+M60/2)</f>
        <v>28644826.028006833</v>
      </c>
      <c r="N49" s="138">
        <f>$F$22-(SUM($E$27:M27)+N27/2)-(SUM($E$60:M60)+N60/2)</f>
        <v>27497673.971725009</v>
      </c>
      <c r="O49" s="138">
        <f>$F$22-(SUM($E$27:N27)+O27/2)-(SUM($E$60:N60)+O60/2)</f>
        <v>26350521.915443189</v>
      </c>
      <c r="P49" s="138">
        <f>$F$22-(SUM($E$27:O27)+P27/2)-(SUM($E$60:O60)+P60/2)</f>
        <v>25203369.859161366</v>
      </c>
      <c r="Q49" s="138">
        <f>$F$22-(SUM($E$27:P27)+Q27/2)-(SUM($E$60:P60)+Q60/2)</f>
        <v>24056217.802879546</v>
      </c>
      <c r="R49" s="138">
        <f>$F$22-(SUM($E$27:Q27)+R27/2)-(SUM($E$60:Q60)+R60/2)</f>
        <v>22909065.746597722</v>
      </c>
      <c r="S49" s="138">
        <f>$F$22-(SUM($E$27:R27)+S27/2)-(SUM($E$60:R60)+S60/2)</f>
        <v>21761913.690315902</v>
      </c>
      <c r="T49" s="138">
        <f>$F$22-(SUM($E$27:S27)+T27/2)-(SUM($E$60:S60)+T60/2)</f>
        <v>20614761.634034079</v>
      </c>
      <c r="U49" s="138">
        <f>$F$22-(SUM($E$27:T27)+U27/2)-(SUM($E$60:T60)+U60/2)</f>
        <v>19467609.577752259</v>
      </c>
      <c r="V49" s="138">
        <f>$F$22-(SUM($E$27:U27)+V27/2)-(SUM($E$60:U60)+V60/2)</f>
        <v>18320457.521470435</v>
      </c>
      <c r="W49" s="138">
        <f>$F$22-(SUM($E$27:V27)+W27/2)-(SUM($E$60:V60)+W60/2)</f>
        <v>17173305.465188611</v>
      </c>
      <c r="X49" s="138">
        <f>$F$22-(SUM($E$27:W27)+X27/2)-(SUM($E$60:W60)+X60/2)</f>
        <v>16026153.408906789</v>
      </c>
      <c r="Y49" s="138">
        <f>$F$22-(SUM($E$27:X27)+Y27/2)-(SUM($E$60:X60)+Y60/2)</f>
        <v>14970587.368110891</v>
      </c>
      <c r="Z49" s="138">
        <f>$F$22-(SUM($E$27:Y27)+Z27/2)-(SUM($E$60:Y60)+Z60/2)</f>
        <v>14098152.306733506</v>
      </c>
      <c r="AA49" s="138">
        <f>$F$22-(SUM($E$27:Z27)+AA27/2)-(SUM($E$60:Z60)+AA60/2)</f>
        <v>13317303.260842042</v>
      </c>
      <c r="AB49" s="138">
        <f>$F$22-(SUM($E$27:AA27)+AB27/2)-(SUM($E$60:AA60)+AB60/2)</f>
        <v>12536454.214950578</v>
      </c>
      <c r="AC49" s="138">
        <f>$F$22-(SUM($E$27:AB27)+AC27/2)-(SUM($E$60:AB60)+AC60/2)</f>
        <v>11755605.169059116</v>
      </c>
      <c r="AD49" s="138">
        <f>$F$22-(SUM($E$27:AC27)+AD27/2)-(SUM($E$60:AC60)+AD60/2)</f>
        <v>10974756.123167653</v>
      </c>
      <c r="AE49" s="138">
        <f>$F$22-(SUM($E$27:AD27)+AE27/2)-(SUM($E$60:AD60)+AE60/2)</f>
        <v>10193907.077276189</v>
      </c>
      <c r="AF49" s="138">
        <f>$F$22-(SUM($E$27:AE27)+AF27/2)-(SUM($E$60:AE60)+AF60/2)</f>
        <v>9413058.0313847251</v>
      </c>
      <c r="AG49" s="138">
        <f>$F$22-(SUM($E$27:AF27)+AG27/2)-(SUM($E$60:AF60)+AG60/2)</f>
        <v>8632208.9854932614</v>
      </c>
      <c r="AH49" s="138">
        <f>$F$22-(SUM($E$27:AG27)+AH27/2)-(SUM($E$60:AG60)+AH60/2)</f>
        <v>7851359.9396017985</v>
      </c>
      <c r="AI49" s="138">
        <f>$F$22-(SUM($E$27:AH27)+AI27/2)-(SUM($E$60:AH60)+AI60/2)</f>
        <v>7070510.8937103357</v>
      </c>
      <c r="AJ49" s="138">
        <f>$F$22-(SUM($E$27:AI27)+AJ27/2)-(SUM($E$60:AI60)+AJ60/2)</f>
        <v>6289661.8478188729</v>
      </c>
      <c r="AK49" s="138">
        <f>$F$22-(SUM($E$27:AJ27)+AK27/2)-(SUM($E$60:AJ60)+AK60/2)</f>
        <v>5508812.8019274101</v>
      </c>
      <c r="AL49" s="138">
        <f>$F$22-(SUM($E$27:AK27)+AL27/2)-(SUM($E$60:AK60)+AL60/2)</f>
        <v>4727963.7560359463</v>
      </c>
      <c r="AM49" s="138">
        <f>$F$22-(SUM($E$27:AL27)+AM27/2)-(SUM($E$60:AL60)+AM60/2)</f>
        <v>3947114.7101444872</v>
      </c>
      <c r="AN49" s="138">
        <f>$F$22-(SUM($E$27:AM27)+AN27/2)-(SUM($E$60:AM60)+AN60/2)</f>
        <v>3166265.6642530207</v>
      </c>
      <c r="AO49" s="138">
        <f>$F$22-(SUM($E$27:AN27)+AO27/2)-(SUM($E$60:AN60)+AO60/2)</f>
        <v>2385416.6183615536</v>
      </c>
      <c r="AP49" s="138">
        <f>$F$22-(SUM($E$27:AO27)+AP27/2)-(SUM($E$60:AO60)+AP60/2)</f>
        <v>1604567.5724700866</v>
      </c>
      <c r="AQ49" s="138">
        <f>$F$22-(SUM($E$27:AP27)+AQ27/2)-(SUM($E$60:AP60)+AQ60/2)</f>
        <v>823718.52657861961</v>
      </c>
      <c r="AR49" s="138">
        <f>$F$22-(SUM($E$27:AQ27)+AR27/2)-(SUM($E$60:AQ60)+AR60/2)</f>
        <v>204218.76863714954</v>
      </c>
      <c r="AS49" s="138"/>
      <c r="AT49" s="126">
        <f t="shared" ref="AT49:AT60" si="13">SUM(D49:AS49)</f>
        <v>690310987.95838702</v>
      </c>
    </row>
    <row r="50" spans="1:46" x14ac:dyDescent="0.2">
      <c r="A50" s="486">
        <f t="shared" si="10"/>
        <v>20</v>
      </c>
      <c r="B50" s="21"/>
      <c r="C50" s="21"/>
      <c r="D50" s="523"/>
      <c r="E50" s="108"/>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6">
        <f t="shared" si="13"/>
        <v>0</v>
      </c>
    </row>
    <row r="51" spans="1:46" x14ac:dyDescent="0.2">
      <c r="A51" s="486">
        <f t="shared" si="10"/>
        <v>21</v>
      </c>
      <c r="B51" s="21"/>
      <c r="C51" s="21"/>
      <c r="D51" s="523"/>
      <c r="E51" s="57"/>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6">
        <f t="shared" si="13"/>
        <v>0</v>
      </c>
    </row>
    <row r="52" spans="1:46" x14ac:dyDescent="0.2">
      <c r="A52" s="486">
        <f t="shared" si="10"/>
        <v>22</v>
      </c>
      <c r="B52" s="21" t="s">
        <v>65</v>
      </c>
      <c r="C52" s="21"/>
      <c r="D52" s="523"/>
      <c r="E52" s="57">
        <f>(E34)/(1-$F$15)</f>
        <v>2225300.1801388985</v>
      </c>
      <c r="F52" s="123">
        <f t="shared" ref="F52:AR52" si="14">(F34)/(1-$F$15)</f>
        <v>2154236.7052418198</v>
      </c>
      <c r="G52" s="123">
        <f t="shared" si="14"/>
        <v>2076237.5340343376</v>
      </c>
      <c r="H52" s="123">
        <f t="shared" si="14"/>
        <v>2000707.4422786625</v>
      </c>
      <c r="I52" s="123">
        <f t="shared" si="14"/>
        <v>1927461.6044496114</v>
      </c>
      <c r="J52" s="123">
        <f t="shared" si="14"/>
        <v>1856329.4123700932</v>
      </c>
      <c r="K52" s="123">
        <f t="shared" si="14"/>
        <v>1787152.1056530904</v>
      </c>
      <c r="L52" s="123">
        <f t="shared" si="14"/>
        <v>1719782.771701663</v>
      </c>
      <c r="M52" s="123">
        <f t="shared" si="14"/>
        <v>1653422.869464698</v>
      </c>
      <c r="N52" s="123">
        <f t="shared" si="14"/>
        <v>1587207.5102666586</v>
      </c>
      <c r="O52" s="123">
        <f t="shared" si="14"/>
        <v>1520992.1510686195</v>
      </c>
      <c r="P52" s="123">
        <f t="shared" si="14"/>
        <v>1454776.7918705801</v>
      </c>
      <c r="Q52" s="123">
        <f t="shared" si="14"/>
        <v>1388561.4326725409</v>
      </c>
      <c r="R52" s="123">
        <f t="shared" si="14"/>
        <v>1322346.0734745015</v>
      </c>
      <c r="S52" s="123">
        <f t="shared" si="14"/>
        <v>1256130.7142764623</v>
      </c>
      <c r="T52" s="123">
        <f t="shared" si="14"/>
        <v>1189915.3550784227</v>
      </c>
      <c r="U52" s="123">
        <f t="shared" si="14"/>
        <v>1123699.9958803835</v>
      </c>
      <c r="V52" s="123">
        <f t="shared" si="14"/>
        <v>1057484.6366823441</v>
      </c>
      <c r="W52" s="123">
        <f t="shared" si="14"/>
        <v>991269.27748430474</v>
      </c>
      <c r="X52" s="123">
        <f t="shared" si="14"/>
        <v>925053.91828626522</v>
      </c>
      <c r="Y52" s="123">
        <f t="shared" si="14"/>
        <v>864125.04302007169</v>
      </c>
      <c r="Z52" s="123">
        <f t="shared" si="14"/>
        <v>813766.76605955418</v>
      </c>
      <c r="AA52" s="123">
        <f t="shared" si="14"/>
        <v>768694.97303088254</v>
      </c>
      <c r="AB52" s="123">
        <f t="shared" si="14"/>
        <v>723623.18000221055</v>
      </c>
      <c r="AC52" s="123">
        <f t="shared" si="14"/>
        <v>678551.38697353879</v>
      </c>
      <c r="AD52" s="123">
        <f t="shared" si="14"/>
        <v>633479.59394486703</v>
      </c>
      <c r="AE52" s="123">
        <f t="shared" si="14"/>
        <v>588407.80091619515</v>
      </c>
      <c r="AF52" s="123">
        <f t="shared" si="14"/>
        <v>543336.00788752339</v>
      </c>
      <c r="AG52" s="123">
        <f t="shared" si="14"/>
        <v>498264.21485885157</v>
      </c>
      <c r="AH52" s="123">
        <f t="shared" si="14"/>
        <v>453192.42183017975</v>
      </c>
      <c r="AI52" s="123">
        <f t="shared" si="14"/>
        <v>408120.62880150799</v>
      </c>
      <c r="AJ52" s="123">
        <f t="shared" si="14"/>
        <v>363048.83577283617</v>
      </c>
      <c r="AK52" s="123">
        <f t="shared" si="14"/>
        <v>317977.04274416441</v>
      </c>
      <c r="AL52" s="123">
        <f t="shared" si="14"/>
        <v>272905.24971549259</v>
      </c>
      <c r="AM52" s="123">
        <f t="shared" si="14"/>
        <v>227833.45668682104</v>
      </c>
      <c r="AN52" s="123">
        <f t="shared" si="14"/>
        <v>182761.66365814905</v>
      </c>
      <c r="AO52" s="123">
        <f t="shared" si="14"/>
        <v>137689.87062947702</v>
      </c>
      <c r="AP52" s="123">
        <f t="shared" si="14"/>
        <v>92618.077600805002</v>
      </c>
      <c r="AQ52" s="123">
        <f t="shared" si="14"/>
        <v>47546.284572132972</v>
      </c>
      <c r="AR52" s="123">
        <f t="shared" si="14"/>
        <v>11787.817531460783</v>
      </c>
      <c r="AS52" s="123"/>
      <c r="AT52" s="126">
        <f t="shared" si="13"/>
        <v>39845798.79861068</v>
      </c>
    </row>
    <row r="53" spans="1:46" x14ac:dyDescent="0.2">
      <c r="A53" s="486">
        <f t="shared" si="10"/>
        <v>23</v>
      </c>
      <c r="B53" s="21" t="s">
        <v>66</v>
      </c>
      <c r="C53" s="21"/>
      <c r="D53" s="523"/>
      <c r="E53" s="59">
        <f t="shared" ref="E53:AR53" si="15">E52*$F15</f>
        <v>467313.03782916866</v>
      </c>
      <c r="F53" s="121">
        <f t="shared" si="15"/>
        <v>452389.70810078213</v>
      </c>
      <c r="G53" s="121">
        <f t="shared" si="15"/>
        <v>436009.88214721088</v>
      </c>
      <c r="H53" s="121">
        <f t="shared" si="15"/>
        <v>420148.56287851912</v>
      </c>
      <c r="I53" s="121">
        <f t="shared" si="15"/>
        <v>404766.93693441839</v>
      </c>
      <c r="J53" s="121">
        <f t="shared" si="15"/>
        <v>389829.17659771955</v>
      </c>
      <c r="K53" s="121">
        <f t="shared" si="15"/>
        <v>375301.94218714896</v>
      </c>
      <c r="L53" s="121">
        <f t="shared" si="15"/>
        <v>361154.3820573492</v>
      </c>
      <c r="M53" s="121">
        <f t="shared" si="15"/>
        <v>347218.80258758657</v>
      </c>
      <c r="N53" s="121">
        <f t="shared" si="15"/>
        <v>333313.57715599833</v>
      </c>
      <c r="O53" s="121">
        <f t="shared" si="15"/>
        <v>319408.35172441008</v>
      </c>
      <c r="P53" s="121">
        <f t="shared" si="15"/>
        <v>305503.12629282178</v>
      </c>
      <c r="Q53" s="121">
        <f t="shared" si="15"/>
        <v>291597.90086123359</v>
      </c>
      <c r="R53" s="121">
        <f t="shared" si="15"/>
        <v>277692.67542964529</v>
      </c>
      <c r="S53" s="121">
        <f t="shared" si="15"/>
        <v>263787.4499980571</v>
      </c>
      <c r="T53" s="121">
        <f t="shared" si="15"/>
        <v>249882.22456646877</v>
      </c>
      <c r="U53" s="121">
        <f t="shared" si="15"/>
        <v>235976.99913488052</v>
      </c>
      <c r="V53" s="121">
        <f t="shared" si="15"/>
        <v>222071.77370329227</v>
      </c>
      <c r="W53" s="121">
        <f t="shared" si="15"/>
        <v>208166.548271704</v>
      </c>
      <c r="X53" s="121">
        <f t="shared" si="15"/>
        <v>194261.3228401157</v>
      </c>
      <c r="Y53" s="121">
        <f t="shared" si="15"/>
        <v>181466.25903421504</v>
      </c>
      <c r="Z53" s="121">
        <f t="shared" si="15"/>
        <v>170891.02087250637</v>
      </c>
      <c r="AA53" s="121">
        <f t="shared" si="15"/>
        <v>161425.94433648532</v>
      </c>
      <c r="AB53" s="121">
        <f t="shared" si="15"/>
        <v>151960.86780046421</v>
      </c>
      <c r="AC53" s="121">
        <f t="shared" si="15"/>
        <v>142495.79126444313</v>
      </c>
      <c r="AD53" s="121">
        <f t="shared" si="15"/>
        <v>133030.71472842208</v>
      </c>
      <c r="AE53" s="121">
        <f t="shared" si="15"/>
        <v>123565.63819240098</v>
      </c>
      <c r="AF53" s="121">
        <f t="shared" si="15"/>
        <v>114100.56165637991</v>
      </c>
      <c r="AG53" s="121">
        <f t="shared" si="15"/>
        <v>104635.48512035882</v>
      </c>
      <c r="AH53" s="121">
        <f t="shared" si="15"/>
        <v>95170.40858433774</v>
      </c>
      <c r="AI53" s="121">
        <f t="shared" si="15"/>
        <v>85705.332048316675</v>
      </c>
      <c r="AJ53" s="121">
        <f t="shared" si="15"/>
        <v>76240.255512295596</v>
      </c>
      <c r="AK53" s="121">
        <f t="shared" si="15"/>
        <v>66775.178976274517</v>
      </c>
      <c r="AL53" s="121">
        <f t="shared" si="15"/>
        <v>57310.102440253446</v>
      </c>
      <c r="AM53" s="121">
        <f t="shared" si="15"/>
        <v>47845.025904232418</v>
      </c>
      <c r="AN53" s="121">
        <f t="shared" si="15"/>
        <v>38379.949368211295</v>
      </c>
      <c r="AO53" s="121">
        <f t="shared" si="15"/>
        <v>28914.872832190173</v>
      </c>
      <c r="AP53" s="121">
        <f t="shared" si="15"/>
        <v>19449.79629616905</v>
      </c>
      <c r="AQ53" s="121">
        <f t="shared" si="15"/>
        <v>9984.7197601479238</v>
      </c>
      <c r="AR53" s="121">
        <f t="shared" si="15"/>
        <v>2475.4416816067646</v>
      </c>
      <c r="AS53" s="121"/>
      <c r="AT53" s="126">
        <f t="shared" si="13"/>
        <v>8367617.7477082433</v>
      </c>
    </row>
    <row r="54" spans="1:46" x14ac:dyDescent="0.2">
      <c r="A54" s="486">
        <f t="shared" si="10"/>
        <v>24</v>
      </c>
      <c r="B54" s="21" t="s">
        <v>67</v>
      </c>
      <c r="C54" s="21"/>
      <c r="D54" s="523"/>
      <c r="E54" s="57">
        <f>E52-E53</f>
        <v>1757987.1423097299</v>
      </c>
      <c r="F54" s="123">
        <f t="shared" ref="F54:AR54" si="16">F52-F53</f>
        <v>1701846.9971410376</v>
      </c>
      <c r="G54" s="123">
        <f t="shared" si="16"/>
        <v>1640227.6518871267</v>
      </c>
      <c r="H54" s="123">
        <f t="shared" si="16"/>
        <v>1580558.8794001434</v>
      </c>
      <c r="I54" s="123">
        <f t="shared" si="16"/>
        <v>1522694.6675151931</v>
      </c>
      <c r="J54" s="123">
        <f t="shared" si="16"/>
        <v>1466500.2357723736</v>
      </c>
      <c r="K54" s="123">
        <f t="shared" si="16"/>
        <v>1411850.1634659413</v>
      </c>
      <c r="L54" s="123">
        <f t="shared" si="16"/>
        <v>1358628.3896443138</v>
      </c>
      <c r="M54" s="123">
        <f t="shared" si="16"/>
        <v>1306204.0668771113</v>
      </c>
      <c r="N54" s="123">
        <f t="shared" si="16"/>
        <v>1253893.9331106604</v>
      </c>
      <c r="O54" s="123">
        <f t="shared" si="16"/>
        <v>1201583.7993442095</v>
      </c>
      <c r="P54" s="123">
        <f t="shared" si="16"/>
        <v>1149273.6655777583</v>
      </c>
      <c r="Q54" s="123">
        <f t="shared" si="16"/>
        <v>1096963.5318113072</v>
      </c>
      <c r="R54" s="123">
        <f t="shared" si="16"/>
        <v>1044653.3980448563</v>
      </c>
      <c r="S54" s="123">
        <f t="shared" si="16"/>
        <v>992343.26427840523</v>
      </c>
      <c r="T54" s="123">
        <f t="shared" si="16"/>
        <v>940033.13051195396</v>
      </c>
      <c r="U54" s="123">
        <f t="shared" si="16"/>
        <v>887722.99674550304</v>
      </c>
      <c r="V54" s="123">
        <f t="shared" si="16"/>
        <v>835412.86297905189</v>
      </c>
      <c r="W54" s="123">
        <f t="shared" si="16"/>
        <v>783102.72921260074</v>
      </c>
      <c r="X54" s="123">
        <f t="shared" si="16"/>
        <v>730792.59544614959</v>
      </c>
      <c r="Y54" s="123">
        <f t="shared" si="16"/>
        <v>682658.78398585669</v>
      </c>
      <c r="Z54" s="123">
        <f t="shared" si="16"/>
        <v>642875.74518704787</v>
      </c>
      <c r="AA54" s="123">
        <f t="shared" si="16"/>
        <v>607269.02869439719</v>
      </c>
      <c r="AB54" s="123">
        <f t="shared" si="16"/>
        <v>571662.31220174627</v>
      </c>
      <c r="AC54" s="123">
        <f t="shared" si="16"/>
        <v>536055.59570909571</v>
      </c>
      <c r="AD54" s="123">
        <f t="shared" si="16"/>
        <v>500448.87921644491</v>
      </c>
      <c r="AE54" s="123">
        <f t="shared" si="16"/>
        <v>464842.16272379417</v>
      </c>
      <c r="AF54" s="123">
        <f t="shared" si="16"/>
        <v>429235.44623114349</v>
      </c>
      <c r="AG54" s="123">
        <f t="shared" si="16"/>
        <v>393628.72973849275</v>
      </c>
      <c r="AH54" s="123">
        <f t="shared" si="16"/>
        <v>358022.01324584201</v>
      </c>
      <c r="AI54" s="123">
        <f t="shared" si="16"/>
        <v>322415.29675319133</v>
      </c>
      <c r="AJ54" s="123">
        <f t="shared" si="16"/>
        <v>286808.58026054059</v>
      </c>
      <c r="AK54" s="123">
        <f t="shared" si="16"/>
        <v>251201.86376788991</v>
      </c>
      <c r="AL54" s="123">
        <f t="shared" si="16"/>
        <v>215595.14727523914</v>
      </c>
      <c r="AM54" s="123">
        <f t="shared" si="16"/>
        <v>179988.43078258861</v>
      </c>
      <c r="AN54" s="123">
        <f t="shared" si="16"/>
        <v>144381.71428993775</v>
      </c>
      <c r="AO54" s="123">
        <f t="shared" si="16"/>
        <v>108774.99779728685</v>
      </c>
      <c r="AP54" s="123">
        <f t="shared" si="16"/>
        <v>73168.281304635952</v>
      </c>
      <c r="AQ54" s="123">
        <f t="shared" si="16"/>
        <v>37561.564811985052</v>
      </c>
      <c r="AR54" s="123">
        <f t="shared" si="16"/>
        <v>9312.3758498540192</v>
      </c>
      <c r="AS54" s="123"/>
      <c r="AT54" s="126">
        <f t="shared" si="13"/>
        <v>31478181.050902441</v>
      </c>
    </row>
    <row r="55" spans="1:46" x14ac:dyDescent="0.2">
      <c r="A55" s="486">
        <f t="shared" si="10"/>
        <v>25</v>
      </c>
      <c r="B55" s="21"/>
      <c r="C55" s="21"/>
      <c r="D55" s="523"/>
      <c r="E55" s="526"/>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126">
        <f t="shared" si="13"/>
        <v>0</v>
      </c>
    </row>
    <row r="56" spans="1:46" x14ac:dyDescent="0.2">
      <c r="A56" s="486">
        <f t="shared" si="10"/>
        <v>26</v>
      </c>
      <c r="B56" s="21"/>
      <c r="C56" s="21"/>
      <c r="D56" s="523"/>
      <c r="E56" s="108"/>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126">
        <f t="shared" si="13"/>
        <v>0</v>
      </c>
    </row>
    <row r="57" spans="1:46" x14ac:dyDescent="0.2">
      <c r="A57" s="486">
        <f t="shared" si="10"/>
        <v>27</v>
      </c>
      <c r="B57" s="21" t="s">
        <v>68</v>
      </c>
      <c r="C57" s="21"/>
      <c r="D57" s="523"/>
      <c r="E57" s="526">
        <f>E27+E28</f>
        <v>988416.51378666307</v>
      </c>
      <c r="F57" s="123">
        <f>F27</f>
        <v>988416.51378666307</v>
      </c>
      <c r="G57" s="123">
        <f>G27</f>
        <v>988416.51378666307</v>
      </c>
      <c r="H57" s="123">
        <f t="shared" ref="H57:AR57" si="17">H27</f>
        <v>988416.51378666307</v>
      </c>
      <c r="I57" s="123">
        <f t="shared" si="17"/>
        <v>988416.51378666307</v>
      </c>
      <c r="J57" s="123">
        <f t="shared" si="17"/>
        <v>988416.51378666307</v>
      </c>
      <c r="K57" s="123">
        <f t="shared" si="17"/>
        <v>988416.51378666307</v>
      </c>
      <c r="L57" s="123">
        <f t="shared" si="17"/>
        <v>988416.51378666307</v>
      </c>
      <c r="M57" s="123">
        <f t="shared" si="17"/>
        <v>988416.51378666307</v>
      </c>
      <c r="N57" s="123">
        <f t="shared" si="17"/>
        <v>988416.51378666307</v>
      </c>
      <c r="O57" s="123">
        <f t="shared" si="17"/>
        <v>988416.51378666307</v>
      </c>
      <c r="P57" s="123">
        <f t="shared" si="17"/>
        <v>988416.51378666307</v>
      </c>
      <c r="Q57" s="123">
        <f t="shared" si="17"/>
        <v>988416.51378666307</v>
      </c>
      <c r="R57" s="123">
        <f t="shared" si="17"/>
        <v>988416.51378666307</v>
      </c>
      <c r="S57" s="123">
        <f t="shared" si="17"/>
        <v>988416.51378666307</v>
      </c>
      <c r="T57" s="123">
        <f t="shared" si="17"/>
        <v>988416.51378666307</v>
      </c>
      <c r="U57" s="123">
        <f t="shared" si="17"/>
        <v>988416.51378666307</v>
      </c>
      <c r="V57" s="123">
        <f t="shared" si="17"/>
        <v>988416.51378666307</v>
      </c>
      <c r="W57" s="123">
        <f t="shared" si="17"/>
        <v>988416.51378666307</v>
      </c>
      <c r="X57" s="123">
        <f t="shared" si="17"/>
        <v>988416.51378666307</v>
      </c>
      <c r="Y57" s="123">
        <f t="shared" si="17"/>
        <v>988416.51378666307</v>
      </c>
      <c r="Z57" s="123">
        <f t="shared" si="17"/>
        <v>988416.51378666307</v>
      </c>
      <c r="AA57" s="123">
        <f t="shared" si="17"/>
        <v>988416.51378666307</v>
      </c>
      <c r="AB57" s="123">
        <f t="shared" si="17"/>
        <v>988416.51378666307</v>
      </c>
      <c r="AC57" s="123">
        <f t="shared" si="17"/>
        <v>988416.51378666307</v>
      </c>
      <c r="AD57" s="123">
        <f t="shared" si="17"/>
        <v>988416.51378666307</v>
      </c>
      <c r="AE57" s="123">
        <f t="shared" si="17"/>
        <v>988416.51378666307</v>
      </c>
      <c r="AF57" s="123">
        <f t="shared" si="17"/>
        <v>988416.51378666307</v>
      </c>
      <c r="AG57" s="123">
        <f t="shared" si="17"/>
        <v>988416.51378666307</v>
      </c>
      <c r="AH57" s="123">
        <f t="shared" si="17"/>
        <v>988416.51378666307</v>
      </c>
      <c r="AI57" s="123">
        <f t="shared" si="17"/>
        <v>988416.51378666307</v>
      </c>
      <c r="AJ57" s="123">
        <f t="shared" si="17"/>
        <v>988416.51378666307</v>
      </c>
      <c r="AK57" s="123">
        <f t="shared" si="17"/>
        <v>988416.51378666307</v>
      </c>
      <c r="AL57" s="123">
        <f t="shared" si="17"/>
        <v>988416.51378666307</v>
      </c>
      <c r="AM57" s="123">
        <f t="shared" si="17"/>
        <v>988416.51378666307</v>
      </c>
      <c r="AN57" s="123">
        <f t="shared" si="17"/>
        <v>988416.51378666307</v>
      </c>
      <c r="AO57" s="123">
        <f t="shared" si="17"/>
        <v>988416.51378666307</v>
      </c>
      <c r="AP57" s="123">
        <f t="shared" si="17"/>
        <v>988416.51378666307</v>
      </c>
      <c r="AQ57" s="123">
        <f t="shared" si="17"/>
        <v>988416.51378666307</v>
      </c>
      <c r="AR57" s="123">
        <f t="shared" si="17"/>
        <v>579937.30378666311</v>
      </c>
      <c r="AS57" s="123"/>
      <c r="AT57" s="126">
        <f t="shared" si="13"/>
        <v>39128181.341466524</v>
      </c>
    </row>
    <row r="58" spans="1:46" x14ac:dyDescent="0.2">
      <c r="A58" s="486">
        <f t="shared" si="10"/>
        <v>28</v>
      </c>
      <c r="B58" s="21" t="s">
        <v>69</v>
      </c>
      <c r="C58" s="21"/>
      <c r="D58" s="523"/>
      <c r="E58" s="57">
        <f>$F22*E62</f>
        <v>1466126.9047499986</v>
      </c>
      <c r="F58" s="123">
        <f t="shared" ref="F58:AR58" si="18">$F22*F62</f>
        <v>2822392.0334373973</v>
      </c>
      <c r="G58" s="123">
        <f t="shared" si="18"/>
        <v>2610487.8248041975</v>
      </c>
      <c r="H58" s="123">
        <f t="shared" si="18"/>
        <v>2415004.2375041978</v>
      </c>
      <c r="I58" s="123">
        <f t="shared" si="18"/>
        <v>2233595.4684897978</v>
      </c>
      <c r="J58" s="123">
        <f t="shared" si="18"/>
        <v>2066261.5177609981</v>
      </c>
      <c r="K58" s="123">
        <f t="shared" si="18"/>
        <v>1911047.5494447981</v>
      </c>
      <c r="L58" s="123">
        <f t="shared" si="18"/>
        <v>1767953.5635411984</v>
      </c>
      <c r="M58" s="123">
        <f t="shared" si="18"/>
        <v>1744495.5330651985</v>
      </c>
      <c r="N58" s="123">
        <f t="shared" si="18"/>
        <v>1744104.5658905986</v>
      </c>
      <c r="O58" s="123">
        <f t="shared" si="18"/>
        <v>1744495.5330651985</v>
      </c>
      <c r="P58" s="123">
        <f t="shared" si="18"/>
        <v>1744104.5658905986</v>
      </c>
      <c r="Q58" s="123">
        <f t="shared" si="18"/>
        <v>1744495.5330651985</v>
      </c>
      <c r="R58" s="123">
        <f t="shared" si="18"/>
        <v>1744104.5658905986</v>
      </c>
      <c r="S58" s="123">
        <f t="shared" si="18"/>
        <v>1744495.5330651985</v>
      </c>
      <c r="T58" s="123">
        <f t="shared" si="18"/>
        <v>1744104.5658905986</v>
      </c>
      <c r="U58" s="123">
        <f t="shared" si="18"/>
        <v>1744495.5330651985</v>
      </c>
      <c r="V58" s="123">
        <f t="shared" si="18"/>
        <v>1744104.5658905986</v>
      </c>
      <c r="W58" s="123">
        <f t="shared" si="18"/>
        <v>1744495.5330651985</v>
      </c>
      <c r="X58" s="123">
        <f t="shared" si="18"/>
        <v>1744104.5658905986</v>
      </c>
      <c r="Y58" s="123">
        <f t="shared" si="18"/>
        <v>872247.76653259923</v>
      </c>
      <c r="Z58" s="123">
        <f t="shared" si="18"/>
        <v>0</v>
      </c>
      <c r="AA58" s="123">
        <f t="shared" si="18"/>
        <v>0</v>
      </c>
      <c r="AB58" s="123">
        <f t="shared" si="18"/>
        <v>0</v>
      </c>
      <c r="AC58" s="123">
        <f t="shared" si="18"/>
        <v>0</v>
      </c>
      <c r="AD58" s="123">
        <f t="shared" si="18"/>
        <v>0</v>
      </c>
      <c r="AE58" s="123">
        <f t="shared" si="18"/>
        <v>0</v>
      </c>
      <c r="AF58" s="123">
        <f t="shared" si="18"/>
        <v>0</v>
      </c>
      <c r="AG58" s="123">
        <f t="shared" si="18"/>
        <v>0</v>
      </c>
      <c r="AH58" s="123">
        <f t="shared" si="18"/>
        <v>0</v>
      </c>
      <c r="AI58" s="123">
        <f t="shared" si="18"/>
        <v>0</v>
      </c>
      <c r="AJ58" s="123">
        <f t="shared" si="18"/>
        <v>0</v>
      </c>
      <c r="AK58" s="123">
        <f t="shared" si="18"/>
        <v>0</v>
      </c>
      <c r="AL58" s="123">
        <f t="shared" si="18"/>
        <v>0</v>
      </c>
      <c r="AM58" s="123">
        <f t="shared" si="18"/>
        <v>0</v>
      </c>
      <c r="AN58" s="123">
        <f t="shared" si="18"/>
        <v>0</v>
      </c>
      <c r="AO58" s="123">
        <f t="shared" si="18"/>
        <v>0</v>
      </c>
      <c r="AP58" s="123">
        <f t="shared" si="18"/>
        <v>0</v>
      </c>
      <c r="AQ58" s="123">
        <f t="shared" si="18"/>
        <v>0</v>
      </c>
      <c r="AR58" s="123">
        <f t="shared" si="18"/>
        <v>0</v>
      </c>
      <c r="AS58" s="123"/>
      <c r="AT58" s="126">
        <f t="shared" si="13"/>
        <v>39096717.459999971</v>
      </c>
    </row>
    <row r="59" spans="1:46" x14ac:dyDescent="0.2">
      <c r="A59" s="486">
        <f t="shared" si="10"/>
        <v>29</v>
      </c>
      <c r="B59" s="21" t="s">
        <v>70</v>
      </c>
      <c r="C59" s="21"/>
      <c r="D59" s="523"/>
      <c r="E59" s="57">
        <f>E58-E57</f>
        <v>477710.39096333552</v>
      </c>
      <c r="F59" s="123">
        <f>F58-F57</f>
        <v>1833975.5196507343</v>
      </c>
      <c r="G59" s="123">
        <f>G58-G57</f>
        <v>1622071.3110175345</v>
      </c>
      <c r="H59" s="123">
        <f t="shared" ref="H59:AR59" si="19">H58-H57</f>
        <v>1426587.7237175347</v>
      </c>
      <c r="I59" s="123">
        <f t="shared" si="19"/>
        <v>1245178.9547031347</v>
      </c>
      <c r="J59" s="123">
        <f t="shared" si="19"/>
        <v>1077845.003974335</v>
      </c>
      <c r="K59" s="123">
        <f t="shared" si="19"/>
        <v>922631.03565813508</v>
      </c>
      <c r="L59" s="123">
        <f t="shared" si="19"/>
        <v>779537.04975453531</v>
      </c>
      <c r="M59" s="123">
        <f t="shared" si="19"/>
        <v>756079.01927853539</v>
      </c>
      <c r="N59" s="123">
        <f t="shared" si="19"/>
        <v>755688.05210393551</v>
      </c>
      <c r="O59" s="123">
        <f t="shared" si="19"/>
        <v>756079.01927853539</v>
      </c>
      <c r="P59" s="123">
        <f t="shared" si="19"/>
        <v>755688.05210393551</v>
      </c>
      <c r="Q59" s="123">
        <f t="shared" si="19"/>
        <v>756079.01927853539</v>
      </c>
      <c r="R59" s="123">
        <f t="shared" si="19"/>
        <v>755688.05210393551</v>
      </c>
      <c r="S59" s="123">
        <f t="shared" si="19"/>
        <v>756079.01927853539</v>
      </c>
      <c r="T59" s="123">
        <f t="shared" si="19"/>
        <v>755688.05210393551</v>
      </c>
      <c r="U59" s="123">
        <f t="shared" si="19"/>
        <v>756079.01927853539</v>
      </c>
      <c r="V59" s="123">
        <f t="shared" si="19"/>
        <v>755688.05210393551</v>
      </c>
      <c r="W59" s="123">
        <f t="shared" si="19"/>
        <v>756079.01927853539</v>
      </c>
      <c r="X59" s="123">
        <f t="shared" si="19"/>
        <v>755688.05210393551</v>
      </c>
      <c r="Y59" s="123">
        <f t="shared" si="19"/>
        <v>-116168.74725406384</v>
      </c>
      <c r="Z59" s="123">
        <f t="shared" si="19"/>
        <v>-988416.51378666307</v>
      </c>
      <c r="AA59" s="123">
        <f t="shared" si="19"/>
        <v>-988416.51378666307</v>
      </c>
      <c r="AB59" s="123">
        <f t="shared" si="19"/>
        <v>-988416.51378666307</v>
      </c>
      <c r="AC59" s="123">
        <f t="shared" si="19"/>
        <v>-988416.51378666307</v>
      </c>
      <c r="AD59" s="123">
        <f t="shared" si="19"/>
        <v>-988416.51378666307</v>
      </c>
      <c r="AE59" s="123">
        <f t="shared" si="19"/>
        <v>-988416.51378666307</v>
      </c>
      <c r="AF59" s="123">
        <f t="shared" si="19"/>
        <v>-988416.51378666307</v>
      </c>
      <c r="AG59" s="123">
        <f t="shared" si="19"/>
        <v>-988416.51378666307</v>
      </c>
      <c r="AH59" s="123">
        <f t="shared" si="19"/>
        <v>-988416.51378666307</v>
      </c>
      <c r="AI59" s="123">
        <f t="shared" si="19"/>
        <v>-988416.51378666307</v>
      </c>
      <c r="AJ59" s="123">
        <f t="shared" si="19"/>
        <v>-988416.51378666307</v>
      </c>
      <c r="AK59" s="123">
        <f t="shared" si="19"/>
        <v>-988416.51378666307</v>
      </c>
      <c r="AL59" s="123">
        <f t="shared" si="19"/>
        <v>-988416.51378666307</v>
      </c>
      <c r="AM59" s="123">
        <f t="shared" si="19"/>
        <v>-988416.51378666307</v>
      </c>
      <c r="AN59" s="123">
        <f t="shared" si="19"/>
        <v>-988416.51378666307</v>
      </c>
      <c r="AO59" s="123">
        <f t="shared" si="19"/>
        <v>-988416.51378666307</v>
      </c>
      <c r="AP59" s="123">
        <f t="shared" si="19"/>
        <v>-988416.51378666307</v>
      </c>
      <c r="AQ59" s="123">
        <f t="shared" si="19"/>
        <v>-988416.51378666307</v>
      </c>
      <c r="AR59" s="123">
        <f t="shared" si="19"/>
        <v>-579937.30378666311</v>
      </c>
      <c r="AS59" s="123"/>
      <c r="AT59" s="126">
        <f t="shared" si="13"/>
        <v>-31463.881466550054</v>
      </c>
    </row>
    <row r="60" spans="1:46" x14ac:dyDescent="0.2">
      <c r="A60" s="486">
        <f t="shared" si="10"/>
        <v>30</v>
      </c>
      <c r="B60" s="21" t="s">
        <v>71</v>
      </c>
      <c r="C60" s="21"/>
      <c r="D60" s="523"/>
      <c r="E60" s="57">
        <f>E59*F15</f>
        <v>100319.18210230046</v>
      </c>
      <c r="F60" s="123">
        <f t="shared" ref="F60:AR60" si="20">F59*$F$15</f>
        <v>385134.85912665416</v>
      </c>
      <c r="G60" s="123">
        <f t="shared" si="20"/>
        <v>340634.97531368223</v>
      </c>
      <c r="H60" s="123">
        <f t="shared" si="20"/>
        <v>299583.42198068229</v>
      </c>
      <c r="I60" s="123">
        <f t="shared" si="20"/>
        <v>261487.58048765827</v>
      </c>
      <c r="J60" s="123">
        <f t="shared" si="20"/>
        <v>226347.45083461035</v>
      </c>
      <c r="K60" s="123">
        <f t="shared" si="20"/>
        <v>193752.51748820837</v>
      </c>
      <c r="L60" s="123">
        <f t="shared" si="20"/>
        <v>163702.78044845242</v>
      </c>
      <c r="M60" s="123">
        <f t="shared" si="20"/>
        <v>158776.59404849244</v>
      </c>
      <c r="N60" s="123">
        <f t="shared" si="20"/>
        <v>158694.49094182646</v>
      </c>
      <c r="O60" s="123">
        <f t="shared" si="20"/>
        <v>158776.59404849244</v>
      </c>
      <c r="P60" s="123">
        <f t="shared" si="20"/>
        <v>158694.49094182646</v>
      </c>
      <c r="Q60" s="123">
        <f t="shared" si="20"/>
        <v>158776.59404849244</v>
      </c>
      <c r="R60" s="123">
        <f t="shared" si="20"/>
        <v>158694.49094182646</v>
      </c>
      <c r="S60" s="123">
        <f t="shared" si="20"/>
        <v>158776.59404849244</v>
      </c>
      <c r="T60" s="123">
        <f t="shared" si="20"/>
        <v>158694.49094182646</v>
      </c>
      <c r="U60" s="123">
        <f t="shared" si="20"/>
        <v>158776.59404849244</v>
      </c>
      <c r="V60" s="123">
        <f t="shared" si="20"/>
        <v>158694.49094182646</v>
      </c>
      <c r="W60" s="123">
        <f t="shared" si="20"/>
        <v>158776.59404849244</v>
      </c>
      <c r="X60" s="123">
        <f t="shared" si="20"/>
        <v>158694.49094182646</v>
      </c>
      <c r="Y60" s="123">
        <f t="shared" si="20"/>
        <v>-24395.436923353405</v>
      </c>
      <c r="Z60" s="123">
        <f t="shared" si="20"/>
        <v>-207567.46789519922</v>
      </c>
      <c r="AA60" s="123">
        <f t="shared" si="20"/>
        <v>-207567.46789519922</v>
      </c>
      <c r="AB60" s="123">
        <f t="shared" si="20"/>
        <v>-207567.46789519922</v>
      </c>
      <c r="AC60" s="123">
        <f t="shared" si="20"/>
        <v>-207567.46789519922</v>
      </c>
      <c r="AD60" s="123">
        <f t="shared" si="20"/>
        <v>-207567.46789519922</v>
      </c>
      <c r="AE60" s="123">
        <f t="shared" si="20"/>
        <v>-207567.46789519922</v>
      </c>
      <c r="AF60" s="123">
        <f t="shared" si="20"/>
        <v>-207567.46789519922</v>
      </c>
      <c r="AG60" s="123">
        <f t="shared" si="20"/>
        <v>-207567.46789519922</v>
      </c>
      <c r="AH60" s="123">
        <f t="shared" si="20"/>
        <v>-207567.46789519922</v>
      </c>
      <c r="AI60" s="123">
        <f t="shared" si="20"/>
        <v>-207567.46789519922</v>
      </c>
      <c r="AJ60" s="123">
        <f t="shared" si="20"/>
        <v>-207567.46789519922</v>
      </c>
      <c r="AK60" s="123">
        <f t="shared" si="20"/>
        <v>-207567.46789519922</v>
      </c>
      <c r="AL60" s="123">
        <f t="shared" si="20"/>
        <v>-207567.46789519922</v>
      </c>
      <c r="AM60" s="123">
        <f t="shared" si="20"/>
        <v>-207567.46789519922</v>
      </c>
      <c r="AN60" s="123">
        <f t="shared" si="20"/>
        <v>-207567.46789519922</v>
      </c>
      <c r="AO60" s="123">
        <f t="shared" si="20"/>
        <v>-207567.46789519922</v>
      </c>
      <c r="AP60" s="123">
        <f t="shared" si="20"/>
        <v>-207567.46789519922</v>
      </c>
      <c r="AQ60" s="123">
        <f t="shared" si="20"/>
        <v>-207567.46789519922</v>
      </c>
      <c r="AR60" s="123">
        <f t="shared" si="20"/>
        <v>-121786.83379519924</v>
      </c>
      <c r="AS60" s="123"/>
      <c r="AT60" s="126">
        <f t="shared" si="13"/>
        <v>-6607.4151079766307</v>
      </c>
    </row>
    <row r="61" spans="1:46" x14ac:dyDescent="0.2">
      <c r="A61" s="486">
        <f t="shared" si="10"/>
        <v>31</v>
      </c>
      <c r="B61" s="21"/>
      <c r="C61" s="21"/>
      <c r="D61" s="523"/>
      <c r="E61" s="108"/>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523"/>
    </row>
    <row r="62" spans="1:46" s="69" customFormat="1" x14ac:dyDescent="0.2">
      <c r="A62" s="486">
        <f t="shared" si="10"/>
        <v>32</v>
      </c>
      <c r="B62" s="21" t="str">
        <f t="shared" ref="B62" si="21">IF($F$18=1,B66,B65)</f>
        <v>MACRS Depreciation - 20</v>
      </c>
      <c r="C62" s="21"/>
      <c r="D62" s="66"/>
      <c r="E62" s="81">
        <f t="shared" ref="E62:Y62" si="22">IF($F$18=1,E66,E65)</f>
        <v>3.7499999999999999E-2</v>
      </c>
      <c r="F62" s="77">
        <f t="shared" si="22"/>
        <v>7.2190000000000004E-2</v>
      </c>
      <c r="G62" s="77">
        <f t="shared" si="22"/>
        <v>6.6769999999999996E-2</v>
      </c>
      <c r="H62" s="80">
        <f t="shared" si="22"/>
        <v>6.1769999999999999E-2</v>
      </c>
      <c r="I62" s="80">
        <f t="shared" si="22"/>
        <v>5.713E-2</v>
      </c>
      <c r="J62" s="80">
        <f t="shared" si="22"/>
        <v>5.2850000000000001E-2</v>
      </c>
      <c r="K62" s="80">
        <f t="shared" si="22"/>
        <v>4.888E-2</v>
      </c>
      <c r="L62" s="80">
        <f t="shared" si="22"/>
        <v>4.5220000000000003E-2</v>
      </c>
      <c r="M62" s="80">
        <f t="shared" si="22"/>
        <v>4.462E-2</v>
      </c>
      <c r="N62" s="80">
        <f t="shared" si="22"/>
        <v>4.4610000000000004E-2</v>
      </c>
      <c r="O62" s="80">
        <f t="shared" si="22"/>
        <v>4.462E-2</v>
      </c>
      <c r="P62" s="80">
        <f t="shared" si="22"/>
        <v>4.4610000000000004E-2</v>
      </c>
      <c r="Q62" s="80">
        <f t="shared" si="22"/>
        <v>4.462E-2</v>
      </c>
      <c r="R62" s="80">
        <f t="shared" si="22"/>
        <v>4.4610000000000004E-2</v>
      </c>
      <c r="S62" s="80">
        <f t="shared" si="22"/>
        <v>4.462E-2</v>
      </c>
      <c r="T62" s="80">
        <f t="shared" si="22"/>
        <v>4.4610000000000004E-2</v>
      </c>
      <c r="U62" s="80">
        <f t="shared" si="22"/>
        <v>4.462E-2</v>
      </c>
      <c r="V62" s="80">
        <f t="shared" si="22"/>
        <v>4.4610000000000004E-2</v>
      </c>
      <c r="W62" s="80">
        <f t="shared" si="22"/>
        <v>4.462E-2</v>
      </c>
      <c r="X62" s="80">
        <f t="shared" si="22"/>
        <v>4.4610000000000004E-2</v>
      </c>
      <c r="Y62" s="80">
        <f t="shared" si="22"/>
        <v>2.231E-2</v>
      </c>
      <c r="Z62" s="67"/>
      <c r="AA62" s="67"/>
      <c r="AB62" s="67"/>
      <c r="AC62" s="67"/>
      <c r="AD62" s="67"/>
      <c r="AE62" s="67"/>
      <c r="AF62" s="67"/>
      <c r="AG62" s="67"/>
      <c r="AH62" s="67"/>
      <c r="AI62" s="67"/>
      <c r="AJ62" s="67"/>
      <c r="AK62" s="67"/>
      <c r="AL62" s="67"/>
      <c r="AM62" s="67"/>
      <c r="AN62" s="67"/>
      <c r="AO62" s="67"/>
      <c r="AP62" s="66"/>
    </row>
    <row r="63" spans="1:46" outlineLevel="1" x14ac:dyDescent="0.25">
      <c r="A63" s="486">
        <f t="shared" si="10"/>
        <v>33</v>
      </c>
      <c r="B63" s="21"/>
      <c r="C63" s="527"/>
      <c r="E63" s="528"/>
      <c r="F63" s="529"/>
      <c r="G63" s="529"/>
      <c r="H63" s="529"/>
      <c r="I63" s="529"/>
      <c r="J63" s="529"/>
      <c r="K63" s="529"/>
      <c r="L63" s="529"/>
      <c r="M63" s="530"/>
      <c r="N63" s="530"/>
      <c r="O63" s="530"/>
      <c r="P63" s="530"/>
      <c r="Q63" s="530"/>
      <c r="R63" s="530"/>
      <c r="S63" s="530"/>
      <c r="T63" s="530"/>
      <c r="U63" s="530"/>
      <c r="V63" s="530"/>
      <c r="W63" s="530"/>
      <c r="X63" s="530"/>
      <c r="Y63" s="530"/>
      <c r="Z63" s="523"/>
      <c r="AA63" s="523"/>
      <c r="AB63" s="523"/>
      <c r="AC63" s="523"/>
      <c r="AD63" s="523"/>
      <c r="AE63" s="523"/>
      <c r="AF63" s="523"/>
      <c r="AG63" s="523"/>
      <c r="AH63" s="523"/>
      <c r="AI63" s="523"/>
      <c r="AJ63" s="523"/>
      <c r="AK63" s="523"/>
      <c r="AL63" s="523"/>
      <c r="AM63" s="523"/>
      <c r="AN63" s="523"/>
      <c r="AO63" s="22"/>
    </row>
    <row r="64" spans="1:46" outlineLevel="1" x14ac:dyDescent="0.25">
      <c r="A64" s="486">
        <f t="shared" si="10"/>
        <v>34</v>
      </c>
      <c r="B64" s="21"/>
      <c r="C64" s="527"/>
      <c r="E64" s="528"/>
      <c r="F64" s="529"/>
      <c r="G64" s="529"/>
      <c r="H64" s="529"/>
      <c r="I64" s="529"/>
      <c r="J64" s="529"/>
      <c r="K64" s="529"/>
      <c r="L64" s="529"/>
      <c r="M64" s="530"/>
      <c r="N64" s="530"/>
      <c r="O64" s="530"/>
      <c r="P64" s="530"/>
      <c r="Q64" s="530"/>
      <c r="R64" s="530"/>
      <c r="S64" s="530"/>
      <c r="T64" s="530"/>
      <c r="U64" s="530"/>
      <c r="V64" s="530"/>
      <c r="W64" s="530"/>
      <c r="X64" s="530"/>
      <c r="Y64" s="530"/>
      <c r="Z64" s="523"/>
      <c r="AA64" s="523"/>
      <c r="AB64" s="523"/>
      <c r="AC64" s="523"/>
      <c r="AD64" s="523"/>
      <c r="AE64" s="523"/>
      <c r="AF64" s="523"/>
      <c r="AG64" s="523"/>
      <c r="AH64" s="523"/>
      <c r="AI64" s="523"/>
      <c r="AJ64" s="523"/>
      <c r="AK64" s="523"/>
      <c r="AL64" s="523"/>
      <c r="AM64" s="523"/>
      <c r="AN64" s="523"/>
      <c r="AO64" s="22"/>
    </row>
    <row r="65" spans="1:42" s="69" customFormat="1" x14ac:dyDescent="0.25">
      <c r="A65" s="486">
        <f t="shared" si="10"/>
        <v>35</v>
      </c>
      <c r="B65" s="21" t="s">
        <v>72</v>
      </c>
      <c r="C65" s="21"/>
      <c r="D65" s="70">
        <v>0</v>
      </c>
      <c r="E65" s="78">
        <f>'MACRS 20'!B5</f>
        <v>3.7499999999999999E-2</v>
      </c>
      <c r="F65" s="77">
        <f>'MACRS 20'!C5</f>
        <v>7.2190000000000004E-2</v>
      </c>
      <c r="G65" s="77">
        <f>'MACRS 20'!D5</f>
        <v>6.6769999999999996E-2</v>
      </c>
      <c r="H65" s="79">
        <f>'MACRS 20'!E5</f>
        <v>6.1769999999999999E-2</v>
      </c>
      <c r="I65" s="79">
        <f>'MACRS 20'!F5</f>
        <v>5.713E-2</v>
      </c>
      <c r="J65" s="79">
        <f>'MACRS 20'!G5</f>
        <v>5.2850000000000001E-2</v>
      </c>
      <c r="K65" s="79">
        <f>'MACRS 20'!H5</f>
        <v>4.888E-2</v>
      </c>
      <c r="L65" s="79">
        <f>'MACRS 20'!I5</f>
        <v>4.5220000000000003E-2</v>
      </c>
      <c r="M65" s="79">
        <f>'MACRS 20'!J5</f>
        <v>4.462E-2</v>
      </c>
      <c r="N65" s="79">
        <f>'MACRS 20'!K5</f>
        <v>4.4610000000000004E-2</v>
      </c>
      <c r="O65" s="79">
        <f>'MACRS 20'!L5</f>
        <v>4.462E-2</v>
      </c>
      <c r="P65" s="79">
        <f>'MACRS 20'!M5</f>
        <v>4.4610000000000004E-2</v>
      </c>
      <c r="Q65" s="79">
        <f>'MACRS 20'!N5</f>
        <v>4.462E-2</v>
      </c>
      <c r="R65" s="79">
        <f>'MACRS 20'!O5</f>
        <v>4.4610000000000004E-2</v>
      </c>
      <c r="S65" s="79">
        <f>'MACRS 20'!P5</f>
        <v>4.462E-2</v>
      </c>
      <c r="T65" s="79">
        <f>'MACRS 20'!Q5</f>
        <v>4.4610000000000004E-2</v>
      </c>
      <c r="U65" s="79">
        <f>'MACRS 20'!R5</f>
        <v>4.462E-2</v>
      </c>
      <c r="V65" s="79">
        <f>'MACRS 20'!S5</f>
        <v>4.4610000000000004E-2</v>
      </c>
      <c r="W65" s="79">
        <f>'MACRS 20'!T5</f>
        <v>4.462E-2</v>
      </c>
      <c r="X65" s="79">
        <f>'MACRS 20'!U5</f>
        <v>4.4610000000000004E-2</v>
      </c>
      <c r="Y65" s="79">
        <f>'MACRS 20'!V5</f>
        <v>2.231E-2</v>
      </c>
      <c r="Z65" s="71"/>
      <c r="AA65" s="67"/>
      <c r="AB65" s="67"/>
      <c r="AC65" s="67"/>
      <c r="AD65" s="67"/>
      <c r="AE65" s="67"/>
      <c r="AF65" s="67"/>
      <c r="AG65" s="67"/>
      <c r="AH65" s="67"/>
      <c r="AI65" s="67"/>
      <c r="AJ65" s="67"/>
      <c r="AK65" s="67"/>
      <c r="AL65" s="67"/>
      <c r="AM65" s="67"/>
      <c r="AN65" s="66"/>
      <c r="AP65" s="72"/>
    </row>
    <row r="66" spans="1:42" x14ac:dyDescent="0.2">
      <c r="A66" s="486">
        <f t="shared" si="10"/>
        <v>36</v>
      </c>
      <c r="B66" s="21" t="s">
        <v>73</v>
      </c>
      <c r="C66" s="21"/>
      <c r="D66" s="70">
        <v>0</v>
      </c>
      <c r="E66" s="78">
        <f>'MACRS 20'!B6</f>
        <v>0.51875000000000004</v>
      </c>
      <c r="F66" s="77">
        <f>'MACRS 20'!C6</f>
        <v>3.6095000000000002E-2</v>
      </c>
      <c r="G66" s="77">
        <f>'MACRS 20'!D6</f>
        <v>3.3384999999999998E-2</v>
      </c>
      <c r="H66" s="80">
        <f>'MACRS 20'!E6</f>
        <v>3.0884999999999999E-2</v>
      </c>
      <c r="I66" s="80">
        <f>'MACRS 20'!F6</f>
        <v>2.8565E-2</v>
      </c>
      <c r="J66" s="80">
        <f>'MACRS 20'!G6</f>
        <v>2.6425000000000001E-2</v>
      </c>
      <c r="K66" s="80">
        <f>'MACRS 20'!H6</f>
        <v>2.444E-2</v>
      </c>
      <c r="L66" s="80">
        <f>'MACRS 20'!I6</f>
        <v>2.2610000000000002E-2</v>
      </c>
      <c r="M66" s="80">
        <f>'MACRS 20'!J6</f>
        <v>2.231E-2</v>
      </c>
      <c r="N66" s="80">
        <f>'MACRS 20'!K6</f>
        <v>2.2305000000000002E-2</v>
      </c>
      <c r="O66" s="80">
        <f>'MACRS 20'!L6</f>
        <v>2.231E-2</v>
      </c>
      <c r="P66" s="80">
        <f>'MACRS 20'!M6</f>
        <v>2.2305000000000002E-2</v>
      </c>
      <c r="Q66" s="80">
        <f>'MACRS 20'!N6</f>
        <v>2.231E-2</v>
      </c>
      <c r="R66" s="80">
        <f>'MACRS 20'!O6</f>
        <v>2.2305000000000002E-2</v>
      </c>
      <c r="S66" s="80">
        <f>'MACRS 20'!P6</f>
        <v>2.231E-2</v>
      </c>
      <c r="T66" s="80">
        <f>'MACRS 20'!Q6</f>
        <v>2.2305000000000002E-2</v>
      </c>
      <c r="U66" s="80">
        <f>'MACRS 20'!R6</f>
        <v>2.231E-2</v>
      </c>
      <c r="V66" s="80">
        <f>'MACRS 20'!S6</f>
        <v>2.2305000000000002E-2</v>
      </c>
      <c r="W66" s="80">
        <f>'MACRS 20'!T6</f>
        <v>2.231E-2</v>
      </c>
      <c r="X66" s="80">
        <f>'MACRS 20'!U6</f>
        <v>2.2305000000000002E-2</v>
      </c>
      <c r="Y66" s="80">
        <f>'MACRS 20'!V6</f>
        <v>1.1155E-2</v>
      </c>
      <c r="Z66" s="68"/>
      <c r="AA66" s="68"/>
      <c r="AB66" s="73"/>
      <c r="AC66" s="73"/>
      <c r="AD66" s="73"/>
      <c r="AE66" s="73"/>
      <c r="AF66" s="73"/>
      <c r="AG66" s="73"/>
      <c r="AH66" s="73"/>
      <c r="AI66" s="73"/>
      <c r="AJ66" s="73"/>
      <c r="AK66" s="73"/>
      <c r="AL66" s="73"/>
      <c r="AM66" s="73"/>
      <c r="AN66" s="523"/>
      <c r="AO66" s="22"/>
      <c r="AP66" s="72">
        <f>SUM(D66:AO66)</f>
        <v>1.0000000000000004</v>
      </c>
    </row>
    <row r="69" spans="1:42" x14ac:dyDescent="0.25">
      <c r="B69" s="74"/>
    </row>
  </sheetData>
  <mergeCells count="1">
    <mergeCell ref="E1:F1"/>
  </mergeCells>
  <printOptions horizontalCentered="1"/>
  <pageMargins left="0.25" right="0.25" top="0.75" bottom="0.75" header="0.3" footer="0.3"/>
  <pageSetup scale="43" fitToWidth="2" orientation="landscape" blackAndWhite="1" r:id="rId1"/>
  <headerFooter alignWithMargins="0">
    <oddFooter>&amp;L&amp;A
&amp;F&amp;RPage &amp;P of &amp;N</oddFooter>
  </headerFooter>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zoomScale="96" zoomScaleNormal="96" workbookViewId="0">
      <selection activeCell="S42" sqref="S42"/>
    </sheetView>
  </sheetViews>
  <sheetFormatPr defaultColWidth="8.7109375" defaultRowHeight="12.75" x14ac:dyDescent="0.2"/>
  <cols>
    <col min="1" max="1" width="6.85546875" style="531" customWidth="1"/>
    <col min="2" max="2" width="29.5703125" style="531" customWidth="1"/>
    <col min="3" max="3" width="20" style="531" customWidth="1"/>
    <col min="4" max="4" width="18.7109375" style="524" bestFit="1" customWidth="1"/>
    <col min="5" max="5" width="14.5703125" style="524" customWidth="1"/>
    <col min="6" max="6" width="15.42578125" style="524" customWidth="1"/>
    <col min="7" max="7" width="14.42578125" style="524" customWidth="1"/>
    <col min="8" max="8" width="14.140625" style="524" bestFit="1" customWidth="1"/>
    <col min="9" max="9" width="3.7109375" style="524" customWidth="1"/>
    <col min="10" max="10" width="15.7109375" style="531" bestFit="1" customWidth="1"/>
    <col min="11" max="11" width="11.28515625" style="531" customWidth="1"/>
    <col min="12" max="12" width="8" style="531" bestFit="1" customWidth="1"/>
    <col min="13" max="13" width="14.85546875" style="531" bestFit="1" customWidth="1"/>
    <col min="14" max="14" width="8.5703125" style="531" customWidth="1"/>
    <col min="15" max="15" width="8" style="531" bestFit="1" customWidth="1"/>
    <col min="16" max="16384" width="8.7109375" style="531"/>
  </cols>
  <sheetData>
    <row r="1" spans="2:17" ht="13.5" thickBot="1" x14ac:dyDescent="0.25"/>
    <row r="2" spans="2:17" ht="13.5" thickBot="1" x14ac:dyDescent="0.25">
      <c r="B2" s="532" t="s">
        <v>209</v>
      </c>
      <c r="J2" s="533" t="s">
        <v>293</v>
      </c>
      <c r="K2" s="534"/>
      <c r="L2" s="534"/>
      <c r="M2" s="535"/>
    </row>
    <row r="3" spans="2:17" ht="30" x14ac:dyDescent="0.25">
      <c r="B3" s="536" t="s">
        <v>210</v>
      </c>
      <c r="C3" s="537" t="s">
        <v>201</v>
      </c>
      <c r="D3" s="538" t="s">
        <v>451</v>
      </c>
      <c r="E3" s="538" t="s">
        <v>452</v>
      </c>
      <c r="F3" s="536" t="s">
        <v>90</v>
      </c>
      <c r="G3" s="539" t="s">
        <v>13</v>
      </c>
      <c r="H3" s="536" t="s">
        <v>211</v>
      </c>
      <c r="I3" s="540"/>
      <c r="J3" s="541" t="s">
        <v>294</v>
      </c>
      <c r="K3" s="542" t="s">
        <v>141</v>
      </c>
      <c r="L3" s="542" t="s">
        <v>144</v>
      </c>
      <c r="M3" s="543" t="s">
        <v>295</v>
      </c>
      <c r="N3" s="524"/>
    </row>
    <row r="4" spans="2:17" x14ac:dyDescent="0.2">
      <c r="B4" s="544" t="s">
        <v>212</v>
      </c>
      <c r="C4" s="545" t="s">
        <v>213</v>
      </c>
      <c r="D4" s="546">
        <v>3901711.5899999863</v>
      </c>
      <c r="E4" s="546">
        <v>521640</v>
      </c>
      <c r="F4" s="546">
        <f>+D4+E4</f>
        <v>4423351.5899999868</v>
      </c>
      <c r="G4" s="547">
        <f>E36</f>
        <v>3.1950138602539598E-2</v>
      </c>
      <c r="H4" s="546">
        <f>+G4*F4</f>
        <v>141326.69638826349</v>
      </c>
      <c r="I4" s="548"/>
      <c r="J4" s="549">
        <v>380</v>
      </c>
      <c r="K4" s="550" t="s">
        <v>84</v>
      </c>
      <c r="L4" s="440">
        <f>F4/F6</f>
        <v>0.11313869494352151</v>
      </c>
      <c r="M4" s="441">
        <f>H4/H6</f>
        <v>0.14298293727088318</v>
      </c>
      <c r="N4" s="524"/>
    </row>
    <row r="5" spans="2:17" x14ac:dyDescent="0.2">
      <c r="B5" s="544" t="s">
        <v>214</v>
      </c>
      <c r="C5" s="545" t="s">
        <v>95</v>
      </c>
      <c r="D5" s="551">
        <v>26675265.869999971</v>
      </c>
      <c r="E5" s="551">
        <v>7998100</v>
      </c>
      <c r="F5" s="551">
        <f>+D5+E5</f>
        <v>34673365.869999975</v>
      </c>
      <c r="G5" s="547">
        <f>E35</f>
        <v>2.443056207967733E-2</v>
      </c>
      <c r="H5" s="551">
        <f>+G5*F5</f>
        <v>847089.81739839958</v>
      </c>
      <c r="I5" s="548"/>
      <c r="J5" s="549">
        <v>376</v>
      </c>
      <c r="K5" s="550" t="s">
        <v>83</v>
      </c>
      <c r="L5" s="442">
        <f>F5/F6</f>
        <v>0.88686130505647842</v>
      </c>
      <c r="M5" s="443">
        <f>H5/H6</f>
        <v>0.85701706272911682</v>
      </c>
      <c r="N5" s="524"/>
    </row>
    <row r="6" spans="2:17" ht="13.5" thickBot="1" x14ac:dyDescent="0.25">
      <c r="B6" s="552" t="s">
        <v>90</v>
      </c>
      <c r="C6" s="553"/>
      <c r="D6" s="554">
        <f>SUM(D4:D5)</f>
        <v>30576977.459999956</v>
      </c>
      <c r="E6" s="554">
        <f t="shared" ref="E6:F6" si="0">SUM(E4:E5)</f>
        <v>8519740</v>
      </c>
      <c r="F6" s="554">
        <f t="shared" si="0"/>
        <v>39096717.459999964</v>
      </c>
      <c r="G6" s="555"/>
      <c r="H6" s="554">
        <f>SUM(H4:H5)</f>
        <v>988416.51378666307</v>
      </c>
      <c r="I6" s="556"/>
      <c r="J6" s="557"/>
      <c r="K6" s="558"/>
      <c r="L6" s="559">
        <f>SUM(L4:L5)</f>
        <v>0.99999999999999989</v>
      </c>
      <c r="M6" s="560">
        <f>SUM(M4:M5)</f>
        <v>1</v>
      </c>
      <c r="N6" s="524"/>
    </row>
    <row r="7" spans="2:17" ht="13.5" thickTop="1" x14ac:dyDescent="0.2">
      <c r="B7" s="277" t="s">
        <v>93</v>
      </c>
      <c r="C7" s="524"/>
      <c r="G7" s="561">
        <f>+H6/F6</f>
        <v>2.528131715400191E-2</v>
      </c>
      <c r="J7" s="524"/>
      <c r="K7" s="524"/>
      <c r="L7" s="524"/>
      <c r="M7" s="524"/>
      <c r="N7" s="524"/>
    </row>
    <row r="8" spans="2:17" x14ac:dyDescent="0.2">
      <c r="B8" s="278"/>
      <c r="C8" s="524"/>
      <c r="G8" s="562"/>
      <c r="J8" s="524"/>
    </row>
    <row r="9" spans="2:17" x14ac:dyDescent="0.2">
      <c r="B9"/>
      <c r="C9"/>
      <c r="D9" s="217"/>
      <c r="E9" s="217"/>
      <c r="F9" s="217"/>
      <c r="G9" s="217"/>
      <c r="H9" s="217"/>
      <c r="I9" s="562"/>
      <c r="J9" s="524"/>
    </row>
    <row r="10" spans="2:17" x14ac:dyDescent="0.2">
      <c r="B10"/>
      <c r="C10"/>
      <c r="D10" s="217"/>
      <c r="E10" s="217"/>
      <c r="F10" s="217"/>
      <c r="G10" s="217"/>
      <c r="H10" s="217"/>
      <c r="I10" s="562"/>
      <c r="J10" s="524"/>
    </row>
    <row r="11" spans="2:17" ht="13.5" thickBot="1" x14ac:dyDescent="0.25">
      <c r="B11" s="278"/>
      <c r="I11" s="531"/>
      <c r="J11" s="562"/>
      <c r="K11" s="524"/>
      <c r="L11" s="524"/>
      <c r="M11" s="524"/>
    </row>
    <row r="12" spans="2:17" ht="13.5" thickBot="1" x14ac:dyDescent="0.25">
      <c r="I12" s="531"/>
      <c r="J12" s="533" t="s">
        <v>296</v>
      </c>
      <c r="K12" s="534"/>
      <c r="L12" s="534"/>
      <c r="M12" s="279"/>
      <c r="N12" s="563"/>
      <c r="O12" s="563"/>
    </row>
    <row r="13" spans="2:17" ht="31.5" customHeight="1" x14ac:dyDescent="0.25">
      <c r="B13" s="564" t="s">
        <v>215</v>
      </c>
      <c r="C13" s="537" t="s">
        <v>201</v>
      </c>
      <c r="D13" s="538" t="s">
        <v>451</v>
      </c>
      <c r="E13" s="538" t="s">
        <v>452</v>
      </c>
      <c r="F13" s="536" t="s">
        <v>90</v>
      </c>
      <c r="I13" s="531"/>
      <c r="J13" s="565" t="s">
        <v>294</v>
      </c>
      <c r="K13" s="536">
        <v>892</v>
      </c>
      <c r="L13" s="536">
        <v>893</v>
      </c>
      <c r="M13" s="536">
        <v>878</v>
      </c>
      <c r="N13" s="536">
        <v>887</v>
      </c>
      <c r="O13" s="536">
        <v>874</v>
      </c>
      <c r="P13" s="524"/>
    </row>
    <row r="14" spans="2:17" x14ac:dyDescent="0.2">
      <c r="B14" s="544" t="s">
        <v>216</v>
      </c>
      <c r="C14" s="544" t="s">
        <v>217</v>
      </c>
      <c r="D14" s="546">
        <v>1284774.6599999999</v>
      </c>
      <c r="E14" s="546">
        <v>12420</v>
      </c>
      <c r="F14" s="546">
        <f>+D14+E14</f>
        <v>1297194.6599999999</v>
      </c>
      <c r="I14" s="531"/>
      <c r="J14" s="566" t="s">
        <v>272</v>
      </c>
      <c r="K14" s="280">
        <v>0.997783751432333</v>
      </c>
      <c r="L14" s="280">
        <v>1.5593318130978698E-3</v>
      </c>
      <c r="M14" s="280"/>
      <c r="N14" s="567"/>
      <c r="O14" s="567">
        <v>6.5691675456924065E-4</v>
      </c>
      <c r="P14" s="568"/>
      <c r="Q14" s="569"/>
    </row>
    <row r="15" spans="2:17" x14ac:dyDescent="0.2">
      <c r="B15" s="544" t="s">
        <v>297</v>
      </c>
      <c r="C15" s="544"/>
      <c r="D15" s="570">
        <v>-437688.5</v>
      </c>
      <c r="E15" s="571">
        <v>0</v>
      </c>
      <c r="F15" s="551">
        <f>+D15+E15</f>
        <v>-437688.5</v>
      </c>
      <c r="I15" s="531"/>
      <c r="J15" s="566"/>
      <c r="K15" s="280">
        <v>1</v>
      </c>
      <c r="L15" s="280"/>
      <c r="M15" s="280"/>
      <c r="N15" s="567"/>
      <c r="O15" s="567"/>
      <c r="P15" s="524"/>
    </row>
    <row r="16" spans="2:17" x14ac:dyDescent="0.2">
      <c r="B16" s="544" t="s">
        <v>219</v>
      </c>
      <c r="C16" s="544" t="s">
        <v>220</v>
      </c>
      <c r="D16" s="572">
        <v>2910399.2</v>
      </c>
      <c r="E16" s="572">
        <v>235613.04</v>
      </c>
      <c r="F16" s="572">
        <f>+D16+E16</f>
        <v>3146012.24</v>
      </c>
      <c r="I16" s="531"/>
      <c r="J16" s="566" t="s">
        <v>221</v>
      </c>
      <c r="K16" s="567"/>
      <c r="L16" s="567"/>
      <c r="M16" s="567"/>
      <c r="N16" s="567"/>
      <c r="O16" s="280">
        <v>1</v>
      </c>
      <c r="P16" s="524"/>
    </row>
    <row r="17" spans="1:18" x14ac:dyDescent="0.2">
      <c r="B17" s="544" t="s">
        <v>222</v>
      </c>
      <c r="C17" s="544" t="s">
        <v>223</v>
      </c>
      <c r="D17" s="572">
        <v>14237.28</v>
      </c>
      <c r="E17" s="571">
        <v>9372.1679999999997</v>
      </c>
      <c r="F17" s="551">
        <f>+D17+E17</f>
        <v>23609.448</v>
      </c>
      <c r="I17" s="531"/>
      <c r="J17" s="566" t="s">
        <v>218</v>
      </c>
      <c r="K17" s="280">
        <v>-0.54193848825056468</v>
      </c>
      <c r="L17" s="280"/>
      <c r="M17" s="280"/>
      <c r="N17" s="280">
        <v>1.5419384882505647</v>
      </c>
      <c r="O17" s="280"/>
      <c r="P17" s="524"/>
    </row>
    <row r="18" spans="1:18" x14ac:dyDescent="0.2">
      <c r="B18" s="573" t="s">
        <v>298</v>
      </c>
      <c r="C18" s="545"/>
      <c r="D18" s="570">
        <v>-82000</v>
      </c>
      <c r="E18" s="574">
        <v>0</v>
      </c>
      <c r="F18" s="551">
        <f>+D18+E18</f>
        <v>-82000</v>
      </c>
      <c r="I18" s="531"/>
      <c r="J18" s="281"/>
      <c r="K18" s="280"/>
      <c r="L18" s="280"/>
      <c r="M18" s="280"/>
      <c r="N18" s="567"/>
      <c r="O18" s="567">
        <v>1</v>
      </c>
      <c r="P18" s="524"/>
    </row>
    <row r="19" spans="1:18" ht="13.5" thickBot="1" x14ac:dyDescent="0.25">
      <c r="B19" s="552" t="s">
        <v>90</v>
      </c>
      <c r="C19" s="553"/>
      <c r="D19" s="554">
        <f>SUM(D14:D18)</f>
        <v>3689722.64</v>
      </c>
      <c r="E19" s="554">
        <f>SUM(E14:E18)</f>
        <v>257405.20800000001</v>
      </c>
      <c r="F19" s="554">
        <f>SUM(F14:F18)</f>
        <v>3947127.8480000002</v>
      </c>
    </row>
    <row r="20" spans="1:18" ht="13.5" thickTop="1" x14ac:dyDescent="0.2">
      <c r="B20" s="524"/>
      <c r="C20" s="524"/>
      <c r="J20"/>
      <c r="K20"/>
      <c r="L20"/>
      <c r="M20"/>
      <c r="N20"/>
      <c r="O20"/>
      <c r="P20"/>
      <c r="Q20"/>
      <c r="R20"/>
    </row>
    <row r="21" spans="1:18" x14ac:dyDescent="0.2">
      <c r="B21" s="575" t="s">
        <v>224</v>
      </c>
      <c r="C21" s="576"/>
      <c r="D21" s="577">
        <f>+D6+D19</f>
        <v>34266700.099999957</v>
      </c>
      <c r="E21" s="577">
        <f>+E6+E19</f>
        <v>8777145.2080000006</v>
      </c>
      <c r="F21" s="577">
        <f>SUM(D21:E21)</f>
        <v>43043845.307999954</v>
      </c>
      <c r="G21" s="578"/>
      <c r="H21" s="579"/>
      <c r="J21"/>
      <c r="K21"/>
      <c r="L21"/>
      <c r="M21"/>
      <c r="N21"/>
      <c r="O21"/>
      <c r="P21"/>
      <c r="Q21"/>
      <c r="R21"/>
    </row>
    <row r="22" spans="1:18" x14ac:dyDescent="0.2">
      <c r="B22" s="524"/>
      <c r="C22" s="524"/>
      <c r="J22"/>
      <c r="K22"/>
      <c r="L22"/>
      <c r="M22"/>
      <c r="N22"/>
      <c r="O22"/>
      <c r="P22"/>
      <c r="Q22"/>
      <c r="R22"/>
    </row>
    <row r="23" spans="1:18" x14ac:dyDescent="0.2">
      <c r="B23" s="524"/>
      <c r="C23" s="524"/>
    </row>
    <row r="24" spans="1:18" x14ac:dyDescent="0.2">
      <c r="B24" s="524"/>
      <c r="C24" s="524"/>
    </row>
    <row r="25" spans="1:18" x14ac:dyDescent="0.2">
      <c r="B25" s="580" t="s">
        <v>60</v>
      </c>
      <c r="C25" s="580"/>
      <c r="D25" s="555"/>
      <c r="E25" s="555"/>
      <c r="F25" s="581">
        <f>'2019 GRC'!J38</f>
        <v>4.7447000000000003E-2</v>
      </c>
      <c r="G25" s="524" t="s">
        <v>453</v>
      </c>
    </row>
    <row r="26" spans="1:18" x14ac:dyDescent="0.2">
      <c r="B26" s="580" t="s">
        <v>225</v>
      </c>
      <c r="C26" s="580"/>
      <c r="D26" s="555"/>
      <c r="E26" s="555"/>
      <c r="F26" s="572">
        <f>+(F19)/(1-$F$25)</f>
        <v>4143735.6745503927</v>
      </c>
      <c r="G26" s="582"/>
    </row>
    <row r="27" spans="1:18" x14ac:dyDescent="0.2">
      <c r="B27" s="580" t="s">
        <v>274</v>
      </c>
      <c r="C27" s="580"/>
      <c r="D27" s="555"/>
      <c r="E27" s="555"/>
      <c r="F27" s="572">
        <f>'2022 CAP CRM'!E39</f>
        <v>4519169.2094263854</v>
      </c>
    </row>
    <row r="28" spans="1:18" ht="13.5" thickBot="1" x14ac:dyDescent="0.25">
      <c r="B28" s="583" t="s">
        <v>299</v>
      </c>
      <c r="C28" s="584"/>
      <c r="D28" s="584"/>
      <c r="E28" s="584"/>
      <c r="F28" s="282">
        <f>SUM(F26:F27)</f>
        <v>8662904.883976778</v>
      </c>
    </row>
    <row r="30" spans="1:18" ht="13.5" thickBot="1" x14ac:dyDescent="0.25">
      <c r="A30" s="283"/>
      <c r="B30" s="284" t="s">
        <v>275</v>
      </c>
      <c r="C30" s="284"/>
      <c r="D30" s="284"/>
      <c r="E30" s="284"/>
      <c r="F30" s="284"/>
      <c r="G30" s="284"/>
      <c r="H30" s="283"/>
      <c r="I30" s="283"/>
      <c r="J30" s="283"/>
    </row>
    <row r="31" spans="1:18" x14ac:dyDescent="0.2">
      <c r="A31" s="283"/>
      <c r="B31" s="285" t="s">
        <v>179</v>
      </c>
      <c r="C31" s="286"/>
      <c r="D31" s="286"/>
      <c r="E31" s="287"/>
      <c r="F31" s="283"/>
      <c r="G31" s="283"/>
      <c r="H31" s="283"/>
      <c r="I31" s="283"/>
      <c r="J31" s="283"/>
    </row>
    <row r="32" spans="1:18" ht="25.5" x14ac:dyDescent="0.2">
      <c r="A32" s="283"/>
      <c r="B32" s="288" t="s">
        <v>180</v>
      </c>
      <c r="C32" s="289" t="s">
        <v>110</v>
      </c>
      <c r="D32" s="290" t="s">
        <v>181</v>
      </c>
      <c r="E32" s="291" t="s">
        <v>182</v>
      </c>
      <c r="F32" s="283"/>
      <c r="G32" s="283"/>
      <c r="H32" s="283"/>
      <c r="I32" s="283"/>
      <c r="J32" s="283"/>
    </row>
    <row r="33" spans="1:10" x14ac:dyDescent="0.2">
      <c r="A33" s="283"/>
      <c r="B33" s="292" t="s">
        <v>183</v>
      </c>
      <c r="C33" s="293"/>
      <c r="D33" s="294" t="s">
        <v>111</v>
      </c>
      <c r="E33" s="295" t="s">
        <v>111</v>
      </c>
      <c r="F33" s="283"/>
      <c r="G33" s="283"/>
      <c r="H33" s="283"/>
      <c r="I33" s="283"/>
      <c r="J33" s="283"/>
    </row>
    <row r="34" spans="1:10" x14ac:dyDescent="0.2">
      <c r="A34" s="283"/>
      <c r="B34" s="296"/>
      <c r="C34" s="297"/>
      <c r="D34" s="298" t="s">
        <v>184</v>
      </c>
      <c r="E34" s="299"/>
      <c r="F34" s="283"/>
      <c r="G34" s="283"/>
      <c r="H34" s="283"/>
      <c r="I34" s="283"/>
      <c r="J34" s="283"/>
    </row>
    <row r="35" spans="1:10" x14ac:dyDescent="0.2">
      <c r="B35" s="300">
        <v>376.2</v>
      </c>
      <c r="C35" s="297" t="s">
        <v>185</v>
      </c>
      <c r="D35" s="301">
        <v>2.7700000000000002E-2</v>
      </c>
      <c r="E35" s="302">
        <v>2.443056207967733E-2</v>
      </c>
      <c r="F35" s="283"/>
      <c r="G35" s="283"/>
      <c r="H35" s="283"/>
      <c r="I35" s="283"/>
      <c r="J35" s="283"/>
    </row>
    <row r="36" spans="1:10" ht="13.5" thickBot="1" x14ac:dyDescent="0.25">
      <c r="B36" s="303">
        <v>380.2</v>
      </c>
      <c r="C36" s="304" t="s">
        <v>186</v>
      </c>
      <c r="D36" s="305">
        <v>4.58E-2</v>
      </c>
      <c r="E36" s="306">
        <v>3.1950138602539598E-2</v>
      </c>
      <c r="F36" s="283"/>
      <c r="G36" s="283"/>
      <c r="H36" s="283"/>
      <c r="I36" s="283"/>
      <c r="J36" s="283"/>
    </row>
    <row r="37" spans="1:10" x14ac:dyDescent="0.2">
      <c r="B37" s="283"/>
      <c r="C37" s="283"/>
      <c r="D37" s="283"/>
      <c r="E37" s="283"/>
      <c r="F37" s="283"/>
      <c r="G37" s="283"/>
      <c r="H37" s="283"/>
      <c r="I37" s="283"/>
      <c r="J37" s="283"/>
    </row>
    <row r="38" spans="1:10" x14ac:dyDescent="0.2">
      <c r="A38" s="585" t="s">
        <v>276</v>
      </c>
    </row>
    <row r="39" spans="1:10" ht="12.75" customHeight="1" x14ac:dyDescent="0.2">
      <c r="A39" s="586" t="s">
        <v>152</v>
      </c>
      <c r="B39" s="587" t="s">
        <v>317</v>
      </c>
      <c r="C39" s="588"/>
      <c r="D39" s="588"/>
      <c r="E39" s="588"/>
      <c r="F39" s="588"/>
      <c r="G39" s="588"/>
      <c r="H39" s="588"/>
      <c r="I39" s="588"/>
      <c r="J39" s="588"/>
    </row>
    <row r="40" spans="1:10" x14ac:dyDescent="0.2">
      <c r="A40" s="586" t="s">
        <v>153</v>
      </c>
      <c r="B40" s="832" t="s">
        <v>300</v>
      </c>
      <c r="C40" s="832"/>
      <c r="D40" s="832"/>
      <c r="E40" s="832"/>
      <c r="F40" s="832"/>
      <c r="G40" s="832"/>
      <c r="H40" s="832"/>
      <c r="I40" s="832"/>
      <c r="J40" s="832"/>
    </row>
    <row r="41" spans="1:10" ht="12.75" customHeight="1" x14ac:dyDescent="0.2">
      <c r="B41" s="832"/>
      <c r="C41" s="832"/>
      <c r="D41" s="832"/>
      <c r="E41" s="832"/>
      <c r="F41" s="832"/>
      <c r="G41" s="832"/>
      <c r="H41" s="832"/>
      <c r="I41" s="832"/>
      <c r="J41" s="832"/>
    </row>
    <row r="42" spans="1:10" x14ac:dyDescent="0.2">
      <c r="A42" s="589"/>
      <c r="B42" s="588"/>
      <c r="C42" s="588"/>
      <c r="D42" s="588"/>
      <c r="E42" s="588"/>
      <c r="F42" s="588"/>
      <c r="G42" s="588"/>
      <c r="H42" s="588"/>
      <c r="I42" s="588"/>
      <c r="J42" s="588"/>
    </row>
  </sheetData>
  <mergeCells count="1">
    <mergeCell ref="B40:J41"/>
  </mergeCells>
  <pageMargins left="0.25" right="0.25" top="0.75" bottom="0.75" header="0.3" footer="0.3"/>
  <pageSetup scale="67" orientation="landscape" r:id="rId1"/>
  <headerFooter>
    <oddFooter>&amp;L&amp;A
&amp;F&amp;RPage &amp;P of &amp;N</oddFooter>
  </headerFooter>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8"/>
  <sheetViews>
    <sheetView zoomScale="85" zoomScaleNormal="85" workbookViewId="0">
      <selection activeCell="S42" sqref="S42"/>
    </sheetView>
  </sheetViews>
  <sheetFormatPr defaultColWidth="9.28515625" defaultRowHeight="15" x14ac:dyDescent="0.25"/>
  <cols>
    <col min="1" max="1" width="3" style="688" bestFit="1" customWidth="1"/>
    <col min="2" max="2" width="24.28515625" style="527" customWidth="1"/>
    <col min="3" max="3" width="19.5703125" style="527" bestFit="1" customWidth="1"/>
    <col min="4" max="4" width="22.140625" style="527" bestFit="1" customWidth="1"/>
    <col min="5" max="5" width="20.7109375" style="527" customWidth="1"/>
    <col min="6" max="6" width="32.28515625" style="527" customWidth="1"/>
    <col min="7" max="7" width="9.28515625" style="527"/>
    <col min="8" max="8" width="9.28515625" style="688"/>
    <col min="9" max="10" width="12.5703125" style="688" bestFit="1" customWidth="1"/>
    <col min="11" max="11" width="12.42578125" style="688" bestFit="1" customWidth="1"/>
    <col min="12" max="16384" width="9.28515625" style="688"/>
  </cols>
  <sheetData>
    <row r="2" spans="1:12" ht="15.75" x14ac:dyDescent="0.25">
      <c r="B2" s="114" t="s">
        <v>330</v>
      </c>
      <c r="C2" s="114"/>
      <c r="D2" s="114"/>
      <c r="E2" s="114"/>
      <c r="F2" s="114"/>
    </row>
    <row r="3" spans="1:12" ht="15.75" x14ac:dyDescent="0.25">
      <c r="B3" s="114"/>
      <c r="C3" s="114"/>
      <c r="D3" s="115" t="s">
        <v>331</v>
      </c>
      <c r="E3" s="115" t="s">
        <v>331</v>
      </c>
      <c r="F3" s="114"/>
    </row>
    <row r="4" spans="1:12" ht="15.75" x14ac:dyDescent="0.25">
      <c r="B4" s="114"/>
      <c r="C4" s="114"/>
      <c r="D4" s="261" t="s">
        <v>332</v>
      </c>
      <c r="E4" s="453" t="s">
        <v>333</v>
      </c>
      <c r="F4" s="453"/>
    </row>
    <row r="5" spans="1:12" s="527" customFormat="1" ht="16.5" thickBot="1" x14ac:dyDescent="0.3">
      <c r="B5" s="21" t="s">
        <v>215</v>
      </c>
      <c r="C5" s="114"/>
      <c r="D5" s="172">
        <v>4995822.3071807576</v>
      </c>
      <c r="E5" s="172">
        <v>5108313.9199999981</v>
      </c>
      <c r="F5" s="172">
        <v>117847.42473098972</v>
      </c>
      <c r="G5" s="74"/>
      <c r="I5" s="689"/>
    </row>
    <row r="6" spans="1:12" ht="16.5" thickBot="1" x14ac:dyDescent="0.3">
      <c r="A6" s="527"/>
      <c r="B6" s="21" t="s">
        <v>281</v>
      </c>
      <c r="C6" s="114"/>
      <c r="D6" s="172">
        <f>D27</f>
        <v>5075566.3630553354</v>
      </c>
      <c r="E6" s="172">
        <f>E27</f>
        <v>5080857.0252605006</v>
      </c>
      <c r="F6" s="172">
        <f>E6-D6</f>
        <v>5290.6622051652521</v>
      </c>
      <c r="I6" s="690"/>
      <c r="J6" s="167"/>
    </row>
    <row r="7" spans="1:12" ht="16.5" thickBot="1" x14ac:dyDescent="0.3">
      <c r="B7" s="455" t="s">
        <v>301</v>
      </c>
      <c r="C7" s="456"/>
      <c r="D7" s="172"/>
      <c r="E7" s="172"/>
      <c r="F7" s="172">
        <f>SUM(F5:F6)</f>
        <v>123138.08693615497</v>
      </c>
      <c r="I7" s="691"/>
      <c r="J7" s="167"/>
    </row>
    <row r="8" spans="1:12" ht="15.75" x14ac:dyDescent="0.25">
      <c r="B8" s="114"/>
      <c r="C8" s="114"/>
      <c r="F8" s="114"/>
    </row>
    <row r="9" spans="1:12" ht="15.75" thickBot="1" x14ac:dyDescent="0.3">
      <c r="A9" s="262"/>
      <c r="B9" s="32"/>
      <c r="C9" s="32"/>
      <c r="D9" s="263"/>
      <c r="E9" s="263"/>
      <c r="F9" s="263"/>
      <c r="I9"/>
      <c r="J9"/>
      <c r="K9"/>
      <c r="L9"/>
    </row>
    <row r="10" spans="1:12" ht="15.75" thickBot="1" x14ac:dyDescent="0.3">
      <c r="A10" s="262"/>
      <c r="B10" s="264" t="s">
        <v>17</v>
      </c>
      <c r="C10" s="265"/>
      <c r="D10" s="409">
        <f>'2021 CRM'!F22</f>
        <v>44118513.764677308</v>
      </c>
      <c r="E10" s="409">
        <f>'2021 + true up CAP'!F22</f>
        <v>44151486.389999881</v>
      </c>
      <c r="F10" s="409">
        <f>E10-D10</f>
        <v>32972.625322572887</v>
      </c>
      <c r="I10"/>
      <c r="J10"/>
      <c r="K10"/>
      <c r="L10"/>
    </row>
    <row r="11" spans="1:12" x14ac:dyDescent="0.25">
      <c r="A11" s="117"/>
      <c r="B11" s="21"/>
      <c r="C11" s="21"/>
      <c r="D11" s="118"/>
      <c r="I11"/>
      <c r="J11"/>
      <c r="K11"/>
      <c r="L11"/>
    </row>
    <row r="12" spans="1:12" x14ac:dyDescent="0.25">
      <c r="A12" s="119">
        <v>1</v>
      </c>
      <c r="B12" s="21" t="s">
        <v>53</v>
      </c>
      <c r="C12" s="21"/>
      <c r="D12" s="123">
        <v>1102148.2430587558</v>
      </c>
      <c r="E12" s="689">
        <f>'2021 + true up CAP'!E27</f>
        <v>1104451.5358050684</v>
      </c>
      <c r="F12" s="689">
        <f>E12-D12</f>
        <v>2303.2927463126834</v>
      </c>
      <c r="G12" s="692">
        <f>D12/D34</f>
        <v>2.5334280980410431E-2</v>
      </c>
      <c r="H12" s="693">
        <f>E12/E34</f>
        <v>2.5365560217520927E-2</v>
      </c>
      <c r="I12"/>
      <c r="J12"/>
      <c r="K12"/>
      <c r="L12"/>
    </row>
    <row r="13" spans="1:12" x14ac:dyDescent="0.25">
      <c r="A13" s="117"/>
      <c r="B13" s="21"/>
      <c r="C13" s="21"/>
      <c r="D13" s="142"/>
      <c r="I13"/>
      <c r="J13"/>
      <c r="K13"/>
      <c r="L13"/>
    </row>
    <row r="14" spans="1:12" x14ac:dyDescent="0.25">
      <c r="A14" s="119">
        <f>A12+1</f>
        <v>2</v>
      </c>
      <c r="B14" s="21" t="s">
        <v>54</v>
      </c>
      <c r="C14" s="21"/>
      <c r="D14" s="123">
        <v>527400.60685754579</v>
      </c>
      <c r="E14" s="689">
        <f>'2021 + true up CAP'!E29</f>
        <v>527787.68326246506</v>
      </c>
      <c r="F14" s="689">
        <f>E14-D14</f>
        <v>387.07640491926577</v>
      </c>
      <c r="I14"/>
      <c r="J14"/>
      <c r="K14"/>
      <c r="L14"/>
    </row>
    <row r="15" spans="1:12" x14ac:dyDescent="0.25">
      <c r="A15" s="117"/>
      <c r="B15" s="21"/>
      <c r="C15" s="21"/>
      <c r="D15" s="142"/>
      <c r="I15"/>
      <c r="J15"/>
      <c r="K15"/>
      <c r="L15"/>
    </row>
    <row r="16" spans="1:12" x14ac:dyDescent="0.25">
      <c r="A16" s="117"/>
      <c r="B16" s="21" t="s">
        <v>55</v>
      </c>
      <c r="C16" s="21"/>
      <c r="D16" s="142"/>
      <c r="I16"/>
      <c r="J16"/>
      <c r="K16"/>
      <c r="L16"/>
    </row>
    <row r="17" spans="1:12" x14ac:dyDescent="0.25">
      <c r="A17" s="119">
        <f>A14+1</f>
        <v>3</v>
      </c>
      <c r="B17" s="21"/>
      <c r="C17" s="21" t="s">
        <v>56</v>
      </c>
      <c r="D17" s="120">
        <v>0</v>
      </c>
      <c r="E17" s="689">
        <v>0</v>
      </c>
      <c r="F17" s="694">
        <f t="shared" ref="F17:F20" si="0">E17-D17</f>
        <v>0</v>
      </c>
      <c r="I17"/>
      <c r="J17"/>
      <c r="K17"/>
      <c r="L17"/>
    </row>
    <row r="18" spans="1:12" x14ac:dyDescent="0.25">
      <c r="A18" s="119">
        <f>A17+1</f>
        <v>4</v>
      </c>
      <c r="B18" s="21"/>
      <c r="C18" s="21" t="s">
        <v>57</v>
      </c>
      <c r="D18" s="120">
        <v>1231317.3942683951</v>
      </c>
      <c r="E18" s="689">
        <f>'2021 + true up CAP'!E33</f>
        <v>1232221.0980262039</v>
      </c>
      <c r="F18" s="694">
        <f t="shared" si="0"/>
        <v>903.70375780877657</v>
      </c>
      <c r="I18"/>
      <c r="J18"/>
      <c r="K18"/>
      <c r="L18"/>
    </row>
    <row r="19" spans="1:12" x14ac:dyDescent="0.25">
      <c r="A19" s="119">
        <f>A18+1</f>
        <v>5</v>
      </c>
      <c r="B19" s="21"/>
      <c r="C19" s="21" t="s">
        <v>9</v>
      </c>
      <c r="D19" s="121">
        <v>1984030.8543688632</v>
      </c>
      <c r="E19" s="695">
        <f>'2021 + true up CAP'!E34</f>
        <v>1985486.9989397493</v>
      </c>
      <c r="F19" s="695">
        <f t="shared" si="0"/>
        <v>1456.1445708861575</v>
      </c>
      <c r="I19"/>
      <c r="J19"/>
      <c r="K19"/>
      <c r="L19"/>
    </row>
    <row r="20" spans="1:12" x14ac:dyDescent="0.25">
      <c r="A20" s="119">
        <f>A19+1</f>
        <v>6</v>
      </c>
      <c r="B20" s="21"/>
      <c r="C20" s="21" t="s">
        <v>58</v>
      </c>
      <c r="D20" s="123">
        <f>SUM(D17:D19)</f>
        <v>3215348.2486372581</v>
      </c>
      <c r="E20" s="689">
        <f>SUM(E17:E19)</f>
        <v>3217708.0969659532</v>
      </c>
      <c r="F20" s="689">
        <f t="shared" si="0"/>
        <v>2359.8483286951669</v>
      </c>
      <c r="I20"/>
      <c r="J20"/>
      <c r="K20"/>
      <c r="L20"/>
    </row>
    <row r="21" spans="1:12" x14ac:dyDescent="0.25">
      <c r="A21" s="117"/>
      <c r="B21" s="21"/>
      <c r="C21" s="21"/>
      <c r="D21" s="142"/>
      <c r="I21"/>
      <c r="J21"/>
      <c r="K21"/>
      <c r="L21"/>
    </row>
    <row r="22" spans="1:12" x14ac:dyDescent="0.25">
      <c r="A22" s="119">
        <f>A20+1</f>
        <v>7</v>
      </c>
      <c r="B22" s="21" t="s">
        <v>59</v>
      </c>
      <c r="C22" s="21"/>
      <c r="D22" s="120">
        <v>4844897.0985535597</v>
      </c>
      <c r="E22" s="689">
        <f>'2021 + true up CAP'!E37</f>
        <v>4849947.3160334863</v>
      </c>
      <c r="F22" s="689">
        <f>E22-D22</f>
        <v>5050.217479926534</v>
      </c>
      <c r="I22"/>
      <c r="J22"/>
      <c r="K22"/>
      <c r="L22"/>
    </row>
    <row r="23" spans="1:12" x14ac:dyDescent="0.25">
      <c r="A23" s="119">
        <f>A22+1</f>
        <v>8</v>
      </c>
      <c r="B23" s="21" t="s">
        <v>60</v>
      </c>
      <c r="C23" s="21"/>
      <c r="D23" s="121">
        <v>230669.26450177561</v>
      </c>
      <c r="E23" s="695">
        <f>'2021 + true up CAP'!E38</f>
        <v>230909.70922701433</v>
      </c>
      <c r="F23" s="695">
        <f>E23-D23</f>
        <v>240.44472523871809</v>
      </c>
      <c r="I23"/>
      <c r="J23"/>
      <c r="K23"/>
      <c r="L23"/>
    </row>
    <row r="24" spans="1:12" x14ac:dyDescent="0.25">
      <c r="A24" s="119">
        <f>A23+1</f>
        <v>9</v>
      </c>
      <c r="B24" s="21"/>
      <c r="C24" s="21" t="s">
        <v>61</v>
      </c>
      <c r="D24" s="120">
        <f>SUM(D22:D23)</f>
        <v>5075566.3630553354</v>
      </c>
      <c r="E24" s="689">
        <f>SUM(E22:E23)</f>
        <v>5080857.0252605006</v>
      </c>
      <c r="F24" s="689">
        <f t="shared" ref="F24" si="1">E24-D24</f>
        <v>5290.6622051652521</v>
      </c>
      <c r="I24"/>
      <c r="J24"/>
      <c r="K24"/>
      <c r="L24"/>
    </row>
    <row r="25" spans="1:12" x14ac:dyDescent="0.25">
      <c r="A25" s="119">
        <f t="shared" ref="A25:A47" si="2">A24+1</f>
        <v>10</v>
      </c>
      <c r="B25" s="21"/>
      <c r="C25" s="21"/>
      <c r="D25" s="162"/>
      <c r="I25"/>
      <c r="J25"/>
      <c r="K25"/>
      <c r="L25"/>
    </row>
    <row r="26" spans="1:12" x14ac:dyDescent="0.25">
      <c r="A26" s="119">
        <f t="shared" si="2"/>
        <v>11</v>
      </c>
      <c r="B26" s="21"/>
      <c r="C26" s="21"/>
      <c r="D26" s="142"/>
      <c r="I26"/>
      <c r="J26"/>
      <c r="K26"/>
      <c r="L26"/>
    </row>
    <row r="27" spans="1:12" s="527" customFormat="1" x14ac:dyDescent="0.25">
      <c r="A27" s="486">
        <f t="shared" si="2"/>
        <v>12</v>
      </c>
      <c r="B27" s="21" t="s">
        <v>208</v>
      </c>
      <c r="C27" s="21"/>
      <c r="D27" s="121">
        <f>D24</f>
        <v>5075566.3630553354</v>
      </c>
      <c r="E27" s="695">
        <f>+E24</f>
        <v>5080857.0252605006</v>
      </c>
      <c r="F27" s="695">
        <f>E27-D27</f>
        <v>5290.6622051652521</v>
      </c>
      <c r="G27" s="74"/>
      <c r="I27" s="217"/>
      <c r="J27" s="217"/>
      <c r="K27" s="217"/>
      <c r="L27" s="217"/>
    </row>
    <row r="28" spans="1:12" ht="15.75" thickBot="1" x14ac:dyDescent="0.3">
      <c r="A28" s="119">
        <f t="shared" si="2"/>
        <v>13</v>
      </c>
      <c r="B28" s="173" t="s">
        <v>102</v>
      </c>
      <c r="C28" s="173"/>
      <c r="D28" s="174"/>
      <c r="E28" s="696">
        <f>+E27-D27</f>
        <v>5290.6622051652521</v>
      </c>
      <c r="F28" s="696"/>
      <c r="I28"/>
      <c r="J28"/>
      <c r="K28"/>
      <c r="L28"/>
    </row>
    <row r="29" spans="1:12" ht="15.75" thickTop="1" x14ac:dyDescent="0.25">
      <c r="A29" s="119">
        <f t="shared" si="2"/>
        <v>14</v>
      </c>
      <c r="B29" s="21"/>
      <c r="C29" s="21"/>
      <c r="D29" s="523"/>
      <c r="I29"/>
      <c r="J29"/>
      <c r="K29"/>
      <c r="L29"/>
    </row>
    <row r="30" spans="1:12" x14ac:dyDescent="0.25">
      <c r="A30" s="119">
        <f t="shared" si="2"/>
        <v>15</v>
      </c>
      <c r="B30" s="21" t="s">
        <v>63</v>
      </c>
      <c r="C30" s="523"/>
      <c r="D30" s="122">
        <v>0.11504391082001941</v>
      </c>
      <c r="E30" s="697">
        <f>'2021 + true up CAP'!E45</f>
        <v>0.11507782502224642</v>
      </c>
      <c r="F30" s="697">
        <f>E30-D30</f>
        <v>3.3914202227008916E-5</v>
      </c>
      <c r="I30"/>
      <c r="J30"/>
      <c r="K30"/>
      <c r="L30"/>
    </row>
    <row r="31" spans="1:12" x14ac:dyDescent="0.25">
      <c r="A31" s="119">
        <f t="shared" si="2"/>
        <v>16</v>
      </c>
      <c r="B31" s="21"/>
      <c r="C31" s="21"/>
      <c r="D31" s="523"/>
      <c r="I31"/>
      <c r="J31"/>
      <c r="K31"/>
      <c r="L31"/>
    </row>
    <row r="32" spans="1:12" x14ac:dyDescent="0.25">
      <c r="A32" s="119">
        <f t="shared" si="2"/>
        <v>17</v>
      </c>
      <c r="B32" s="21" t="s">
        <v>193</v>
      </c>
      <c r="C32" s="21"/>
      <c r="D32" s="122">
        <v>4.5447000000000001E-2</v>
      </c>
      <c r="E32" s="122">
        <f>'2021 + true up CAP'!F16</f>
        <v>4.5447000000000001E-2</v>
      </c>
      <c r="F32" s="689"/>
      <c r="I32"/>
      <c r="J32"/>
      <c r="K32"/>
      <c r="L32"/>
    </row>
    <row r="33" spans="1:12" x14ac:dyDescent="0.25">
      <c r="A33" s="119">
        <f t="shared" si="2"/>
        <v>18</v>
      </c>
      <c r="B33" s="21"/>
      <c r="C33" s="21"/>
      <c r="D33" s="163"/>
      <c r="E33" s="695"/>
      <c r="F33" s="695"/>
      <c r="I33"/>
      <c r="J33"/>
      <c r="K33"/>
      <c r="L33"/>
    </row>
    <row r="34" spans="1:12" x14ac:dyDescent="0.25">
      <c r="A34" s="119">
        <f t="shared" si="2"/>
        <v>19</v>
      </c>
      <c r="B34" s="65" t="s">
        <v>64</v>
      </c>
      <c r="C34" s="21"/>
      <c r="D34" s="120">
        <f>'2021 CRM'!E49</f>
        <v>43504224.33188393</v>
      </c>
      <c r="E34" s="689">
        <f>'2021 + true up CAP'!E49</f>
        <v>43541381.555696256</v>
      </c>
      <c r="F34" s="689">
        <f>E34-D34</f>
        <v>37157.223812326789</v>
      </c>
      <c r="I34"/>
      <c r="J34"/>
      <c r="K34"/>
      <c r="L34"/>
    </row>
    <row r="35" spans="1:12" x14ac:dyDescent="0.25">
      <c r="A35" s="119">
        <f t="shared" si="2"/>
        <v>20</v>
      </c>
      <c r="B35" s="21"/>
      <c r="C35" s="21"/>
      <c r="D35" s="123"/>
      <c r="I35"/>
      <c r="J35"/>
      <c r="K35"/>
      <c r="L35"/>
    </row>
    <row r="36" spans="1:12" x14ac:dyDescent="0.25">
      <c r="A36" s="119">
        <f t="shared" si="2"/>
        <v>21</v>
      </c>
      <c r="B36" s="21"/>
      <c r="C36" s="21"/>
      <c r="D36" s="123"/>
      <c r="I36"/>
      <c r="J36"/>
      <c r="K36"/>
      <c r="L36"/>
    </row>
    <row r="37" spans="1:12" x14ac:dyDescent="0.25">
      <c r="A37" s="119">
        <f t="shared" si="2"/>
        <v>22</v>
      </c>
      <c r="B37" s="21" t="s">
        <v>65</v>
      </c>
      <c r="C37" s="21"/>
      <c r="D37" s="123">
        <v>2511431.4612264088</v>
      </c>
      <c r="E37" s="689">
        <f>'2021 + true up CAP'!E52</f>
        <v>2513274.6822022144</v>
      </c>
      <c r="F37" s="689">
        <f>E37-D37</f>
        <v>1843.2209758055396</v>
      </c>
      <c r="I37"/>
      <c r="J37"/>
      <c r="K37"/>
      <c r="L37"/>
    </row>
    <row r="38" spans="1:12" x14ac:dyDescent="0.25">
      <c r="A38" s="119">
        <f t="shared" si="2"/>
        <v>23</v>
      </c>
      <c r="B38" s="21" t="s">
        <v>66</v>
      </c>
      <c r="C38" s="21"/>
      <c r="D38" s="121">
        <v>527400.60685754579</v>
      </c>
      <c r="E38" s="695">
        <f>'2021 + true up CAP'!E53</f>
        <v>527787.68326246506</v>
      </c>
      <c r="F38" s="695">
        <f>E38-D38</f>
        <v>387.07640491926577</v>
      </c>
      <c r="I38"/>
      <c r="J38"/>
      <c r="K38"/>
      <c r="L38"/>
    </row>
    <row r="39" spans="1:12" x14ac:dyDescent="0.25">
      <c r="A39" s="119">
        <f t="shared" si="2"/>
        <v>24</v>
      </c>
      <c r="B39" s="21" t="s">
        <v>67</v>
      </c>
      <c r="C39" s="21"/>
      <c r="D39" s="689">
        <f>D37-D38</f>
        <v>1984030.8543688632</v>
      </c>
      <c r="E39" s="689">
        <f>E37-E38</f>
        <v>1985486.9989397493</v>
      </c>
      <c r="F39" s="689">
        <f>E39-D39</f>
        <v>1456.1445708861575</v>
      </c>
      <c r="I39"/>
      <c r="J39"/>
      <c r="K39"/>
      <c r="L39"/>
    </row>
    <row r="40" spans="1:12" x14ac:dyDescent="0.25">
      <c r="A40" s="119">
        <f t="shared" si="2"/>
        <v>25</v>
      </c>
      <c r="B40" s="21"/>
      <c r="C40" s="21"/>
      <c r="D40" s="525"/>
      <c r="I40"/>
      <c r="J40"/>
      <c r="K40"/>
      <c r="L40"/>
    </row>
    <row r="41" spans="1:12" x14ac:dyDescent="0.25">
      <c r="A41" s="119">
        <f t="shared" si="2"/>
        <v>26</v>
      </c>
      <c r="B41" s="21"/>
      <c r="C41" s="21"/>
      <c r="D41" s="525"/>
      <c r="I41"/>
      <c r="J41"/>
      <c r="K41"/>
      <c r="L41"/>
    </row>
    <row r="42" spans="1:12" x14ac:dyDescent="0.25">
      <c r="A42" s="119">
        <f t="shared" si="2"/>
        <v>27</v>
      </c>
      <c r="B42" s="21" t="s">
        <v>68</v>
      </c>
      <c r="C42" s="21"/>
      <c r="D42" s="123">
        <v>1102148.2430587558</v>
      </c>
      <c r="E42" s="689">
        <f>'2021 + true up CAP'!E57</f>
        <v>1104451.5358050684</v>
      </c>
      <c r="F42" s="689">
        <f t="shared" ref="F42:F45" si="3">E42-D42</f>
        <v>2303.2927463126834</v>
      </c>
      <c r="I42"/>
      <c r="J42"/>
      <c r="K42"/>
      <c r="L42"/>
    </row>
    <row r="43" spans="1:12" x14ac:dyDescent="0.25">
      <c r="A43" s="119">
        <f t="shared" si="2"/>
        <v>28</v>
      </c>
      <c r="B43" s="21" t="s">
        <v>69</v>
      </c>
      <c r="C43" s="21"/>
      <c r="D43" s="123">
        <v>1654444.2661753991</v>
      </c>
      <c r="E43" s="689">
        <f>'2021 + true up CAP'!E58</f>
        <v>1655680.7396249955</v>
      </c>
      <c r="F43" s="689">
        <f t="shared" si="3"/>
        <v>1236.4734495964367</v>
      </c>
      <c r="I43"/>
      <c r="J43"/>
      <c r="K43"/>
      <c r="L43"/>
    </row>
    <row r="44" spans="1:12" x14ac:dyDescent="0.25">
      <c r="A44" s="119">
        <f t="shared" si="2"/>
        <v>29</v>
      </c>
      <c r="B44" s="21" t="s">
        <v>70</v>
      </c>
      <c r="C44" s="21"/>
      <c r="D44" s="123">
        <v>552296.02311664331</v>
      </c>
      <c r="E44" s="689">
        <f>'2021 + true up CAP'!E59</f>
        <v>551229.20381992706</v>
      </c>
      <c r="F44" s="689">
        <f t="shared" si="3"/>
        <v>-1066.8192967162468</v>
      </c>
      <c r="I44"/>
      <c r="J44"/>
      <c r="K44"/>
      <c r="L44"/>
    </row>
    <row r="45" spans="1:12" x14ac:dyDescent="0.25">
      <c r="A45" s="119">
        <f t="shared" si="2"/>
        <v>30</v>
      </c>
      <c r="B45" s="21" t="s">
        <v>71</v>
      </c>
      <c r="C45" s="21"/>
      <c r="D45" s="123">
        <v>115982.16485449509</v>
      </c>
      <c r="E45" s="689">
        <f>'2021 + true up CAP'!E60</f>
        <v>115758.13280218469</v>
      </c>
      <c r="F45" s="689">
        <f t="shared" si="3"/>
        <v>-224.03205231040192</v>
      </c>
      <c r="I45"/>
      <c r="J45"/>
      <c r="K45"/>
      <c r="L45"/>
    </row>
    <row r="46" spans="1:12" x14ac:dyDescent="0.25">
      <c r="A46" s="119">
        <f t="shared" si="2"/>
        <v>31</v>
      </c>
      <c r="B46" s="21"/>
      <c r="C46" s="21"/>
      <c r="D46" s="124"/>
      <c r="I46"/>
      <c r="J46"/>
      <c r="K46"/>
      <c r="L46"/>
    </row>
    <row r="47" spans="1:12" x14ac:dyDescent="0.25">
      <c r="A47" s="119">
        <f t="shared" si="2"/>
        <v>32</v>
      </c>
      <c r="B47" s="21" t="s">
        <v>72</v>
      </c>
      <c r="C47" s="21"/>
      <c r="D47" s="125">
        <v>0.51875000000000004</v>
      </c>
      <c r="E47" s="698">
        <f>'2021 + true up CAP'!E66</f>
        <v>0.51875000000000004</v>
      </c>
      <c r="F47" s="698">
        <f>E47-D47</f>
        <v>0</v>
      </c>
      <c r="I47"/>
      <c r="J47"/>
      <c r="K47"/>
      <c r="L47"/>
    </row>
    <row r="48" spans="1:12" x14ac:dyDescent="0.25">
      <c r="I48"/>
      <c r="J48"/>
      <c r="K48"/>
      <c r="L48"/>
    </row>
  </sheetData>
  <pageMargins left="0.45" right="0.45" top="0.75" bottom="0.75" header="0.3" footer="0.3"/>
  <pageSetup scale="70" orientation="portrait" r:id="rId1"/>
  <headerFooter>
    <oddFooter>&amp;L&amp;A
&amp;F&amp;RPage &amp;P of &amp;N</oddFooter>
  </headerFooter>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34"/>
  <sheetViews>
    <sheetView zoomScale="90" zoomScaleNormal="90" workbookViewId="0">
      <selection activeCell="K28" sqref="K28"/>
    </sheetView>
  </sheetViews>
  <sheetFormatPr defaultColWidth="9.28515625" defaultRowHeight="15" x14ac:dyDescent="0.25"/>
  <cols>
    <col min="1" max="1" width="9.28515625" style="591"/>
    <col min="2" max="2" width="27.7109375" style="591" bestFit="1" customWidth="1"/>
    <col min="3" max="3" width="16.42578125" style="591" bestFit="1" customWidth="1"/>
    <col min="4" max="4" width="26.28515625" style="591" customWidth="1"/>
    <col min="5" max="5" width="16.7109375" style="591" customWidth="1"/>
    <col min="6" max="6" width="25.5703125" style="591" customWidth="1"/>
    <col min="7" max="7" width="1" style="592" customWidth="1"/>
    <col min="8" max="8" width="17.7109375" style="591" customWidth="1"/>
    <col min="9" max="9" width="19.5703125" style="591" customWidth="1"/>
    <col min="10" max="10" width="14.28515625" style="591" bestFit="1" customWidth="1"/>
    <col min="11" max="11" width="16" style="591" bestFit="1" customWidth="1"/>
    <col min="12" max="12" width="9.85546875" style="591" customWidth="1"/>
    <col min="13" max="13" width="9.28515625" style="591"/>
    <col min="14" max="14" width="17.5703125" style="591" customWidth="1"/>
    <col min="15" max="15" width="16.28515625" style="591" bestFit="1" customWidth="1"/>
    <col min="16" max="16" width="14.5703125" style="591" bestFit="1" customWidth="1"/>
    <col min="17" max="16384" width="9.28515625" style="591"/>
  </cols>
  <sheetData>
    <row r="2" spans="2:21" ht="16.5" thickBot="1" x14ac:dyDescent="0.3">
      <c r="B2" s="590" t="s">
        <v>318</v>
      </c>
      <c r="P2"/>
    </row>
    <row r="3" spans="2:21" ht="15.75" thickBot="1" x14ac:dyDescent="0.3">
      <c r="B3" s="593" t="s">
        <v>319</v>
      </c>
      <c r="C3" s="594"/>
      <c r="D3" s="594"/>
      <c r="E3" s="595" t="s">
        <v>320</v>
      </c>
      <c r="F3" s="596"/>
      <c r="G3" s="597"/>
      <c r="H3" s="833" t="s">
        <v>321</v>
      </c>
      <c r="I3" s="834"/>
      <c r="J3" s="835"/>
      <c r="L3"/>
      <c r="M3" t="s">
        <v>322</v>
      </c>
      <c r="N3"/>
      <c r="O3"/>
      <c r="P3"/>
      <c r="R3"/>
      <c r="S3"/>
      <c r="T3"/>
      <c r="U3"/>
    </row>
    <row r="4" spans="2:21" ht="11.25" customHeight="1" thickBot="1" x14ac:dyDescent="0.3">
      <c r="B4" s="598" t="s">
        <v>260</v>
      </c>
      <c r="C4" s="599"/>
      <c r="D4" s="599"/>
      <c r="E4" s="599"/>
      <c r="F4" s="600"/>
      <c r="G4" s="601"/>
      <c r="H4" s="602"/>
      <c r="I4" s="603"/>
      <c r="J4" s="604"/>
      <c r="K4" s="592"/>
      <c r="L4"/>
      <c r="M4" s="533" t="s">
        <v>296</v>
      </c>
      <c r="N4" s="534"/>
      <c r="O4" s="279"/>
      <c r="P4" s="563"/>
      <c r="Q4" s="563"/>
      <c r="R4"/>
      <c r="S4"/>
      <c r="T4"/>
      <c r="U4"/>
    </row>
    <row r="5" spans="2:21" ht="30" x14ac:dyDescent="0.25">
      <c r="B5" s="605" t="s">
        <v>210</v>
      </c>
      <c r="C5" s="606" t="s">
        <v>201</v>
      </c>
      <c r="D5" s="607" t="s">
        <v>323</v>
      </c>
      <c r="E5" s="607" t="s">
        <v>324</v>
      </c>
      <c r="F5" s="608" t="s">
        <v>325</v>
      </c>
      <c r="G5" s="609"/>
      <c r="H5" s="607" t="s">
        <v>326</v>
      </c>
      <c r="I5" s="608" t="s">
        <v>327</v>
      </c>
      <c r="J5" s="610" t="s">
        <v>232</v>
      </c>
      <c r="K5"/>
      <c r="L5"/>
      <c r="M5" s="536">
        <v>892</v>
      </c>
      <c r="N5" s="536">
        <v>893</v>
      </c>
      <c r="O5" s="536">
        <v>878</v>
      </c>
      <c r="P5" s="536">
        <v>887</v>
      </c>
      <c r="Q5" s="536">
        <v>874</v>
      </c>
      <c r="R5"/>
      <c r="S5"/>
      <c r="T5"/>
      <c r="U5"/>
    </row>
    <row r="6" spans="2:21" x14ac:dyDescent="0.25">
      <c r="B6" s="611" t="s">
        <v>219</v>
      </c>
      <c r="C6" s="612" t="s">
        <v>220</v>
      </c>
      <c r="D6" s="613">
        <v>3372737.88</v>
      </c>
      <c r="E6" s="613">
        <v>32632.38112233928</v>
      </c>
      <c r="F6" s="614">
        <f>+E6+D6</f>
        <v>3405370.2611223389</v>
      </c>
      <c r="G6" s="615"/>
      <c r="H6" s="616">
        <v>121746.12</v>
      </c>
      <c r="I6" s="617">
        <v>3494484</v>
      </c>
      <c r="J6" s="614">
        <f>+I6-F6</f>
        <v>89113.738877661061</v>
      </c>
      <c r="K6"/>
      <c r="L6"/>
      <c r="M6" s="444"/>
      <c r="N6" s="445"/>
      <c r="O6" s="444"/>
      <c r="P6" s="445"/>
      <c r="Q6" s="618">
        <f>D6/D6</f>
        <v>1</v>
      </c>
      <c r="R6" s="619">
        <f>SUM(M6:Q6)</f>
        <v>1</v>
      </c>
      <c r="S6"/>
      <c r="T6"/>
      <c r="U6"/>
    </row>
    <row r="7" spans="2:21" x14ac:dyDescent="0.25">
      <c r="B7" s="611" t="s">
        <v>222</v>
      </c>
      <c r="C7" s="612" t="s">
        <v>223</v>
      </c>
      <c r="D7" s="620">
        <v>55286.64</v>
      </c>
      <c r="E7" s="613">
        <v>0</v>
      </c>
      <c r="F7" s="614">
        <f>+E7+D7</f>
        <v>55286.64</v>
      </c>
      <c r="G7" s="615"/>
      <c r="H7" s="616">
        <v>2606.84</v>
      </c>
      <c r="I7" s="617">
        <v>57893.479999999996</v>
      </c>
      <c r="J7" s="614">
        <f t="shared" ref="J7:J8" si="0">+I7-F7</f>
        <v>2606.8399999999965</v>
      </c>
      <c r="K7"/>
      <c r="L7"/>
      <c r="M7" s="446">
        <v>0.70679999999999998</v>
      </c>
      <c r="N7" s="447"/>
      <c r="O7" s="448"/>
      <c r="P7" s="449">
        <v>0.29320000000000002</v>
      </c>
      <c r="Q7" s="621"/>
      <c r="R7" s="619">
        <f>SUM(M7:Q7)</f>
        <v>1</v>
      </c>
      <c r="S7"/>
      <c r="T7"/>
      <c r="U7"/>
    </row>
    <row r="8" spans="2:21" ht="15.75" thickBot="1" x14ac:dyDescent="0.3">
      <c r="B8" s="622" t="s">
        <v>328</v>
      </c>
      <c r="C8" s="623" t="s">
        <v>217</v>
      </c>
      <c r="D8" s="624">
        <v>1496840.2499999984</v>
      </c>
      <c r="E8" s="624">
        <v>38325.156058420442</v>
      </c>
      <c r="F8" s="625">
        <f>D8+E8</f>
        <v>1535165.4060584188</v>
      </c>
      <c r="G8" s="626"/>
      <c r="H8" s="627">
        <v>59096.19</v>
      </c>
      <c r="I8" s="628">
        <v>1555936.4399999983</v>
      </c>
      <c r="J8" s="625">
        <f t="shared" si="0"/>
        <v>20771.033941579517</v>
      </c>
      <c r="K8"/>
      <c r="L8"/>
      <c r="M8" s="446">
        <v>0.98753444798133938</v>
      </c>
      <c r="N8" s="449">
        <v>7.841451350603406E-4</v>
      </c>
      <c r="O8" s="446">
        <v>1.1681406883600347E-2</v>
      </c>
      <c r="P8" s="450"/>
      <c r="Q8" s="621"/>
      <c r="R8" s="619">
        <f t="shared" ref="R8" si="1">SUM(M8:Q8)</f>
        <v>1</v>
      </c>
      <c r="S8"/>
      <c r="T8"/>
      <c r="U8"/>
    </row>
    <row r="9" spans="2:21" x14ac:dyDescent="0.25">
      <c r="B9" s="629" t="s">
        <v>264</v>
      </c>
      <c r="C9" s="630"/>
      <c r="D9" s="631">
        <f>SUM(D6:D8)</f>
        <v>4924864.7699999986</v>
      </c>
      <c r="E9" s="632">
        <f>SUM(E6:E8)</f>
        <v>70957.537180759726</v>
      </c>
      <c r="F9" s="633">
        <f>SUM(F6:F8)</f>
        <v>4995822.3071807576</v>
      </c>
      <c r="G9" s="634"/>
      <c r="H9" s="635">
        <f>SUM(H6:H8)</f>
        <v>183449.15</v>
      </c>
      <c r="I9" s="636">
        <f>SUM(I6:I8)</f>
        <v>5108313.9199999981</v>
      </c>
      <c r="J9" s="633">
        <f>+I9-F9</f>
        <v>112491.61281924043</v>
      </c>
      <c r="K9" s="592"/>
      <c r="L9"/>
      <c r="M9"/>
      <c r="N9"/>
      <c r="O9"/>
      <c r="P9"/>
      <c r="Q9"/>
      <c r="R9"/>
      <c r="S9"/>
      <c r="T9"/>
      <c r="U9"/>
    </row>
    <row r="10" spans="2:21" x14ac:dyDescent="0.25">
      <c r="B10" s="637" t="s">
        <v>285</v>
      </c>
      <c r="C10" s="638">
        <f>'2021 + true up CAP'!F16</f>
        <v>4.5447000000000001E-2</v>
      </c>
      <c r="D10" s="639"/>
      <c r="E10" s="640"/>
      <c r="F10" s="641"/>
      <c r="G10" s="642"/>
      <c r="H10" s="643"/>
      <c r="I10" s="644"/>
      <c r="J10" s="641"/>
      <c r="L10"/>
      <c r="M10"/>
      <c r="N10"/>
      <c r="O10"/>
      <c r="P10"/>
      <c r="Q10"/>
      <c r="R10"/>
      <c r="S10"/>
      <c r="T10"/>
      <c r="U10"/>
    </row>
    <row r="11" spans="2:21" x14ac:dyDescent="0.25">
      <c r="B11" s="645" t="s">
        <v>286</v>
      </c>
      <c r="C11" s="646"/>
      <c r="D11" s="647"/>
      <c r="E11" s="648"/>
      <c r="F11" s="649"/>
      <c r="G11" s="647"/>
      <c r="H11" s="650"/>
      <c r="I11" s="647"/>
      <c r="J11" s="649">
        <f>+J9/(1-C10)</f>
        <v>117847.42473098972</v>
      </c>
      <c r="K11" s="651"/>
      <c r="L11"/>
      <c r="M11"/>
      <c r="N11"/>
      <c r="O11"/>
      <c r="P11"/>
      <c r="Q11"/>
      <c r="R11"/>
      <c r="S11"/>
      <c r="T11"/>
      <c r="U11"/>
    </row>
    <row r="12" spans="2:21" ht="15.75" thickBot="1" x14ac:dyDescent="0.3">
      <c r="B12" s="652"/>
      <c r="C12" s="653"/>
      <c r="D12" s="653"/>
      <c r="E12" s="653"/>
      <c r="F12" s="654"/>
      <c r="G12" s="653"/>
      <c r="H12" s="652"/>
      <c r="I12" s="653"/>
      <c r="J12" s="654"/>
      <c r="L12"/>
      <c r="M12"/>
      <c r="N12"/>
      <c r="O12"/>
      <c r="P12"/>
      <c r="Q12"/>
      <c r="R12"/>
      <c r="S12"/>
      <c r="T12"/>
      <c r="U12"/>
    </row>
    <row r="13" spans="2:21" ht="11.25" customHeight="1" thickBot="1" x14ac:dyDescent="0.3">
      <c r="B13" s="598" t="s">
        <v>209</v>
      </c>
      <c r="C13" s="599"/>
      <c r="D13" s="599"/>
      <c r="E13" s="599"/>
      <c r="F13" s="600"/>
      <c r="G13" s="601"/>
      <c r="H13" s="602"/>
      <c r="I13" s="603"/>
      <c r="J13" s="655"/>
      <c r="L13"/>
      <c r="M13"/>
      <c r="N13"/>
      <c r="O13"/>
      <c r="P13"/>
      <c r="Q13"/>
      <c r="R13"/>
      <c r="S13"/>
      <c r="T13"/>
      <c r="U13"/>
    </row>
    <row r="14" spans="2:21" ht="30" x14ac:dyDescent="0.25">
      <c r="B14" s="656" t="s">
        <v>210</v>
      </c>
      <c r="C14" s="657" t="s">
        <v>201</v>
      </c>
      <c r="D14" s="607" t="s">
        <v>323</v>
      </c>
      <c r="E14" s="607" t="s">
        <v>324</v>
      </c>
      <c r="F14" s="608" t="s">
        <v>325</v>
      </c>
      <c r="G14" s="609"/>
      <c r="H14" s="607" t="s">
        <v>326</v>
      </c>
      <c r="I14" s="608" t="s">
        <v>327</v>
      </c>
      <c r="J14" s="610" t="s">
        <v>232</v>
      </c>
      <c r="K14" s="592"/>
      <c r="L14" s="592"/>
      <c r="M14"/>
      <c r="N14" s="512" t="s">
        <v>283</v>
      </c>
      <c r="O14" s="513" t="str">
        <f>I14</f>
        <v xml:space="preserve">Total Actual Nov 20 - Oct 21 </v>
      </c>
      <c r="P14"/>
      <c r="Q14"/>
      <c r="R14"/>
      <c r="S14"/>
      <c r="T14"/>
      <c r="U14"/>
    </row>
    <row r="15" spans="2:21" x14ac:dyDescent="0.25">
      <c r="B15" s="658" t="s">
        <v>265</v>
      </c>
      <c r="C15" s="659" t="s">
        <v>95</v>
      </c>
      <c r="D15" s="660">
        <v>38193603.479999885</v>
      </c>
      <c r="E15" s="661">
        <v>2692261</v>
      </c>
      <c r="F15" s="614">
        <f>SUM(D15:E15)</f>
        <v>40885864.479999885</v>
      </c>
      <c r="G15" s="615"/>
      <c r="H15" s="662">
        <v>2526053.129999998</v>
      </c>
      <c r="I15" s="617">
        <v>40719656.60999988</v>
      </c>
      <c r="J15" s="614">
        <f t="shared" ref="J15:J19" si="2">+I15-F15</f>
        <v>-166207.87000000477</v>
      </c>
      <c r="K15" s="592" t="str">
        <f>H26</f>
        <v>Mains, FERC 376</v>
      </c>
      <c r="L15" s="592"/>
      <c r="M15"/>
      <c r="N15" s="339" t="str">
        <f>K15</f>
        <v>Mains, FERC 376</v>
      </c>
      <c r="O15" s="514">
        <f>(I15)/$I$17</f>
        <v>0.92227147802712939</v>
      </c>
      <c r="P15"/>
      <c r="Q15"/>
      <c r="R15"/>
      <c r="S15"/>
      <c r="T15"/>
      <c r="U15"/>
    </row>
    <row r="16" spans="2:21" ht="15.75" thickBot="1" x14ac:dyDescent="0.3">
      <c r="B16" s="663" t="s">
        <v>266</v>
      </c>
      <c r="C16" s="664" t="s">
        <v>267</v>
      </c>
      <c r="D16" s="624">
        <v>3059912.300000004</v>
      </c>
      <c r="E16" s="665">
        <v>172736.98467741959</v>
      </c>
      <c r="F16" s="666">
        <f>SUM(D16:E16)</f>
        <v>3232649.2846774235</v>
      </c>
      <c r="G16" s="667"/>
      <c r="H16" s="627">
        <v>371917.48000000016</v>
      </c>
      <c r="I16" s="624">
        <v>3431829.780000004</v>
      </c>
      <c r="J16" s="666">
        <f t="shared" si="2"/>
        <v>199180.49532258045</v>
      </c>
      <c r="K16" s="592" t="str">
        <f>H27</f>
        <v>Services, FERC 380</v>
      </c>
      <c r="L16" s="592"/>
      <c r="M16"/>
      <c r="N16" s="339" t="str">
        <f>K16</f>
        <v>Services, FERC 380</v>
      </c>
      <c r="O16" s="514">
        <f>I16/$I$17</f>
        <v>7.7728521972870626E-2</v>
      </c>
      <c r="P16"/>
      <c r="Q16"/>
      <c r="R16"/>
      <c r="S16"/>
      <c r="T16"/>
      <c r="U16"/>
    </row>
    <row r="17" spans="2:21" x14ac:dyDescent="0.25">
      <c r="B17" s="629" t="s">
        <v>268</v>
      </c>
      <c r="C17" s="668"/>
      <c r="D17" s="631">
        <f>SUM(D15:D16)</f>
        <v>41253515.779999889</v>
      </c>
      <c r="E17" s="636">
        <f>SUM(E15:E16)</f>
        <v>2864997.9846774195</v>
      </c>
      <c r="F17" s="633">
        <f>SUM(F15:F16)</f>
        <v>44118513.764677308</v>
      </c>
      <c r="G17" s="634"/>
      <c r="H17" s="669">
        <f>SUM(H15:H16)</f>
        <v>2897970.609999998</v>
      </c>
      <c r="I17" s="636">
        <f>SUM(I15:I16)</f>
        <v>44151486.389999881</v>
      </c>
      <c r="J17" s="633">
        <f t="shared" si="2"/>
        <v>32972.625322572887</v>
      </c>
      <c r="K17" s="592"/>
      <c r="L17" s="592"/>
      <c r="M17"/>
      <c r="N17" s="348"/>
      <c r="O17" s="349">
        <f>SUM(O15:O16)</f>
        <v>1</v>
      </c>
      <c r="P17"/>
      <c r="Q17"/>
      <c r="R17"/>
      <c r="S17"/>
      <c r="T17"/>
      <c r="U17"/>
    </row>
    <row r="18" spans="2:21" x14ac:dyDescent="0.25">
      <c r="B18" s="652"/>
      <c r="C18" s="653"/>
      <c r="D18" s="653"/>
      <c r="E18" s="653"/>
      <c r="F18" s="633"/>
      <c r="G18" s="653"/>
      <c r="H18" s="652"/>
      <c r="I18" s="653"/>
      <c r="J18" s="654"/>
      <c r="K18" s="592"/>
      <c r="L18" s="592"/>
      <c r="M18"/>
      <c r="N18"/>
      <c r="O18"/>
      <c r="P18"/>
      <c r="Q18"/>
      <c r="R18"/>
      <c r="S18"/>
      <c r="T18"/>
      <c r="U18"/>
    </row>
    <row r="19" spans="2:21" ht="15.75" thickBot="1" x14ac:dyDescent="0.3">
      <c r="B19" s="670" t="s">
        <v>269</v>
      </c>
      <c r="C19" s="671"/>
      <c r="D19" s="672">
        <f>D9+D17</f>
        <v>46178380.549999885</v>
      </c>
      <c r="E19" s="672">
        <f>E9+E17</f>
        <v>2935955.5218581795</v>
      </c>
      <c r="F19" s="673">
        <f>F9+F17</f>
        <v>49114336.071858063</v>
      </c>
      <c r="G19" s="674"/>
      <c r="H19" s="675">
        <f>H9+H17</f>
        <v>3081419.7599999979</v>
      </c>
      <c r="I19" s="676">
        <f>I9+I17</f>
        <v>49259800.309999883</v>
      </c>
      <c r="J19" s="673">
        <f t="shared" si="2"/>
        <v>145464.23814181983</v>
      </c>
      <c r="K19" s="592"/>
      <c r="L19" s="592"/>
      <c r="M19"/>
      <c r="N19"/>
      <c r="O19"/>
      <c r="P19"/>
      <c r="Q19"/>
      <c r="R19"/>
      <c r="S19"/>
      <c r="T19"/>
      <c r="U19"/>
    </row>
    <row r="20" spans="2:21" x14ac:dyDescent="0.25">
      <c r="B20" s="592"/>
      <c r="C20" s="592"/>
      <c r="D20" s="592"/>
      <c r="E20" s="592"/>
      <c r="F20" s="592"/>
      <c r="H20" s="592"/>
      <c r="I20" s="592"/>
      <c r="J20" s="592"/>
      <c r="K20" s="592"/>
      <c r="L20" s="592"/>
    </row>
    <row r="21" spans="2:21" ht="30" x14ac:dyDescent="0.25">
      <c r="B21" s="592"/>
      <c r="C21" s="592"/>
      <c r="D21" s="592"/>
      <c r="E21" s="677" t="s">
        <v>13</v>
      </c>
      <c r="F21" s="678" t="s">
        <v>211</v>
      </c>
      <c r="H21" s="677" t="s">
        <v>13</v>
      </c>
      <c r="I21" s="678" t="s">
        <v>211</v>
      </c>
      <c r="J21" s="592"/>
      <c r="K21" s="592"/>
      <c r="L21" s="592"/>
    </row>
    <row r="22" spans="2:21" x14ac:dyDescent="0.25">
      <c r="B22" s="592"/>
      <c r="C22" s="592"/>
      <c r="D22" s="260" t="s">
        <v>91</v>
      </c>
      <c r="E22" s="547">
        <f>'2022 C&amp;OM'!E35</f>
        <v>2.443056207967733E-2</v>
      </c>
      <c r="F22" s="679">
        <f>+F15*E22</f>
        <v>998864.65035991149</v>
      </c>
      <c r="H22" s="547">
        <f>+E22</f>
        <v>2.443056207967733E-2</v>
      </c>
      <c r="I22" s="679">
        <f>+I15*H22</f>
        <v>994804.09867374541</v>
      </c>
      <c r="J22" s="592"/>
      <c r="K22" s="592"/>
      <c r="L22" s="592"/>
      <c r="M22" s="680"/>
    </row>
    <row r="23" spans="2:21" x14ac:dyDescent="0.25">
      <c r="D23" s="681" t="s">
        <v>84</v>
      </c>
      <c r="E23" s="547">
        <f>'2022 C&amp;OM'!E36</f>
        <v>3.1950138602539598E-2</v>
      </c>
      <c r="F23" s="682">
        <f>+F16*E23</f>
        <v>103283.59269884416</v>
      </c>
      <c r="H23" s="547">
        <f>+E23</f>
        <v>3.1950138602539598E-2</v>
      </c>
      <c r="I23" s="682">
        <f>+I16*H23</f>
        <v>109647.43713132309</v>
      </c>
    </row>
    <row r="24" spans="2:21" x14ac:dyDescent="0.25">
      <c r="E24" s="555"/>
      <c r="F24" s="683">
        <f>SUM(F22:F23)</f>
        <v>1102148.2430587558</v>
      </c>
      <c r="H24" s="684"/>
      <c r="I24" s="683">
        <f>SUM(I22:I23)</f>
        <v>1104451.5358050684</v>
      </c>
    </row>
    <row r="25" spans="2:21" x14ac:dyDescent="0.25">
      <c r="E25" s="685"/>
      <c r="F25" s="406">
        <f>+F24/F17</f>
        <v>2.4981536072077995E-2</v>
      </c>
      <c r="G25" s="686"/>
      <c r="H25" s="547"/>
      <c r="I25" s="406">
        <f>+I24/I17</f>
        <v>2.5015047648661311E-2</v>
      </c>
    </row>
    <row r="26" spans="2:21" x14ac:dyDescent="0.25">
      <c r="E26" s="592"/>
      <c r="G26" s="686"/>
      <c r="H26" s="686" t="s">
        <v>287</v>
      </c>
      <c r="I26" s="406">
        <f>+I22/I24</f>
        <v>0.90072227383757708</v>
      </c>
    </row>
    <row r="27" spans="2:21" x14ac:dyDescent="0.25">
      <c r="E27" s="592"/>
      <c r="G27" s="686"/>
      <c r="H27" s="686" t="s">
        <v>288</v>
      </c>
      <c r="I27" s="406">
        <f>+I23/I24</f>
        <v>9.9277726162422988E-2</v>
      </c>
    </row>
    <row r="28" spans="2:21" x14ac:dyDescent="0.25">
      <c r="I28" s="592"/>
    </row>
    <row r="34" spans="2:2" x14ac:dyDescent="0.25">
      <c r="B34" s="687"/>
    </row>
  </sheetData>
  <mergeCells count="1">
    <mergeCell ref="H3:J3"/>
  </mergeCells>
  <pageMargins left="0.25" right="0.25" top="0.75" bottom="0.75" header="0.3" footer="0.3"/>
  <pageSetup scale="49" orientation="landscape" r:id="rId1"/>
  <headerFooter>
    <oddFooter>&amp;L&amp;A
&amp;F&amp;RPage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6"/>
  <sheetViews>
    <sheetView zoomScaleNormal="100" workbookViewId="0">
      <selection activeCell="B14" sqref="B14"/>
    </sheetView>
  </sheetViews>
  <sheetFormatPr defaultColWidth="9.28515625" defaultRowHeight="12.75" x14ac:dyDescent="0.2"/>
  <cols>
    <col min="1" max="1" width="53" style="112" bestFit="1" customWidth="1"/>
    <col min="2" max="2" width="15.28515625" style="112" bestFit="1" customWidth="1"/>
    <col min="3" max="3" width="25.7109375" style="143" bestFit="1" customWidth="1"/>
    <col min="4" max="4" width="9.28515625" style="143"/>
    <col min="5" max="5" width="45.42578125" style="522" customWidth="1"/>
    <col min="6" max="6" width="13.7109375" style="522" customWidth="1"/>
    <col min="7" max="8" width="9.28515625" style="143"/>
    <col min="9" max="9" width="48.28515625" style="143" bestFit="1" customWidth="1"/>
    <col min="10" max="10" width="12.42578125" style="143" bestFit="1" customWidth="1"/>
    <col min="11" max="16384" width="9.28515625" style="143"/>
  </cols>
  <sheetData>
    <row r="3" spans="1:10" x14ac:dyDescent="0.2">
      <c r="A3" s="254" t="s">
        <v>76</v>
      </c>
      <c r="B3" s="254"/>
      <c r="C3" s="112"/>
    </row>
    <row r="4" spans="1:10" x14ac:dyDescent="0.2">
      <c r="A4" s="254" t="s">
        <v>77</v>
      </c>
      <c r="B4" s="254"/>
      <c r="C4" s="112"/>
    </row>
    <row r="5" spans="1:10" x14ac:dyDescent="0.2">
      <c r="A5" s="254" t="s">
        <v>310</v>
      </c>
      <c r="B5" s="254"/>
      <c r="C5" s="112"/>
      <c r="G5"/>
      <c r="I5"/>
      <c r="J5"/>
    </row>
    <row r="6" spans="1:10" x14ac:dyDescent="0.2">
      <c r="A6" s="254" t="s">
        <v>449</v>
      </c>
      <c r="B6" s="254"/>
      <c r="C6" s="112"/>
      <c r="G6"/>
      <c r="H6"/>
      <c r="I6"/>
      <c r="J6"/>
    </row>
    <row r="7" spans="1:10" x14ac:dyDescent="0.2">
      <c r="A7" s="254"/>
      <c r="B7" s="254"/>
      <c r="D7"/>
      <c r="E7"/>
      <c r="F7"/>
      <c r="G7"/>
      <c r="H7"/>
      <c r="I7"/>
      <c r="J7"/>
    </row>
    <row r="8" spans="1:10" x14ac:dyDescent="0.2">
      <c r="D8"/>
      <c r="E8"/>
      <c r="F8"/>
      <c r="G8"/>
      <c r="H8"/>
      <c r="I8"/>
      <c r="J8"/>
    </row>
    <row r="9" spans="1:10" ht="65.25" customHeight="1" x14ac:dyDescent="0.2">
      <c r="A9" s="435" t="s">
        <v>101</v>
      </c>
      <c r="B9" s="436" t="s">
        <v>172</v>
      </c>
      <c r="C9" s="437"/>
      <c r="D9"/>
      <c r="E9"/>
      <c r="F9"/>
      <c r="G9"/>
      <c r="H9"/>
      <c r="I9"/>
      <c r="J9"/>
    </row>
    <row r="10" spans="1:10" x14ac:dyDescent="0.2">
      <c r="A10" s="109" t="s">
        <v>311</v>
      </c>
      <c r="B10" s="110">
        <f>'2019 CRM'!H42</f>
        <v>6423676.0933971079</v>
      </c>
      <c r="D10"/>
      <c r="E10"/>
      <c r="F10"/>
      <c r="G10"/>
      <c r="H10"/>
      <c r="I10"/>
      <c r="J10"/>
    </row>
    <row r="11" spans="1:10" ht="17.25" customHeight="1" x14ac:dyDescent="0.2">
      <c r="A11" s="109" t="s">
        <v>312</v>
      </c>
      <c r="B11" s="258">
        <f>'2020 CRM'!G42</f>
        <v>5846522.473901934</v>
      </c>
      <c r="D11"/>
      <c r="E11"/>
      <c r="F11"/>
      <c r="G11"/>
      <c r="H11"/>
      <c r="I11"/>
      <c r="J11"/>
    </row>
    <row r="12" spans="1:10" x14ac:dyDescent="0.2">
      <c r="A12" s="109" t="s">
        <v>313</v>
      </c>
      <c r="B12" s="141">
        <f>'2021 + true up CAP'!F42</f>
        <v>4966809.2821760066</v>
      </c>
      <c r="D12"/>
      <c r="E12"/>
      <c r="F12"/>
      <c r="G12"/>
      <c r="H12"/>
      <c r="I12"/>
      <c r="J12"/>
    </row>
    <row r="13" spans="1:10" s="112" customFormat="1" x14ac:dyDescent="0.2">
      <c r="A13" s="109" t="s">
        <v>314</v>
      </c>
      <c r="B13" s="141">
        <f>'2021TrueUp'!F7</f>
        <v>123138.08693615497</v>
      </c>
      <c r="C13" s="166"/>
      <c r="D13"/>
      <c r="E13"/>
      <c r="F13"/>
      <c r="G13"/>
      <c r="H13"/>
      <c r="I13" s="217"/>
      <c r="J13" s="217"/>
    </row>
    <row r="14" spans="1:10" s="112" customFormat="1" x14ac:dyDescent="0.2">
      <c r="A14" s="109" t="s">
        <v>315</v>
      </c>
      <c r="B14" s="141">
        <f>'2022 C&amp;OM'!F28</f>
        <v>8662904.883976778</v>
      </c>
      <c r="D14"/>
      <c r="E14"/>
      <c r="F14"/>
      <c r="G14"/>
      <c r="H14"/>
      <c r="I14" s="217"/>
      <c r="J14" s="217"/>
    </row>
    <row r="15" spans="1:10" s="112" customFormat="1" ht="13.5" thickBot="1" x14ac:dyDescent="0.25">
      <c r="A15" s="259" t="s">
        <v>450</v>
      </c>
      <c r="B15" s="111">
        <f>SUM(B10:B14)</f>
        <v>26023050.820387982</v>
      </c>
      <c r="C15" s="438"/>
      <c r="D15"/>
      <c r="E15"/>
      <c r="F15"/>
      <c r="G15"/>
      <c r="H15"/>
      <c r="I15" s="217"/>
      <c r="J15" s="217"/>
    </row>
    <row r="16" spans="1:10" ht="13.5" thickTop="1" x14ac:dyDescent="0.2">
      <c r="B16" s="113"/>
      <c r="D16"/>
      <c r="E16"/>
      <c r="F16"/>
      <c r="G16"/>
      <c r="H16"/>
      <c r="I16"/>
      <c r="J16"/>
    </row>
    <row r="17" spans="1:10" x14ac:dyDescent="0.2">
      <c r="A17" s="217"/>
      <c r="B17" s="217"/>
      <c r="D17"/>
      <c r="E17"/>
      <c r="F17"/>
      <c r="G17"/>
      <c r="H17"/>
      <c r="I17"/>
      <c r="J17"/>
    </row>
    <row r="18" spans="1:10" x14ac:dyDescent="0.2">
      <c r="A18" s="217"/>
      <c r="B18" s="217"/>
      <c r="D18"/>
      <c r="E18"/>
      <c r="F18"/>
      <c r="G18"/>
      <c r="H18"/>
      <c r="I18"/>
      <c r="J18"/>
    </row>
    <row r="19" spans="1:10" x14ac:dyDescent="0.2">
      <c r="A19" s="217"/>
      <c r="B19" s="217"/>
      <c r="G19"/>
      <c r="H19"/>
    </row>
    <row r="20" spans="1:10" x14ac:dyDescent="0.2">
      <c r="A20" s="217"/>
      <c r="B20" s="217"/>
    </row>
    <row r="21" spans="1:10" x14ac:dyDescent="0.2">
      <c r="A21" s="217"/>
      <c r="B21" s="217"/>
    </row>
    <row r="22" spans="1:10" x14ac:dyDescent="0.2">
      <c r="A22" s="217"/>
      <c r="B22" s="217"/>
    </row>
    <row r="23" spans="1:10" x14ac:dyDescent="0.2">
      <c r="A23" s="217"/>
      <c r="B23" s="217"/>
    </row>
    <row r="24" spans="1:10" x14ac:dyDescent="0.2">
      <c r="A24" s="217"/>
      <c r="B24" s="217"/>
    </row>
    <row r="25" spans="1:10" x14ac:dyDescent="0.2">
      <c r="A25" s="217"/>
      <c r="B25" s="217"/>
    </row>
    <row r="26" spans="1:10" x14ac:dyDescent="0.2">
      <c r="A26" s="217"/>
    </row>
  </sheetData>
  <printOptions horizontalCentered="1"/>
  <pageMargins left="0.7" right="0.7" top="0.75" bottom="0.75" header="0.3" footer="0.3"/>
  <pageSetup orientation="portrait" r:id="rId1"/>
  <headerFooter>
    <oddFooter>&amp;L&amp;F
&amp;A&amp;RPage &amp;P of &amp;N</oddFoot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zoomScale="85" zoomScaleNormal="85" workbookViewId="0">
      <pane xSplit="4" ySplit="26" topLeftCell="E27" activePane="bottomRight" state="frozen"/>
      <selection activeCell="S42" sqref="S42"/>
      <selection pane="topRight" activeCell="S42" sqref="S42"/>
      <selection pane="bottomLeft" activeCell="S42" sqref="S42"/>
      <selection pane="bottomRight" activeCell="S42" sqref="S42"/>
    </sheetView>
  </sheetViews>
  <sheetFormatPr defaultColWidth="10.28515625" defaultRowHeight="15" outlineLevelRow="1" outlineLevelCol="1" x14ac:dyDescent="0.2"/>
  <cols>
    <col min="1" max="1" width="5.7109375" style="53" customWidth="1"/>
    <col min="2" max="2" width="7.42578125" style="53" customWidth="1"/>
    <col min="3" max="3" width="26.42578125" style="53" customWidth="1"/>
    <col min="4" max="4" width="15.5703125" style="22" customWidth="1"/>
    <col min="5" max="5" width="13.5703125" style="75" customWidth="1"/>
    <col min="6" max="6" width="13.42578125" style="75" customWidth="1"/>
    <col min="7" max="7" width="14.5703125" style="75" bestFit="1" customWidth="1"/>
    <col min="8" max="8" width="12.5703125" style="75" customWidth="1"/>
    <col min="9" max="34" width="12.7109375" style="75" bestFit="1" customWidth="1"/>
    <col min="35" max="38" width="12.28515625" style="75" bestFit="1" customWidth="1"/>
    <col min="39" max="39" width="17" style="75" customWidth="1" outlineLevel="1"/>
    <col min="40" max="40" width="13" style="75" customWidth="1" outlineLevel="1"/>
    <col min="41" max="41" width="14.28515625" style="75" customWidth="1" outlineLevel="1"/>
    <col min="42" max="42" width="12.7109375" style="22" bestFit="1" customWidth="1"/>
    <col min="43" max="43" width="12.28515625" style="22" customWidth="1"/>
    <col min="44" max="45" width="14" style="22" customWidth="1"/>
    <col min="46" max="46" width="14.28515625" style="22" bestFit="1" customWidth="1"/>
    <col min="47" max="47" width="16.5703125" style="22" customWidth="1"/>
    <col min="48" max="48" width="15" style="22" bestFit="1" customWidth="1"/>
    <col min="49" max="49" width="14.7109375" style="22" customWidth="1"/>
    <col min="50" max="16384" width="10.28515625" style="22"/>
  </cols>
  <sheetData>
    <row r="1" spans="1:41" ht="17.25" customHeight="1" x14ac:dyDescent="0.25">
      <c r="A1" s="20" t="s">
        <v>0</v>
      </c>
      <c r="B1" s="21"/>
      <c r="C1" s="21"/>
      <c r="E1" s="831"/>
      <c r="F1" s="831"/>
      <c r="G1" s="22"/>
      <c r="H1" s="23"/>
      <c r="I1" s="24"/>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ht="12.75" customHeight="1" x14ac:dyDescent="0.25">
      <c r="A2" s="25" t="s">
        <v>1</v>
      </c>
      <c r="B2" s="21"/>
      <c r="C2" s="21"/>
      <c r="E2" s="22"/>
      <c r="F2" s="24"/>
      <c r="G2" s="2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x14ac:dyDescent="0.25">
      <c r="A3" s="25" t="s">
        <v>2</v>
      </c>
      <c r="B3" s="21"/>
      <c r="C3" s="486" t="s">
        <v>271</v>
      </c>
      <c r="D3" s="523" t="s">
        <v>3</v>
      </c>
      <c r="E3" s="22"/>
      <c r="F3" s="24"/>
      <c r="G3" s="24"/>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ht="7.5" customHeight="1" thickBot="1" x14ac:dyDescent="0.25">
      <c r="A4" s="21"/>
      <c r="B4" s="21"/>
      <c r="C4" s="21"/>
      <c r="E4" s="22"/>
      <c r="F4" s="24"/>
      <c r="G4" s="24"/>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41" x14ac:dyDescent="0.2">
      <c r="A5" s="26" t="s">
        <v>4</v>
      </c>
      <c r="B5" s="27"/>
      <c r="C5" s="27"/>
      <c r="D5" s="169" t="s">
        <v>231</v>
      </c>
      <c r="E5" s="28"/>
      <c r="F5" s="29"/>
      <c r="G5" s="135" t="s">
        <v>329</v>
      </c>
      <c r="H5" s="22"/>
      <c r="I5" s="22"/>
      <c r="J5" s="22"/>
      <c r="K5" s="22"/>
      <c r="L5" s="22"/>
      <c r="M5" s="22"/>
      <c r="N5" s="4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x14ac:dyDescent="0.2">
      <c r="A6" s="31"/>
      <c r="B6" s="32"/>
      <c r="C6" s="32"/>
      <c r="D6" s="134" t="s">
        <v>196</v>
      </c>
      <c r="E6" s="134"/>
      <c r="F6" s="135"/>
      <c r="G6" s="135"/>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x14ac:dyDescent="0.2">
      <c r="A7" s="31"/>
      <c r="B7" s="32"/>
      <c r="C7" s="32"/>
      <c r="D7" s="35"/>
      <c r="E7" s="35"/>
      <c r="F7" s="36" t="s">
        <v>5</v>
      </c>
      <c r="G7" s="36" t="s">
        <v>5</v>
      </c>
      <c r="H7" s="22"/>
      <c r="I7" s="22"/>
      <c r="J7" s="22"/>
      <c r="K7" s="22"/>
      <c r="L7" s="22"/>
      <c r="M7" s="136"/>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spans="1:41" x14ac:dyDescent="0.2">
      <c r="A8" s="31" t="s">
        <v>6</v>
      </c>
      <c r="B8" s="32"/>
      <c r="C8" s="32"/>
      <c r="D8" s="38" t="s">
        <v>7</v>
      </c>
      <c r="E8" s="38" t="s">
        <v>8</v>
      </c>
      <c r="F8" s="39" t="s">
        <v>8</v>
      </c>
      <c r="G8" s="39" t="s">
        <v>8</v>
      </c>
      <c r="H8" s="22"/>
      <c r="I8" s="22"/>
      <c r="J8" s="22"/>
      <c r="K8" s="22"/>
      <c r="L8" s="22"/>
      <c r="M8" s="127"/>
      <c r="N8" s="4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spans="1:41" x14ac:dyDescent="0.2">
      <c r="A9" s="31"/>
      <c r="B9" s="32"/>
      <c r="C9" s="32"/>
      <c r="D9" s="33"/>
      <c r="E9" s="33"/>
      <c r="F9" s="40"/>
      <c r="G9" s="40"/>
      <c r="H9" s="22"/>
      <c r="I9" s="22"/>
      <c r="J9" s="22"/>
      <c r="K9" s="22"/>
      <c r="L9" s="22"/>
      <c r="M9" s="127"/>
      <c r="N9" s="41"/>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spans="1:41" x14ac:dyDescent="0.2">
      <c r="A10" s="31"/>
      <c r="B10" s="32"/>
      <c r="C10" s="32"/>
      <c r="D10" s="42"/>
      <c r="E10" s="42"/>
      <c r="F10" s="43"/>
      <c r="G10" s="43"/>
      <c r="H10" s="22"/>
      <c r="I10" s="22"/>
      <c r="J10" s="22"/>
      <c r="K10" s="22"/>
      <c r="L10" s="22"/>
      <c r="M10" s="127"/>
      <c r="N10" s="41"/>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x14ac:dyDescent="0.2">
      <c r="A11" s="31" t="s">
        <v>173</v>
      </c>
      <c r="B11" s="32"/>
      <c r="C11" s="32"/>
      <c r="D11" s="42">
        <f>'2019 GRC'!C12</f>
        <v>0.51500000000000001</v>
      </c>
      <c r="E11" s="42">
        <f>'2019 GRC'!D12</f>
        <v>5.4951456310679617E-2</v>
      </c>
      <c r="F11" s="43">
        <f>'2019 GRC'!E12</f>
        <v>2.8299999999999999E-2</v>
      </c>
      <c r="G11" s="43">
        <f>+F11</f>
        <v>2.8299999999999999E-2</v>
      </c>
      <c r="H11" s="22"/>
      <c r="I11" s="22"/>
      <c r="J11" s="22"/>
      <c r="K11" s="22"/>
      <c r="L11" s="22"/>
      <c r="M11" s="127"/>
      <c r="N11" s="41"/>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1" x14ac:dyDescent="0.2">
      <c r="A12" s="31" t="s">
        <v>9</v>
      </c>
      <c r="B12" s="32"/>
      <c r="C12" s="32"/>
      <c r="D12" s="44">
        <f>'2019 GRC'!C13</f>
        <v>0.48499999999999999</v>
      </c>
      <c r="E12" s="44">
        <f>'2019 GRC'!D13</f>
        <v>9.4E-2</v>
      </c>
      <c r="F12" s="45">
        <f>'2019 GRC'!E13</f>
        <v>4.5600000000000002E-2</v>
      </c>
      <c r="G12" s="43">
        <f>+F12</f>
        <v>4.5600000000000002E-2</v>
      </c>
      <c r="H12" s="22"/>
      <c r="I12" s="22"/>
      <c r="J12" s="22"/>
      <c r="K12" s="22"/>
      <c r="L12" s="22"/>
      <c r="M12" s="127"/>
      <c r="N12" s="4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15.75" thickBot="1" x14ac:dyDescent="0.25">
      <c r="A13" s="31" t="s">
        <v>10</v>
      </c>
      <c r="B13" s="32"/>
      <c r="C13" s="32"/>
      <c r="D13" s="46">
        <f>D10+D11+D12</f>
        <v>1</v>
      </c>
      <c r="E13" s="47"/>
      <c r="F13" s="170">
        <f>F10+F11+F12</f>
        <v>7.3899999999999993E-2</v>
      </c>
      <c r="G13" s="170">
        <f>G10+G11+G12</f>
        <v>7.3899999999999993E-2</v>
      </c>
      <c r="H13" s="22"/>
      <c r="I13" s="22"/>
      <c r="J13" s="22"/>
      <c r="K13" s="22"/>
      <c r="L13" s="22"/>
      <c r="M13" s="127"/>
      <c r="N13" s="4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ht="15.75" thickTop="1" x14ac:dyDescent="0.2">
      <c r="A14" s="31"/>
      <c r="B14" s="32"/>
      <c r="C14" s="32"/>
      <c r="D14" s="33"/>
      <c r="E14" s="33"/>
      <c r="F14" s="40"/>
      <c r="G14" s="40"/>
      <c r="H14" s="22"/>
      <c r="I14" s="22"/>
      <c r="J14" s="22"/>
      <c r="K14" s="22"/>
      <c r="L14" s="22"/>
      <c r="M14" s="127"/>
      <c r="N14" s="41"/>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1:41" x14ac:dyDescent="0.2">
      <c r="A15" s="31" t="s">
        <v>11</v>
      </c>
      <c r="B15" s="32"/>
      <c r="C15" s="32"/>
      <c r="D15" s="33"/>
      <c r="E15" s="33"/>
      <c r="F15" s="43">
        <f>'2019 GRC'!I19</f>
        <v>0.21</v>
      </c>
      <c r="G15" s="43">
        <f>+F15</f>
        <v>0.21</v>
      </c>
      <c r="H15" s="22"/>
      <c r="I15" s="22"/>
      <c r="J15" s="22"/>
      <c r="K15" s="22"/>
      <c r="L15" s="22"/>
      <c r="M15" s="127"/>
      <c r="N15" s="41"/>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spans="1:41" x14ac:dyDescent="0.2">
      <c r="A16" s="31" t="s">
        <v>12</v>
      </c>
      <c r="B16" s="32"/>
      <c r="C16" s="32"/>
      <c r="D16" s="33"/>
      <c r="E16" s="33"/>
      <c r="F16" s="43">
        <f>'2019 GRC'!J16</f>
        <v>4.5447000000000001E-2</v>
      </c>
      <c r="G16" s="43">
        <f>'2019 GRC'!$J$38</f>
        <v>4.7447000000000003E-2</v>
      </c>
      <c r="H16" s="22"/>
      <c r="I16" s="22"/>
      <c r="J16" s="22"/>
      <c r="K16" s="22"/>
      <c r="L16" s="22"/>
      <c r="M16" s="127"/>
      <c r="N16" s="41"/>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9" x14ac:dyDescent="0.2">
      <c r="A17" s="31" t="s">
        <v>13</v>
      </c>
      <c r="B17" s="32"/>
      <c r="C17" s="32"/>
      <c r="D17" s="33"/>
      <c r="E17" s="33"/>
      <c r="F17" s="43">
        <f>'Summary 2021'!I25</f>
        <v>2.5015047648661311E-2</v>
      </c>
      <c r="G17" s="43">
        <f>+F17</f>
        <v>2.5015047648661311E-2</v>
      </c>
      <c r="H17" s="22"/>
      <c r="I17" s="22"/>
      <c r="J17" s="22"/>
      <c r="K17" s="22"/>
      <c r="L17" s="22"/>
      <c r="M17" s="127"/>
      <c r="N17" s="41"/>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9" x14ac:dyDescent="0.2">
      <c r="A18" s="31" t="s">
        <v>14</v>
      </c>
      <c r="B18" s="32"/>
      <c r="C18" s="32"/>
      <c r="D18" s="33"/>
      <c r="E18" s="33"/>
      <c r="F18" s="49">
        <v>2</v>
      </c>
      <c r="G18" s="49">
        <v>2</v>
      </c>
      <c r="H18" s="22"/>
      <c r="I18" s="22"/>
      <c r="J18" s="22"/>
      <c r="K18" s="22"/>
      <c r="L18" s="22"/>
      <c r="M18" s="127"/>
      <c r="N18" s="41"/>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9" x14ac:dyDescent="0.2">
      <c r="A19" s="31"/>
      <c r="B19" s="32"/>
      <c r="C19" s="32"/>
      <c r="D19" s="33"/>
      <c r="E19" s="33"/>
      <c r="F19" s="34"/>
      <c r="G19" s="34"/>
      <c r="H19" s="22"/>
      <c r="I19" s="22"/>
      <c r="J19" s="22"/>
      <c r="K19" s="22"/>
      <c r="L19" s="22"/>
      <c r="M19" s="127"/>
      <c r="N19" s="41"/>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spans="1:49" x14ac:dyDescent="0.2">
      <c r="A20" s="31" t="s">
        <v>15</v>
      </c>
      <c r="B20" s="32"/>
      <c r="C20" s="32"/>
      <c r="D20" s="33"/>
      <c r="E20" s="33"/>
      <c r="F20" s="34"/>
      <c r="G20" s="34"/>
      <c r="H20" s="22"/>
      <c r="I20" s="22"/>
      <c r="J20" s="22"/>
      <c r="K20" s="22"/>
      <c r="L20" s="22"/>
      <c r="N20" s="137"/>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9" ht="15.75" thickBot="1" x14ac:dyDescent="0.25">
      <c r="A21" s="31" t="s">
        <v>16</v>
      </c>
      <c r="B21" s="32"/>
      <c r="C21" s="32"/>
      <c r="D21" s="33"/>
      <c r="E21" s="33"/>
      <c r="F21" s="34"/>
      <c r="G21" s="34"/>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spans="1:49" ht="15.75" thickBot="1" x14ac:dyDescent="0.25">
      <c r="A22" s="50" t="s">
        <v>17</v>
      </c>
      <c r="B22" s="51"/>
      <c r="C22" s="51"/>
      <c r="D22" s="51"/>
      <c r="E22" s="52"/>
      <c r="F22" s="76">
        <v>44151486.389999881</v>
      </c>
      <c r="G22" s="274">
        <f>+F22</f>
        <v>44151486.389999881</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9" ht="6" customHeight="1" x14ac:dyDescent="0.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spans="1:49" ht="6" customHeight="1" x14ac:dyDescent="0.2">
      <c r="B24" s="22"/>
      <c r="C24" s="22"/>
      <c r="D24" s="12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49" x14ac:dyDescent="0.2">
      <c r="A25" s="21"/>
      <c r="B25" s="21"/>
      <c r="C25" s="21"/>
      <c r="D25" s="523"/>
      <c r="E25" s="55" t="s">
        <v>18</v>
      </c>
      <c r="F25" s="116" t="s">
        <v>19</v>
      </c>
      <c r="G25" s="56" t="s">
        <v>20</v>
      </c>
      <c r="H25" s="56" t="s">
        <v>21</v>
      </c>
      <c r="I25" s="56" t="s">
        <v>22</v>
      </c>
      <c r="J25" s="56" t="s">
        <v>23</v>
      </c>
      <c r="K25" s="56" t="s">
        <v>24</v>
      </c>
      <c r="L25" s="56" t="s">
        <v>25</v>
      </c>
      <c r="M25" s="56" t="s">
        <v>26</v>
      </c>
      <c r="N25" s="56" t="s">
        <v>27</v>
      </c>
      <c r="O25" s="56" t="s">
        <v>28</v>
      </c>
      <c r="P25" s="56" t="s">
        <v>29</v>
      </c>
      <c r="Q25" s="56" t="s">
        <v>30</v>
      </c>
      <c r="R25" s="56" t="s">
        <v>31</v>
      </c>
      <c r="S25" s="56" t="s">
        <v>32</v>
      </c>
      <c r="T25" s="56" t="s">
        <v>33</v>
      </c>
      <c r="U25" s="56" t="s">
        <v>34</v>
      </c>
      <c r="V25" s="56" t="s">
        <v>35</v>
      </c>
      <c r="W25" s="56" t="s">
        <v>36</v>
      </c>
      <c r="X25" s="56" t="s">
        <v>37</v>
      </c>
      <c r="Y25" s="56" t="s">
        <v>38</v>
      </c>
      <c r="Z25" s="56" t="s">
        <v>39</v>
      </c>
      <c r="AA25" s="56" t="s">
        <v>40</v>
      </c>
      <c r="AB25" s="56" t="s">
        <v>41</v>
      </c>
      <c r="AC25" s="56" t="s">
        <v>42</v>
      </c>
      <c r="AD25" s="56" t="s">
        <v>43</v>
      </c>
      <c r="AE25" s="56" t="s">
        <v>44</v>
      </c>
      <c r="AF25" s="56" t="s">
        <v>45</v>
      </c>
      <c r="AG25" s="56" t="s">
        <v>46</v>
      </c>
      <c r="AH25" s="56" t="s">
        <v>47</v>
      </c>
      <c r="AI25" s="56" t="s">
        <v>48</v>
      </c>
      <c r="AJ25" s="56" t="s">
        <v>49</v>
      </c>
      <c r="AK25" s="56" t="s">
        <v>50</v>
      </c>
      <c r="AL25" s="56" t="s">
        <v>51</v>
      </c>
      <c r="AM25" s="56" t="s">
        <v>52</v>
      </c>
      <c r="AN25" s="56" t="s">
        <v>74</v>
      </c>
      <c r="AO25" s="56" t="s">
        <v>75</v>
      </c>
      <c r="AP25" s="56" t="s">
        <v>174</v>
      </c>
      <c r="AQ25" s="56" t="s">
        <v>175</v>
      </c>
      <c r="AR25" s="56" t="s">
        <v>176</v>
      </c>
      <c r="AS25" s="22" t="s">
        <v>177</v>
      </c>
    </row>
    <row r="26" spans="1:49" x14ac:dyDescent="0.2">
      <c r="A26" s="21"/>
      <c r="B26" s="21"/>
      <c r="C26" s="21"/>
      <c r="D26" s="523"/>
      <c r="E26" s="106">
        <v>2021</v>
      </c>
      <c r="F26" s="106">
        <v>2022</v>
      </c>
      <c r="G26" s="106">
        <v>2023</v>
      </c>
      <c r="H26" s="106">
        <v>2024</v>
      </c>
      <c r="I26" s="106">
        <v>2025</v>
      </c>
      <c r="J26" s="106">
        <v>2026</v>
      </c>
      <c r="K26" s="106">
        <v>2027</v>
      </c>
      <c r="L26" s="106">
        <v>2028</v>
      </c>
      <c r="M26" s="106">
        <v>2029</v>
      </c>
      <c r="N26" s="106">
        <v>2030</v>
      </c>
      <c r="O26" s="106">
        <v>2031</v>
      </c>
      <c r="P26" s="106">
        <v>2032</v>
      </c>
      <c r="Q26" s="106">
        <v>2033</v>
      </c>
      <c r="R26" s="106">
        <v>2034</v>
      </c>
      <c r="S26" s="106">
        <v>2035</v>
      </c>
      <c r="T26" s="106">
        <v>2036</v>
      </c>
      <c r="U26" s="106">
        <v>2037</v>
      </c>
      <c r="V26" s="106">
        <v>2038</v>
      </c>
      <c r="W26" s="106">
        <v>2039</v>
      </c>
      <c r="X26" s="106">
        <v>2040</v>
      </c>
      <c r="Y26" s="106">
        <v>2041</v>
      </c>
      <c r="Z26" s="106">
        <v>2042</v>
      </c>
      <c r="AA26" s="106">
        <v>2043</v>
      </c>
      <c r="AB26" s="106">
        <v>2044</v>
      </c>
      <c r="AC26" s="106">
        <v>2045</v>
      </c>
      <c r="AD26" s="106">
        <v>2046</v>
      </c>
      <c r="AE26" s="106">
        <v>2047</v>
      </c>
      <c r="AF26" s="106">
        <v>2048</v>
      </c>
      <c r="AG26" s="106">
        <v>2049</v>
      </c>
      <c r="AH26" s="106">
        <v>2050</v>
      </c>
      <c r="AI26" s="106">
        <v>2051</v>
      </c>
      <c r="AJ26" s="106">
        <v>2052</v>
      </c>
      <c r="AK26" s="106">
        <v>2053</v>
      </c>
      <c r="AL26" s="106">
        <v>2054</v>
      </c>
      <c r="AM26" s="106">
        <v>2055</v>
      </c>
      <c r="AN26" s="106">
        <v>2056</v>
      </c>
      <c r="AO26" s="106">
        <v>2057</v>
      </c>
      <c r="AP26" s="106">
        <v>2058</v>
      </c>
      <c r="AQ26" s="106">
        <v>2059</v>
      </c>
      <c r="AR26" s="106">
        <v>2060</v>
      </c>
    </row>
    <row r="27" spans="1:49" x14ac:dyDescent="0.2">
      <c r="A27" s="486">
        <v>1</v>
      </c>
      <c r="B27" s="21" t="s">
        <v>207</v>
      </c>
      <c r="C27" s="21"/>
      <c r="D27" s="523"/>
      <c r="E27" s="57">
        <f>$F22*$F17</f>
        <v>1104451.5358050684</v>
      </c>
      <c r="F27" s="123">
        <f>$F22*$F17</f>
        <v>1104451.5358050684</v>
      </c>
      <c r="G27" s="123">
        <f>$F22*$F17</f>
        <v>1104451.5358050684</v>
      </c>
      <c r="H27" s="123">
        <f t="shared" ref="H27:AQ27" si="0">$F22*$F17</f>
        <v>1104451.5358050684</v>
      </c>
      <c r="I27" s="123">
        <f t="shared" si="0"/>
        <v>1104451.5358050684</v>
      </c>
      <c r="J27" s="123">
        <f t="shared" si="0"/>
        <v>1104451.5358050684</v>
      </c>
      <c r="K27" s="123">
        <f t="shared" si="0"/>
        <v>1104451.5358050684</v>
      </c>
      <c r="L27" s="123">
        <f t="shared" si="0"/>
        <v>1104451.5358050684</v>
      </c>
      <c r="M27" s="123">
        <f t="shared" si="0"/>
        <v>1104451.5358050684</v>
      </c>
      <c r="N27" s="123">
        <f t="shared" si="0"/>
        <v>1104451.5358050684</v>
      </c>
      <c r="O27" s="123">
        <f t="shared" si="0"/>
        <v>1104451.5358050684</v>
      </c>
      <c r="P27" s="123">
        <f t="shared" si="0"/>
        <v>1104451.5358050684</v>
      </c>
      <c r="Q27" s="123">
        <f t="shared" si="0"/>
        <v>1104451.5358050684</v>
      </c>
      <c r="R27" s="123">
        <f t="shared" si="0"/>
        <v>1104451.5358050684</v>
      </c>
      <c r="S27" s="123">
        <f t="shared" si="0"/>
        <v>1104451.5358050684</v>
      </c>
      <c r="T27" s="123">
        <f t="shared" si="0"/>
        <v>1104451.5358050684</v>
      </c>
      <c r="U27" s="123">
        <f t="shared" si="0"/>
        <v>1104451.5358050684</v>
      </c>
      <c r="V27" s="123">
        <f t="shared" si="0"/>
        <v>1104451.5358050684</v>
      </c>
      <c r="W27" s="123">
        <f t="shared" si="0"/>
        <v>1104451.5358050684</v>
      </c>
      <c r="X27" s="123">
        <f t="shared" si="0"/>
        <v>1104451.5358050684</v>
      </c>
      <c r="Y27" s="123">
        <f t="shared" si="0"/>
        <v>1104451.5358050684</v>
      </c>
      <c r="Z27" s="123">
        <f t="shared" si="0"/>
        <v>1104451.5358050684</v>
      </c>
      <c r="AA27" s="123">
        <f t="shared" si="0"/>
        <v>1104451.5358050684</v>
      </c>
      <c r="AB27" s="123">
        <f t="shared" si="0"/>
        <v>1104451.5358050684</v>
      </c>
      <c r="AC27" s="123">
        <f t="shared" si="0"/>
        <v>1104451.5358050684</v>
      </c>
      <c r="AD27" s="123">
        <f t="shared" si="0"/>
        <v>1104451.5358050684</v>
      </c>
      <c r="AE27" s="123">
        <f t="shared" si="0"/>
        <v>1104451.5358050684</v>
      </c>
      <c r="AF27" s="123">
        <f t="shared" si="0"/>
        <v>1104451.5358050684</v>
      </c>
      <c r="AG27" s="123">
        <f t="shared" si="0"/>
        <v>1104451.5358050684</v>
      </c>
      <c r="AH27" s="123">
        <f t="shared" si="0"/>
        <v>1104451.5358050684</v>
      </c>
      <c r="AI27" s="123">
        <f t="shared" si="0"/>
        <v>1104451.5358050684</v>
      </c>
      <c r="AJ27" s="123">
        <f t="shared" si="0"/>
        <v>1104451.5358050684</v>
      </c>
      <c r="AK27" s="123">
        <f t="shared" si="0"/>
        <v>1104451.5358050684</v>
      </c>
      <c r="AL27" s="123">
        <f t="shared" si="0"/>
        <v>1104451.5358050684</v>
      </c>
      <c r="AM27" s="123">
        <f t="shared" si="0"/>
        <v>1104451.5358050684</v>
      </c>
      <c r="AN27" s="123">
        <f t="shared" si="0"/>
        <v>1104451.5358050684</v>
      </c>
      <c r="AO27" s="123">
        <f t="shared" si="0"/>
        <v>1104451.5358050684</v>
      </c>
      <c r="AP27" s="123">
        <f t="shared" si="0"/>
        <v>1104451.5358050684</v>
      </c>
      <c r="AQ27" s="123">
        <f t="shared" si="0"/>
        <v>1104451.5358050684</v>
      </c>
      <c r="AR27" s="123">
        <f>$F22*$F17-86890</f>
        <v>1017561.5358050684</v>
      </c>
      <c r="AS27" s="123">
        <v>60314.96</v>
      </c>
      <c r="AT27" s="123"/>
      <c r="AU27" s="126">
        <f>SUM(D27:AT27)</f>
        <v>44151486.39220275</v>
      </c>
      <c r="AV27" s="41">
        <f>F22</f>
        <v>44151486.389999881</v>
      </c>
      <c r="AW27" s="212">
        <f>+AU27-AV27</f>
        <v>2.2028684616088867E-3</v>
      </c>
    </row>
    <row r="28" spans="1:49" x14ac:dyDescent="0.2">
      <c r="A28" s="21"/>
      <c r="B28" s="21"/>
      <c r="C28" s="21"/>
      <c r="D28" s="523"/>
      <c r="E28" s="57"/>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58"/>
      <c r="AN28" s="123"/>
      <c r="AO28" s="123"/>
      <c r="AP28" s="525"/>
    </row>
    <row r="29" spans="1:49" x14ac:dyDescent="0.2">
      <c r="A29" s="486">
        <f>A27+1</f>
        <v>2</v>
      </c>
      <c r="B29" s="21" t="s">
        <v>54</v>
      </c>
      <c r="C29" s="21"/>
      <c r="D29" s="523"/>
      <c r="E29" s="57">
        <f>E53</f>
        <v>527787.68326246506</v>
      </c>
      <c r="F29" s="123">
        <f t="shared" ref="F29:AS29" si="1">F53</f>
        <v>511047.51098398818</v>
      </c>
      <c r="G29" s="123">
        <f t="shared" si="1"/>
        <v>492662.53378476249</v>
      </c>
      <c r="H29" s="123">
        <f t="shared" si="1"/>
        <v>474863.10039401648</v>
      </c>
      <c r="I29" s="123">
        <f t="shared" si="1"/>
        <v>457605.37931744958</v>
      </c>
      <c r="J29" s="123">
        <f t="shared" si="1"/>
        <v>440848.91071416874</v>
      </c>
      <c r="K29" s="123">
        <f t="shared" si="1"/>
        <v>424556.0444544538</v>
      </c>
      <c r="L29" s="123">
        <f t="shared" si="1"/>
        <v>408691.94011975813</v>
      </c>
      <c r="M29" s="123">
        <f t="shared" si="1"/>
        <v>393067.22317701305</v>
      </c>
      <c r="N29" s="123">
        <f t="shared" si="1"/>
        <v>377476.78471058002</v>
      </c>
      <c r="O29" s="123">
        <f t="shared" si="1"/>
        <v>361886.34624414711</v>
      </c>
      <c r="P29" s="123">
        <f t="shared" si="1"/>
        <v>346295.90777771408</v>
      </c>
      <c r="Q29" s="123">
        <f t="shared" si="1"/>
        <v>330705.46931128117</v>
      </c>
      <c r="R29" s="123">
        <f t="shared" si="1"/>
        <v>315115.0308448482</v>
      </c>
      <c r="S29" s="123">
        <f t="shared" si="1"/>
        <v>299524.59237841523</v>
      </c>
      <c r="T29" s="123">
        <f t="shared" si="1"/>
        <v>283934.15391198226</v>
      </c>
      <c r="U29" s="123">
        <f t="shared" si="1"/>
        <v>268343.71544554934</v>
      </c>
      <c r="V29" s="123">
        <f t="shared" si="1"/>
        <v>252753.27697911632</v>
      </c>
      <c r="W29" s="123">
        <f t="shared" si="1"/>
        <v>237162.83851268337</v>
      </c>
      <c r="X29" s="123">
        <f t="shared" si="1"/>
        <v>221572.40004625043</v>
      </c>
      <c r="Y29" s="123">
        <f t="shared" si="1"/>
        <v>207235.65470526699</v>
      </c>
      <c r="Z29" s="123">
        <f t="shared" si="1"/>
        <v>195405.73367294809</v>
      </c>
      <c r="AA29" s="123">
        <f t="shared" si="1"/>
        <v>184829.50576607874</v>
      </c>
      <c r="AB29" s="123">
        <f t="shared" si="1"/>
        <v>174253.2778592094</v>
      </c>
      <c r="AC29" s="123">
        <f t="shared" si="1"/>
        <v>163677.04995234008</v>
      </c>
      <c r="AD29" s="123">
        <f t="shared" si="1"/>
        <v>153100.82204547073</v>
      </c>
      <c r="AE29" s="123">
        <f t="shared" si="1"/>
        <v>142524.59413860136</v>
      </c>
      <c r="AF29" s="123">
        <f t="shared" si="1"/>
        <v>131948.36623173204</v>
      </c>
      <c r="AG29" s="123">
        <f t="shared" si="1"/>
        <v>121372.1383248627</v>
      </c>
      <c r="AH29" s="123">
        <f t="shared" si="1"/>
        <v>110795.91041799335</v>
      </c>
      <c r="AI29" s="123">
        <f t="shared" si="1"/>
        <v>100219.68251112403</v>
      </c>
      <c r="AJ29" s="123">
        <f t="shared" si="1"/>
        <v>89643.454604254759</v>
      </c>
      <c r="AK29" s="123">
        <f t="shared" si="1"/>
        <v>79067.226697385442</v>
      </c>
      <c r="AL29" s="123">
        <f t="shared" si="1"/>
        <v>68490.998790516096</v>
      </c>
      <c r="AM29" s="123">
        <f t="shared" si="1"/>
        <v>57914.770883646757</v>
      </c>
      <c r="AN29" s="123">
        <f t="shared" si="1"/>
        <v>47338.542976777411</v>
      </c>
      <c r="AO29" s="123">
        <f t="shared" si="1"/>
        <v>36762.31506990808</v>
      </c>
      <c r="AP29" s="123">
        <f t="shared" si="1"/>
        <v>26186.08716303873</v>
      </c>
      <c r="AQ29" s="123">
        <f t="shared" si="1"/>
        <v>15609.859256169391</v>
      </c>
      <c r="AR29" s="123">
        <f t="shared" si="1"/>
        <v>5449.6606693000522</v>
      </c>
      <c r="AS29" s="123">
        <f t="shared" si="1"/>
        <v>288.78800738537626</v>
      </c>
      <c r="AT29" s="123"/>
      <c r="AU29" s="126">
        <f>SUM(D29:AT29)</f>
        <v>9538015.2821146548</v>
      </c>
    </row>
    <row r="30" spans="1:49" x14ac:dyDescent="0.2">
      <c r="A30" s="21"/>
      <c r="B30" s="21"/>
      <c r="C30" s="21"/>
      <c r="D30" s="523"/>
      <c r="E30" s="57"/>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row>
    <row r="31" spans="1:49" x14ac:dyDescent="0.2">
      <c r="A31" s="21"/>
      <c r="B31" s="21" t="s">
        <v>55</v>
      </c>
      <c r="C31" s="21"/>
      <c r="D31" s="523"/>
      <c r="E31" s="57">
        <f>+E30/0.79</f>
        <v>0</v>
      </c>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row>
    <row r="32" spans="1:49" x14ac:dyDescent="0.2">
      <c r="A32" s="486">
        <f>A29+1</f>
        <v>3</v>
      </c>
      <c r="B32" s="21"/>
      <c r="C32" s="21"/>
      <c r="D32" s="523"/>
      <c r="E32" s="57">
        <f>E49*$F10</f>
        <v>0</v>
      </c>
      <c r="F32" s="123">
        <f t="shared" ref="F32:AS32" si="2">F49*$F10</f>
        <v>0</v>
      </c>
      <c r="G32" s="123">
        <f t="shared" si="2"/>
        <v>0</v>
      </c>
      <c r="H32" s="123">
        <f t="shared" si="2"/>
        <v>0</v>
      </c>
      <c r="I32" s="123">
        <f t="shared" si="2"/>
        <v>0</v>
      </c>
      <c r="J32" s="123">
        <f t="shared" si="2"/>
        <v>0</v>
      </c>
      <c r="K32" s="123">
        <f t="shared" si="2"/>
        <v>0</v>
      </c>
      <c r="L32" s="123">
        <f t="shared" si="2"/>
        <v>0</v>
      </c>
      <c r="M32" s="123">
        <f t="shared" si="2"/>
        <v>0</v>
      </c>
      <c r="N32" s="123">
        <f t="shared" si="2"/>
        <v>0</v>
      </c>
      <c r="O32" s="123">
        <f t="shared" si="2"/>
        <v>0</v>
      </c>
      <c r="P32" s="123">
        <f t="shared" si="2"/>
        <v>0</v>
      </c>
      <c r="Q32" s="123">
        <f t="shared" si="2"/>
        <v>0</v>
      </c>
      <c r="R32" s="123">
        <f t="shared" si="2"/>
        <v>0</v>
      </c>
      <c r="S32" s="123">
        <f t="shared" si="2"/>
        <v>0</v>
      </c>
      <c r="T32" s="123">
        <f t="shared" si="2"/>
        <v>0</v>
      </c>
      <c r="U32" s="123">
        <f t="shared" si="2"/>
        <v>0</v>
      </c>
      <c r="V32" s="123">
        <f t="shared" si="2"/>
        <v>0</v>
      </c>
      <c r="W32" s="123">
        <f t="shared" si="2"/>
        <v>0</v>
      </c>
      <c r="X32" s="123">
        <f t="shared" si="2"/>
        <v>0</v>
      </c>
      <c r="Y32" s="123">
        <f t="shared" si="2"/>
        <v>0</v>
      </c>
      <c r="Z32" s="123">
        <f t="shared" si="2"/>
        <v>0</v>
      </c>
      <c r="AA32" s="123">
        <f t="shared" si="2"/>
        <v>0</v>
      </c>
      <c r="AB32" s="123">
        <f t="shared" si="2"/>
        <v>0</v>
      </c>
      <c r="AC32" s="123">
        <f t="shared" si="2"/>
        <v>0</v>
      </c>
      <c r="AD32" s="123">
        <f t="shared" si="2"/>
        <v>0</v>
      </c>
      <c r="AE32" s="123">
        <f t="shared" si="2"/>
        <v>0</v>
      </c>
      <c r="AF32" s="123">
        <f t="shared" si="2"/>
        <v>0</v>
      </c>
      <c r="AG32" s="123">
        <f t="shared" si="2"/>
        <v>0</v>
      </c>
      <c r="AH32" s="123">
        <f t="shared" si="2"/>
        <v>0</v>
      </c>
      <c r="AI32" s="123">
        <f t="shared" si="2"/>
        <v>0</v>
      </c>
      <c r="AJ32" s="123">
        <f t="shared" si="2"/>
        <v>0</v>
      </c>
      <c r="AK32" s="123">
        <f t="shared" si="2"/>
        <v>0</v>
      </c>
      <c r="AL32" s="123">
        <f t="shared" si="2"/>
        <v>0</v>
      </c>
      <c r="AM32" s="123">
        <f t="shared" si="2"/>
        <v>0</v>
      </c>
      <c r="AN32" s="123">
        <f t="shared" si="2"/>
        <v>0</v>
      </c>
      <c r="AO32" s="123">
        <f t="shared" si="2"/>
        <v>0</v>
      </c>
      <c r="AP32" s="123">
        <f t="shared" si="2"/>
        <v>0</v>
      </c>
      <c r="AQ32" s="123">
        <f t="shared" si="2"/>
        <v>0</v>
      </c>
      <c r="AR32" s="123">
        <f t="shared" si="2"/>
        <v>0</v>
      </c>
      <c r="AS32" s="123">
        <f t="shared" si="2"/>
        <v>0</v>
      </c>
      <c r="AT32" s="123"/>
      <c r="AU32" s="126">
        <f t="shared" ref="AU32:AU42" si="3">SUM(D32:AT32)</f>
        <v>0</v>
      </c>
    </row>
    <row r="33" spans="1:47" x14ac:dyDescent="0.2">
      <c r="A33" s="486">
        <f>A32+1</f>
        <v>4</v>
      </c>
      <c r="B33" s="32"/>
      <c r="C33" s="32" t="s">
        <v>173</v>
      </c>
      <c r="D33" s="523"/>
      <c r="E33" s="57">
        <f>E49*$F11</f>
        <v>1232221.0980262039</v>
      </c>
      <c r="F33" s="123">
        <f t="shared" ref="F33:AS33" si="4">F49*$F11</f>
        <v>1193137.9702453034</v>
      </c>
      <c r="G33" s="123">
        <f t="shared" si="4"/>
        <v>1150214.7313936858</v>
      </c>
      <c r="H33" s="123">
        <f t="shared" si="4"/>
        <v>1108658.5563397063</v>
      </c>
      <c r="I33" s="123">
        <f t="shared" si="4"/>
        <v>1068367.1120927548</v>
      </c>
      <c r="J33" s="123">
        <f t="shared" si="4"/>
        <v>1029245.9374307299</v>
      </c>
      <c r="K33" s="123">
        <f t="shared" si="4"/>
        <v>991207.13093861972</v>
      </c>
      <c r="L33" s="123">
        <f t="shared" si="4"/>
        <v>954169.35100850381</v>
      </c>
      <c r="M33" s="123">
        <f t="shared" si="4"/>
        <v>917690.46664248954</v>
      </c>
      <c r="N33" s="123">
        <f t="shared" si="4"/>
        <v>881291.61192297807</v>
      </c>
      <c r="O33" s="123">
        <f t="shared" si="4"/>
        <v>844892.75720346672</v>
      </c>
      <c r="P33" s="123">
        <f t="shared" si="4"/>
        <v>808493.90248395514</v>
      </c>
      <c r="Q33" s="123">
        <f t="shared" si="4"/>
        <v>772095.04776444368</v>
      </c>
      <c r="R33" s="123">
        <f t="shared" si="4"/>
        <v>735696.19304493233</v>
      </c>
      <c r="S33" s="123">
        <f t="shared" si="4"/>
        <v>699297.33832542074</v>
      </c>
      <c r="T33" s="123">
        <f t="shared" si="4"/>
        <v>662898.48360590928</v>
      </c>
      <c r="U33" s="123">
        <f t="shared" si="4"/>
        <v>626499.62888639781</v>
      </c>
      <c r="V33" s="123">
        <f t="shared" si="4"/>
        <v>590100.77416688635</v>
      </c>
      <c r="W33" s="123">
        <f t="shared" si="4"/>
        <v>553701.91944737488</v>
      </c>
      <c r="X33" s="123">
        <f t="shared" si="4"/>
        <v>517303.06472786347</v>
      </c>
      <c r="Y33" s="123">
        <f t="shared" si="4"/>
        <v>483831.19593208586</v>
      </c>
      <c r="Z33" s="123">
        <f t="shared" si="4"/>
        <v>456211.98702235799</v>
      </c>
      <c r="AA33" s="123">
        <f t="shared" si="4"/>
        <v>431519.7640363641</v>
      </c>
      <c r="AB33" s="123">
        <f t="shared" si="4"/>
        <v>406827.54105037014</v>
      </c>
      <c r="AC33" s="123">
        <f t="shared" si="4"/>
        <v>382135.31806437619</v>
      </c>
      <c r="AD33" s="123">
        <f t="shared" si="4"/>
        <v>357443.09507838235</v>
      </c>
      <c r="AE33" s="123">
        <f t="shared" si="4"/>
        <v>332750.8720923884</v>
      </c>
      <c r="AF33" s="123">
        <f t="shared" si="4"/>
        <v>308058.64910639444</v>
      </c>
      <c r="AG33" s="123">
        <f t="shared" si="4"/>
        <v>283366.42612040049</v>
      </c>
      <c r="AH33" s="123">
        <f t="shared" si="4"/>
        <v>258674.20313440656</v>
      </c>
      <c r="AI33" s="123">
        <f t="shared" si="4"/>
        <v>233981.98014841269</v>
      </c>
      <c r="AJ33" s="123">
        <f t="shared" si="4"/>
        <v>209289.75716241894</v>
      </c>
      <c r="AK33" s="123">
        <f t="shared" si="4"/>
        <v>184597.53417642505</v>
      </c>
      <c r="AL33" s="123">
        <f t="shared" si="4"/>
        <v>159905.31119043109</v>
      </c>
      <c r="AM33" s="123">
        <f t="shared" si="4"/>
        <v>135213.0882044372</v>
      </c>
      <c r="AN33" s="123">
        <f t="shared" si="4"/>
        <v>110520.86521844326</v>
      </c>
      <c r="AO33" s="123">
        <f t="shared" si="4"/>
        <v>85828.642232449332</v>
      </c>
      <c r="AP33" s="123">
        <f t="shared" si="4"/>
        <v>61136.4192464554</v>
      </c>
      <c r="AQ33" s="123">
        <f t="shared" si="4"/>
        <v>36444.196260461475</v>
      </c>
      <c r="AR33" s="123">
        <f t="shared" si="4"/>
        <v>12723.27313946755</v>
      </c>
      <c r="AS33" s="123">
        <f t="shared" si="4"/>
        <v>674.23073111057408</v>
      </c>
      <c r="AT33" s="123"/>
      <c r="AU33" s="126">
        <f t="shared" si="3"/>
        <v>22268317.425045662</v>
      </c>
    </row>
    <row r="34" spans="1:47" x14ac:dyDescent="0.2">
      <c r="A34" s="486">
        <f>A33+1</f>
        <v>5</v>
      </c>
      <c r="B34" s="21"/>
      <c r="C34" s="21" t="s">
        <v>9</v>
      </c>
      <c r="D34" s="523"/>
      <c r="E34" s="59">
        <f>E49*$F12</f>
        <v>1985486.9989397493</v>
      </c>
      <c r="F34" s="121">
        <f t="shared" ref="F34:AS34" si="5">F49*$F12</f>
        <v>1922512.0651302414</v>
      </c>
      <c r="G34" s="121">
        <f t="shared" si="5"/>
        <v>1853349.5318569639</v>
      </c>
      <c r="H34" s="121">
        <f t="shared" si="5"/>
        <v>1786389.7586251099</v>
      </c>
      <c r="I34" s="121">
        <f t="shared" si="5"/>
        <v>1721467.8555275486</v>
      </c>
      <c r="J34" s="121">
        <f t="shared" si="5"/>
        <v>1658431.6164961585</v>
      </c>
      <c r="K34" s="121">
        <f t="shared" si="5"/>
        <v>1597139.4053286596</v>
      </c>
      <c r="L34" s="121">
        <f t="shared" si="5"/>
        <v>1537460.1556886141</v>
      </c>
      <c r="M34" s="121">
        <f t="shared" si="5"/>
        <v>1478681.4586182872</v>
      </c>
      <c r="N34" s="121">
        <f t="shared" si="5"/>
        <v>1420031.7139112297</v>
      </c>
      <c r="O34" s="121">
        <f t="shared" si="5"/>
        <v>1361381.9692041725</v>
      </c>
      <c r="P34" s="121">
        <f t="shared" si="5"/>
        <v>1302732.224497115</v>
      </c>
      <c r="Q34" s="121">
        <f t="shared" si="5"/>
        <v>1244082.4797900578</v>
      </c>
      <c r="R34" s="121">
        <f t="shared" si="5"/>
        <v>1185432.7350830005</v>
      </c>
      <c r="S34" s="121">
        <f t="shared" si="5"/>
        <v>1126782.990375943</v>
      </c>
      <c r="T34" s="121">
        <f t="shared" si="5"/>
        <v>1068133.2456688858</v>
      </c>
      <c r="U34" s="121">
        <f t="shared" si="5"/>
        <v>1009483.5009618284</v>
      </c>
      <c r="V34" s="121">
        <f t="shared" si="5"/>
        <v>950833.75625477103</v>
      </c>
      <c r="W34" s="121">
        <f t="shared" si="5"/>
        <v>892184.01154771366</v>
      </c>
      <c r="X34" s="121">
        <f t="shared" si="5"/>
        <v>833534.2668406564</v>
      </c>
      <c r="Y34" s="121">
        <f t="shared" si="5"/>
        <v>779600.79627219494</v>
      </c>
      <c r="Z34" s="121">
        <f t="shared" si="5"/>
        <v>735097.76000775711</v>
      </c>
      <c r="AA34" s="121">
        <f t="shared" si="5"/>
        <v>695310.9978819153</v>
      </c>
      <c r="AB34" s="121">
        <f t="shared" si="5"/>
        <v>655524.2357560735</v>
      </c>
      <c r="AC34" s="121">
        <f t="shared" si="5"/>
        <v>615737.47363023169</v>
      </c>
      <c r="AD34" s="121">
        <f t="shared" si="5"/>
        <v>575950.71150439</v>
      </c>
      <c r="AE34" s="121">
        <f t="shared" si="5"/>
        <v>536163.94937854807</v>
      </c>
      <c r="AF34" s="121">
        <f t="shared" si="5"/>
        <v>496377.18725270627</v>
      </c>
      <c r="AG34" s="121">
        <f t="shared" si="5"/>
        <v>456590.42512686446</v>
      </c>
      <c r="AH34" s="121">
        <f t="shared" si="5"/>
        <v>416803.66300102265</v>
      </c>
      <c r="AI34" s="121">
        <f t="shared" si="5"/>
        <v>377016.9008751809</v>
      </c>
      <c r="AJ34" s="121">
        <f t="shared" si="5"/>
        <v>337230.13874933938</v>
      </c>
      <c r="AK34" s="121">
        <f t="shared" si="5"/>
        <v>297443.37662349764</v>
      </c>
      <c r="AL34" s="121">
        <f t="shared" si="5"/>
        <v>257656.6144976558</v>
      </c>
      <c r="AM34" s="121">
        <f t="shared" si="5"/>
        <v>217869.85237181402</v>
      </c>
      <c r="AN34" s="121">
        <f t="shared" si="5"/>
        <v>178083.09024597218</v>
      </c>
      <c r="AO34" s="121">
        <f t="shared" si="5"/>
        <v>138296.32812013041</v>
      </c>
      <c r="AP34" s="121">
        <f t="shared" si="5"/>
        <v>98509.565994288569</v>
      </c>
      <c r="AQ34" s="121">
        <f t="shared" si="5"/>
        <v>58722.803868446761</v>
      </c>
      <c r="AR34" s="121">
        <f t="shared" si="5"/>
        <v>20501.10442260496</v>
      </c>
      <c r="AS34" s="121">
        <f t="shared" si="5"/>
        <v>1086.3929801640347</v>
      </c>
      <c r="AT34" s="121"/>
      <c r="AU34" s="126">
        <f t="shared" si="3"/>
        <v>35881105.108907491</v>
      </c>
    </row>
    <row r="35" spans="1:47" x14ac:dyDescent="0.2">
      <c r="A35" s="486">
        <f>A34+1</f>
        <v>6</v>
      </c>
      <c r="B35" s="21"/>
      <c r="C35" s="21" t="s">
        <v>58</v>
      </c>
      <c r="D35" s="523"/>
      <c r="E35" s="57">
        <f>E32+E33+E34</f>
        <v>3217708.0969659532</v>
      </c>
      <c r="F35" s="123">
        <f>F32+F33+F34</f>
        <v>3115650.0353755448</v>
      </c>
      <c r="G35" s="123">
        <f>G32+G33+G34</f>
        <v>3003564.2632506499</v>
      </c>
      <c r="H35" s="123">
        <f t="shared" ref="H35:AS35" si="6">H32+H33+H34</f>
        <v>2895048.314964816</v>
      </c>
      <c r="I35" s="123">
        <f t="shared" si="6"/>
        <v>2789834.9676203034</v>
      </c>
      <c r="J35" s="123">
        <f t="shared" si="6"/>
        <v>2687677.5539268884</v>
      </c>
      <c r="K35" s="123">
        <f t="shared" si="6"/>
        <v>2588346.5362672792</v>
      </c>
      <c r="L35" s="123">
        <f t="shared" si="6"/>
        <v>2491629.5066971178</v>
      </c>
      <c r="M35" s="123">
        <f t="shared" si="6"/>
        <v>2396371.9252607767</v>
      </c>
      <c r="N35" s="123">
        <f t="shared" si="6"/>
        <v>2301323.3258342077</v>
      </c>
      <c r="O35" s="123">
        <f t="shared" si="6"/>
        <v>2206274.7264076392</v>
      </c>
      <c r="P35" s="123">
        <f t="shared" si="6"/>
        <v>2111226.1269810703</v>
      </c>
      <c r="Q35" s="123">
        <f t="shared" si="6"/>
        <v>2016177.5275545013</v>
      </c>
      <c r="R35" s="123">
        <f t="shared" si="6"/>
        <v>1921128.9281279328</v>
      </c>
      <c r="S35" s="123">
        <f t="shared" si="6"/>
        <v>1826080.3287013639</v>
      </c>
      <c r="T35" s="123">
        <f t="shared" si="6"/>
        <v>1731031.7292747949</v>
      </c>
      <c r="U35" s="123">
        <f t="shared" si="6"/>
        <v>1635983.1298482262</v>
      </c>
      <c r="V35" s="123">
        <f t="shared" si="6"/>
        <v>1540934.5304216575</v>
      </c>
      <c r="W35" s="123">
        <f t="shared" si="6"/>
        <v>1445885.9309950885</v>
      </c>
      <c r="X35" s="123">
        <f t="shared" si="6"/>
        <v>1350837.3315685198</v>
      </c>
      <c r="Y35" s="123">
        <f t="shared" si="6"/>
        <v>1263431.9922042808</v>
      </c>
      <c r="Z35" s="123">
        <f t="shared" si="6"/>
        <v>1191309.7470301152</v>
      </c>
      <c r="AA35" s="123">
        <f t="shared" si="6"/>
        <v>1126830.7619182793</v>
      </c>
      <c r="AB35" s="123">
        <f t="shared" si="6"/>
        <v>1062351.7768064437</v>
      </c>
      <c r="AC35" s="123">
        <f t="shared" si="6"/>
        <v>997872.79169460782</v>
      </c>
      <c r="AD35" s="123">
        <f t="shared" si="6"/>
        <v>933393.80658277241</v>
      </c>
      <c r="AE35" s="123">
        <f t="shared" si="6"/>
        <v>868914.82147093653</v>
      </c>
      <c r="AF35" s="123">
        <f t="shared" si="6"/>
        <v>804435.83635910065</v>
      </c>
      <c r="AG35" s="123">
        <f t="shared" si="6"/>
        <v>739956.851247265</v>
      </c>
      <c r="AH35" s="123">
        <f t="shared" si="6"/>
        <v>675477.86613542924</v>
      </c>
      <c r="AI35" s="123">
        <f t="shared" si="6"/>
        <v>610998.8810235936</v>
      </c>
      <c r="AJ35" s="123">
        <f t="shared" si="6"/>
        <v>546519.8959117583</v>
      </c>
      <c r="AK35" s="123">
        <f t="shared" si="6"/>
        <v>482040.91079992265</v>
      </c>
      <c r="AL35" s="123">
        <f t="shared" si="6"/>
        <v>417561.92568808689</v>
      </c>
      <c r="AM35" s="123">
        <f t="shared" si="6"/>
        <v>353082.94057625125</v>
      </c>
      <c r="AN35" s="123">
        <f t="shared" si="6"/>
        <v>288603.95546441543</v>
      </c>
      <c r="AO35" s="123">
        <f t="shared" si="6"/>
        <v>224124.97035257972</v>
      </c>
      <c r="AP35" s="123">
        <f t="shared" si="6"/>
        <v>159645.98524074396</v>
      </c>
      <c r="AQ35" s="123">
        <f t="shared" si="6"/>
        <v>95167.000128908228</v>
      </c>
      <c r="AR35" s="123">
        <f t="shared" si="6"/>
        <v>33224.377562072506</v>
      </c>
      <c r="AS35" s="123">
        <f t="shared" si="6"/>
        <v>1760.6237112746089</v>
      </c>
      <c r="AT35" s="123"/>
      <c r="AU35" s="126">
        <f t="shared" si="3"/>
        <v>58149422.533953175</v>
      </c>
    </row>
    <row r="36" spans="1:47" x14ac:dyDescent="0.2">
      <c r="A36" s="21"/>
      <c r="B36" s="21"/>
      <c r="C36" s="21"/>
      <c r="D36" s="523"/>
      <c r="E36" s="5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6">
        <f t="shared" si="3"/>
        <v>0</v>
      </c>
    </row>
    <row r="37" spans="1:47" x14ac:dyDescent="0.2">
      <c r="A37" s="486">
        <f>A35+1</f>
        <v>7</v>
      </c>
      <c r="B37" s="21" t="s">
        <v>59</v>
      </c>
      <c r="C37" s="21"/>
      <c r="D37" s="523"/>
      <c r="E37" s="60">
        <f>E27+E29+E35</f>
        <v>4849947.3160334863</v>
      </c>
      <c r="F37" s="120">
        <f>F27+F29+F35</f>
        <v>4731149.0821646014</v>
      </c>
      <c r="G37" s="120">
        <f t="shared" ref="G37:AS37" si="7">G27+G29+G35</f>
        <v>4600678.3328404808</v>
      </c>
      <c r="H37" s="120">
        <f t="shared" si="7"/>
        <v>4474362.951163901</v>
      </c>
      <c r="I37" s="120">
        <f t="shared" si="7"/>
        <v>4351891.8827428212</v>
      </c>
      <c r="J37" s="120">
        <f t="shared" si="7"/>
        <v>4232978.0004461259</v>
      </c>
      <c r="K37" s="120">
        <f t="shared" si="7"/>
        <v>4117354.1165268011</v>
      </c>
      <c r="L37" s="120">
        <f t="shared" si="7"/>
        <v>4004772.9826219445</v>
      </c>
      <c r="M37" s="120">
        <f t="shared" si="7"/>
        <v>3893890.6842428581</v>
      </c>
      <c r="N37" s="120">
        <f t="shared" si="7"/>
        <v>3783251.6463498562</v>
      </c>
      <c r="O37" s="120">
        <f t="shared" si="7"/>
        <v>3672612.6084568547</v>
      </c>
      <c r="P37" s="120">
        <f t="shared" si="7"/>
        <v>3561973.5705638528</v>
      </c>
      <c r="Q37" s="120">
        <f t="shared" si="7"/>
        <v>3451334.5326708509</v>
      </c>
      <c r="R37" s="120">
        <f t="shared" si="7"/>
        <v>3340695.4947778494</v>
      </c>
      <c r="S37" s="120">
        <f t="shared" si="7"/>
        <v>3230056.4568848475</v>
      </c>
      <c r="T37" s="120">
        <f t="shared" si="7"/>
        <v>3119417.4189918456</v>
      </c>
      <c r="U37" s="120">
        <f t="shared" si="7"/>
        <v>3008778.3810988441</v>
      </c>
      <c r="V37" s="120">
        <f t="shared" si="7"/>
        <v>2898139.3432058422</v>
      </c>
      <c r="W37" s="120">
        <f t="shared" si="7"/>
        <v>2787500.3053128403</v>
      </c>
      <c r="X37" s="120">
        <f t="shared" si="7"/>
        <v>2676861.2674198383</v>
      </c>
      <c r="Y37" s="120">
        <f t="shared" si="7"/>
        <v>2575119.1827146159</v>
      </c>
      <c r="Z37" s="120">
        <f t="shared" si="7"/>
        <v>2491167.0165081318</v>
      </c>
      <c r="AA37" s="120">
        <f t="shared" si="7"/>
        <v>2416111.8034894266</v>
      </c>
      <c r="AB37" s="120">
        <f t="shared" si="7"/>
        <v>2341056.5904707215</v>
      </c>
      <c r="AC37" s="120">
        <f t="shared" si="7"/>
        <v>2266001.3774520163</v>
      </c>
      <c r="AD37" s="120">
        <f t="shared" si="7"/>
        <v>2190946.1644333117</v>
      </c>
      <c r="AE37" s="120">
        <f t="shared" si="7"/>
        <v>2115890.9514146065</v>
      </c>
      <c r="AF37" s="120">
        <f t="shared" si="7"/>
        <v>2040835.7383959012</v>
      </c>
      <c r="AG37" s="120">
        <f t="shared" si="7"/>
        <v>1965780.5253771963</v>
      </c>
      <c r="AH37" s="120">
        <f t="shared" si="7"/>
        <v>1890725.3123584911</v>
      </c>
      <c r="AI37" s="120">
        <f t="shared" si="7"/>
        <v>1815670.099339786</v>
      </c>
      <c r="AJ37" s="120">
        <f t="shared" si="7"/>
        <v>1740614.8863210815</v>
      </c>
      <c r="AK37" s="120">
        <f t="shared" si="7"/>
        <v>1665559.6733023766</v>
      </c>
      <c r="AL37" s="120">
        <f t="shared" si="7"/>
        <v>1590504.4602836715</v>
      </c>
      <c r="AM37" s="120">
        <f t="shared" si="7"/>
        <v>1515449.2472649664</v>
      </c>
      <c r="AN37" s="120">
        <f t="shared" si="7"/>
        <v>1440394.0342462612</v>
      </c>
      <c r="AO37" s="120">
        <f t="shared" si="7"/>
        <v>1365338.8212275561</v>
      </c>
      <c r="AP37" s="120">
        <f t="shared" si="7"/>
        <v>1290283.6082088512</v>
      </c>
      <c r="AQ37" s="120">
        <f t="shared" si="7"/>
        <v>1215228.3951901461</v>
      </c>
      <c r="AR37" s="120">
        <f t="shared" si="7"/>
        <v>1056235.574036441</v>
      </c>
      <c r="AS37" s="120">
        <f t="shared" si="7"/>
        <v>62364.371718659982</v>
      </c>
      <c r="AT37" s="120"/>
      <c r="AU37" s="126">
        <f t="shared" si="3"/>
        <v>111838924.20827056</v>
      </c>
    </row>
    <row r="38" spans="1:47" x14ac:dyDescent="0.2">
      <c r="A38" s="486">
        <f>A37+1</f>
        <v>8</v>
      </c>
      <c r="B38" s="21" t="s">
        <v>60</v>
      </c>
      <c r="C38" s="21"/>
      <c r="D38" s="523"/>
      <c r="E38" s="59">
        <f>E37/(1-$F16)-E37</f>
        <v>230909.70922701433</v>
      </c>
      <c r="F38" s="451">
        <f>F37/(1-$G16)-F37</f>
        <v>235660.20001140516</v>
      </c>
      <c r="G38" s="451">
        <f t="shared" ref="G38:AR38" si="8">G37/(1-$G16)-G37</f>
        <v>229161.40609318577</v>
      </c>
      <c r="H38" s="451">
        <f t="shared" si="8"/>
        <v>222869.59249918256</v>
      </c>
      <c r="I38" s="451">
        <f t="shared" si="8"/>
        <v>216769.26550071128</v>
      </c>
      <c r="J38" s="451">
        <f t="shared" si="8"/>
        <v>210846.12319437042</v>
      </c>
      <c r="K38" s="451">
        <f t="shared" si="8"/>
        <v>205086.85686449707</v>
      </c>
      <c r="L38" s="451">
        <f t="shared" si="8"/>
        <v>199479.15098316129</v>
      </c>
      <c r="M38" s="451">
        <f t="shared" si="8"/>
        <v>193956.06469694711</v>
      </c>
      <c r="N38" s="451">
        <f t="shared" si="8"/>
        <v>188445.09530111356</v>
      </c>
      <c r="O38" s="451">
        <f t="shared" si="8"/>
        <v>182934.12590528047</v>
      </c>
      <c r="P38" s="451">
        <f t="shared" si="8"/>
        <v>177423.15650944691</v>
      </c>
      <c r="Q38" s="451">
        <f t="shared" si="8"/>
        <v>171912.18711361336</v>
      </c>
      <c r="R38" s="451">
        <f t="shared" si="8"/>
        <v>166401.21771778027</v>
      </c>
      <c r="S38" s="451">
        <f t="shared" si="8"/>
        <v>160890.24832194671</v>
      </c>
      <c r="T38" s="451">
        <f t="shared" si="8"/>
        <v>155379.27892611362</v>
      </c>
      <c r="U38" s="451">
        <f t="shared" si="8"/>
        <v>149868.30953028006</v>
      </c>
      <c r="V38" s="451">
        <f t="shared" si="8"/>
        <v>144357.34013444651</v>
      </c>
      <c r="W38" s="451">
        <f t="shared" si="8"/>
        <v>138846.37073861342</v>
      </c>
      <c r="X38" s="451">
        <f t="shared" si="8"/>
        <v>133335.40134277986</v>
      </c>
      <c r="Y38" s="451">
        <f t="shared" si="8"/>
        <v>128267.59231482167</v>
      </c>
      <c r="Z38" s="451">
        <f t="shared" si="8"/>
        <v>124085.90538506676</v>
      </c>
      <c r="AA38" s="451">
        <f t="shared" si="8"/>
        <v>120347.37882318674</v>
      </c>
      <c r="AB38" s="451">
        <f t="shared" si="8"/>
        <v>116608.85226130672</v>
      </c>
      <c r="AC38" s="451">
        <f t="shared" si="8"/>
        <v>112870.3256994267</v>
      </c>
      <c r="AD38" s="451">
        <f t="shared" si="8"/>
        <v>109131.79913754668</v>
      </c>
      <c r="AE38" s="451">
        <f t="shared" si="8"/>
        <v>105393.27257566666</v>
      </c>
      <c r="AF38" s="451">
        <f t="shared" si="8"/>
        <v>101654.74601378641</v>
      </c>
      <c r="AG38" s="451">
        <f t="shared" si="8"/>
        <v>97916.219451906392</v>
      </c>
      <c r="AH38" s="451">
        <f t="shared" si="8"/>
        <v>94177.692890026374</v>
      </c>
      <c r="AI38" s="451">
        <f t="shared" si="8"/>
        <v>90439.166328146355</v>
      </c>
      <c r="AJ38" s="451">
        <f t="shared" si="8"/>
        <v>86700.639766266337</v>
      </c>
      <c r="AK38" s="451">
        <f t="shared" si="8"/>
        <v>82962.113204386318</v>
      </c>
      <c r="AL38" s="451">
        <f t="shared" si="8"/>
        <v>79223.5866425063</v>
      </c>
      <c r="AM38" s="451">
        <f t="shared" si="8"/>
        <v>75485.060080626281</v>
      </c>
      <c r="AN38" s="451">
        <f t="shared" si="8"/>
        <v>71746.533518746262</v>
      </c>
      <c r="AO38" s="451">
        <f t="shared" si="8"/>
        <v>68008.006956866244</v>
      </c>
      <c r="AP38" s="451">
        <f t="shared" si="8"/>
        <v>64269.480394986225</v>
      </c>
      <c r="AQ38" s="451">
        <f t="shared" si="8"/>
        <v>60530.953833106207</v>
      </c>
      <c r="AR38" s="451">
        <f t="shared" si="8"/>
        <v>52611.465484132757</v>
      </c>
      <c r="AS38" s="121">
        <f t="shared" ref="AS38" si="9">AS37/(1-$F16)-AS37</f>
        <v>2969.2155401511918</v>
      </c>
      <c r="AT38" s="121"/>
      <c r="AU38" s="126">
        <f t="shared" si="3"/>
        <v>5559931.106914551</v>
      </c>
    </row>
    <row r="39" spans="1:47" x14ac:dyDescent="0.2">
      <c r="A39" s="486">
        <f>A38+1</f>
        <v>9</v>
      </c>
      <c r="B39" s="21"/>
      <c r="C39" s="21" t="s">
        <v>61</v>
      </c>
      <c r="D39" s="523"/>
      <c r="E39" s="60">
        <f>SUM(E37:E38)</f>
        <v>5080857.0252605006</v>
      </c>
      <c r="F39" s="120">
        <f t="shared" ref="F39:AS39" si="10">SUM(F37:F38)</f>
        <v>4966809.2821760066</v>
      </c>
      <c r="G39" s="120">
        <f t="shared" si="10"/>
        <v>4829839.7389336666</v>
      </c>
      <c r="H39" s="120">
        <f t="shared" si="10"/>
        <v>4697232.5436630836</v>
      </c>
      <c r="I39" s="120">
        <f t="shared" si="10"/>
        <v>4568661.1482435325</v>
      </c>
      <c r="J39" s="120">
        <f t="shared" si="10"/>
        <v>4443824.1236404963</v>
      </c>
      <c r="K39" s="120">
        <f t="shared" si="10"/>
        <v>4322440.9733912982</v>
      </c>
      <c r="L39" s="120">
        <f t="shared" si="10"/>
        <v>4204252.1336051058</v>
      </c>
      <c r="M39" s="120">
        <f t="shared" si="10"/>
        <v>4087846.7489398052</v>
      </c>
      <c r="N39" s="120">
        <f t="shared" si="10"/>
        <v>3971696.7416509697</v>
      </c>
      <c r="O39" s="120">
        <f t="shared" si="10"/>
        <v>3855546.7343621352</v>
      </c>
      <c r="P39" s="120">
        <f t="shared" si="10"/>
        <v>3739396.7270732997</v>
      </c>
      <c r="Q39" s="120">
        <f t="shared" si="10"/>
        <v>3623246.7197844642</v>
      </c>
      <c r="R39" s="120">
        <f t="shared" si="10"/>
        <v>3507096.7124956297</v>
      </c>
      <c r="S39" s="120">
        <f t="shared" si="10"/>
        <v>3390946.7052067942</v>
      </c>
      <c r="T39" s="120">
        <f t="shared" si="10"/>
        <v>3274796.6979179592</v>
      </c>
      <c r="U39" s="120">
        <f t="shared" si="10"/>
        <v>3158646.6906291242</v>
      </c>
      <c r="V39" s="120">
        <f t="shared" si="10"/>
        <v>3042496.6833402887</v>
      </c>
      <c r="W39" s="120">
        <f t="shared" si="10"/>
        <v>2926346.6760514537</v>
      </c>
      <c r="X39" s="120">
        <f t="shared" si="10"/>
        <v>2810196.6687626182</v>
      </c>
      <c r="Y39" s="120">
        <f t="shared" si="10"/>
        <v>2703386.7750294376</v>
      </c>
      <c r="Z39" s="120">
        <f t="shared" si="10"/>
        <v>2615252.9218931985</v>
      </c>
      <c r="AA39" s="120">
        <f t="shared" si="10"/>
        <v>2536459.1823126134</v>
      </c>
      <c r="AB39" s="120">
        <f t="shared" si="10"/>
        <v>2457665.4427320282</v>
      </c>
      <c r="AC39" s="120">
        <f t="shared" si="10"/>
        <v>2378871.703151443</v>
      </c>
      <c r="AD39" s="120">
        <f t="shared" si="10"/>
        <v>2300077.9635708584</v>
      </c>
      <c r="AE39" s="120">
        <f t="shared" si="10"/>
        <v>2221284.2239902732</v>
      </c>
      <c r="AF39" s="120">
        <f t="shared" si="10"/>
        <v>2142490.4844096876</v>
      </c>
      <c r="AG39" s="120">
        <f t="shared" si="10"/>
        <v>2063696.7448291027</v>
      </c>
      <c r="AH39" s="120">
        <f t="shared" si="10"/>
        <v>1984903.0052485175</v>
      </c>
      <c r="AI39" s="120">
        <f t="shared" si="10"/>
        <v>1906109.2656679323</v>
      </c>
      <c r="AJ39" s="120">
        <f t="shared" si="10"/>
        <v>1827315.5260873479</v>
      </c>
      <c r="AK39" s="120">
        <f t="shared" si="10"/>
        <v>1748521.786506763</v>
      </c>
      <c r="AL39" s="120">
        <f t="shared" si="10"/>
        <v>1669728.0469261778</v>
      </c>
      <c r="AM39" s="120">
        <f t="shared" si="10"/>
        <v>1590934.3073455926</v>
      </c>
      <c r="AN39" s="120">
        <f t="shared" si="10"/>
        <v>1512140.5677650075</v>
      </c>
      <c r="AO39" s="120">
        <f t="shared" si="10"/>
        <v>1433346.8281844223</v>
      </c>
      <c r="AP39" s="120">
        <f t="shared" si="10"/>
        <v>1354553.0886038374</v>
      </c>
      <c r="AQ39" s="120">
        <f t="shared" si="10"/>
        <v>1275759.3490232523</v>
      </c>
      <c r="AR39" s="120">
        <f t="shared" si="10"/>
        <v>1108847.0395205738</v>
      </c>
      <c r="AS39" s="120">
        <f t="shared" si="10"/>
        <v>65333.587258811174</v>
      </c>
      <c r="AT39" s="120"/>
      <c r="AU39" s="126">
        <f t="shared" si="3"/>
        <v>117398855.3151851</v>
      </c>
    </row>
    <row r="40" spans="1:47" x14ac:dyDescent="0.2">
      <c r="A40" s="486">
        <f t="shared" ref="A40:A66" si="11">A39+1</f>
        <v>10</v>
      </c>
      <c r="B40" s="21"/>
      <c r="C40" s="21"/>
      <c r="D40" s="523"/>
      <c r="E40" s="6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6">
        <f t="shared" si="3"/>
        <v>0</v>
      </c>
    </row>
    <row r="41" spans="1:47" x14ac:dyDescent="0.2">
      <c r="A41" s="486">
        <f t="shared" si="11"/>
        <v>11</v>
      </c>
      <c r="B41" s="21"/>
      <c r="C41" s="21"/>
      <c r="D41" s="523"/>
      <c r="E41" s="57"/>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6">
        <f t="shared" si="3"/>
        <v>0</v>
      </c>
    </row>
    <row r="42" spans="1:47" x14ac:dyDescent="0.2">
      <c r="A42" s="486">
        <f t="shared" si="11"/>
        <v>12</v>
      </c>
      <c r="B42" s="21" t="s">
        <v>208</v>
      </c>
      <c r="C42" s="21"/>
      <c r="D42" s="523"/>
      <c r="E42" s="59">
        <f>E39</f>
        <v>5080857.0252605006</v>
      </c>
      <c r="F42" s="121">
        <f>F39</f>
        <v>4966809.2821760066</v>
      </c>
      <c r="G42" s="121">
        <f t="shared" ref="G42:AS42" si="12">G39</f>
        <v>4829839.7389336666</v>
      </c>
      <c r="H42" s="121">
        <f t="shared" si="12"/>
        <v>4697232.5436630836</v>
      </c>
      <c r="I42" s="121">
        <f t="shared" si="12"/>
        <v>4568661.1482435325</v>
      </c>
      <c r="J42" s="121">
        <f t="shared" si="12"/>
        <v>4443824.1236404963</v>
      </c>
      <c r="K42" s="121">
        <f t="shared" si="12"/>
        <v>4322440.9733912982</v>
      </c>
      <c r="L42" s="121">
        <f t="shared" si="12"/>
        <v>4204252.1336051058</v>
      </c>
      <c r="M42" s="121">
        <f t="shared" si="12"/>
        <v>4087846.7489398052</v>
      </c>
      <c r="N42" s="121">
        <f t="shared" si="12"/>
        <v>3971696.7416509697</v>
      </c>
      <c r="O42" s="121">
        <f t="shared" si="12"/>
        <v>3855546.7343621352</v>
      </c>
      <c r="P42" s="121">
        <f t="shared" si="12"/>
        <v>3739396.7270732997</v>
      </c>
      <c r="Q42" s="121">
        <f t="shared" si="12"/>
        <v>3623246.7197844642</v>
      </c>
      <c r="R42" s="121">
        <f t="shared" si="12"/>
        <v>3507096.7124956297</v>
      </c>
      <c r="S42" s="121">
        <f t="shared" si="12"/>
        <v>3390946.7052067942</v>
      </c>
      <c r="T42" s="121">
        <f t="shared" si="12"/>
        <v>3274796.6979179592</v>
      </c>
      <c r="U42" s="121">
        <f t="shared" si="12"/>
        <v>3158646.6906291242</v>
      </c>
      <c r="V42" s="121">
        <f t="shared" si="12"/>
        <v>3042496.6833402887</v>
      </c>
      <c r="W42" s="121">
        <f t="shared" si="12"/>
        <v>2926346.6760514537</v>
      </c>
      <c r="X42" s="121">
        <f t="shared" si="12"/>
        <v>2810196.6687626182</v>
      </c>
      <c r="Y42" s="121">
        <f t="shared" si="12"/>
        <v>2703386.7750294376</v>
      </c>
      <c r="Z42" s="121">
        <f t="shared" si="12"/>
        <v>2615252.9218931985</v>
      </c>
      <c r="AA42" s="121">
        <f t="shared" si="12"/>
        <v>2536459.1823126134</v>
      </c>
      <c r="AB42" s="121">
        <f t="shared" si="12"/>
        <v>2457665.4427320282</v>
      </c>
      <c r="AC42" s="121">
        <f t="shared" si="12"/>
        <v>2378871.703151443</v>
      </c>
      <c r="AD42" s="121">
        <f t="shared" si="12"/>
        <v>2300077.9635708584</v>
      </c>
      <c r="AE42" s="121">
        <f t="shared" si="12"/>
        <v>2221284.2239902732</v>
      </c>
      <c r="AF42" s="121">
        <f t="shared" si="12"/>
        <v>2142490.4844096876</v>
      </c>
      <c r="AG42" s="121">
        <f t="shared" si="12"/>
        <v>2063696.7448291027</v>
      </c>
      <c r="AH42" s="121">
        <f t="shared" si="12"/>
        <v>1984903.0052485175</v>
      </c>
      <c r="AI42" s="121">
        <f t="shared" si="12"/>
        <v>1906109.2656679323</v>
      </c>
      <c r="AJ42" s="121">
        <f t="shared" si="12"/>
        <v>1827315.5260873479</v>
      </c>
      <c r="AK42" s="121">
        <f t="shared" si="12"/>
        <v>1748521.786506763</v>
      </c>
      <c r="AL42" s="121">
        <f t="shared" si="12"/>
        <v>1669728.0469261778</v>
      </c>
      <c r="AM42" s="121">
        <f t="shared" si="12"/>
        <v>1590934.3073455926</v>
      </c>
      <c r="AN42" s="121">
        <f t="shared" si="12"/>
        <v>1512140.5677650075</v>
      </c>
      <c r="AO42" s="121">
        <f t="shared" si="12"/>
        <v>1433346.8281844223</v>
      </c>
      <c r="AP42" s="121">
        <f t="shared" si="12"/>
        <v>1354553.0886038374</v>
      </c>
      <c r="AQ42" s="121">
        <f t="shared" si="12"/>
        <v>1275759.3490232523</v>
      </c>
      <c r="AR42" s="121">
        <f t="shared" si="12"/>
        <v>1108847.0395205738</v>
      </c>
      <c r="AS42" s="121">
        <f t="shared" si="12"/>
        <v>65333.587258811174</v>
      </c>
      <c r="AT42" s="121"/>
      <c r="AU42" s="126">
        <f t="shared" si="3"/>
        <v>117398855.3151851</v>
      </c>
    </row>
    <row r="43" spans="1:47" x14ac:dyDescent="0.2">
      <c r="A43" s="486">
        <f t="shared" si="11"/>
        <v>13</v>
      </c>
      <c r="B43" s="21"/>
      <c r="C43" s="21"/>
      <c r="D43" s="523"/>
      <c r="E43" s="10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row>
    <row r="44" spans="1:47" outlineLevel="1" x14ac:dyDescent="0.2">
      <c r="A44" s="486">
        <f t="shared" si="11"/>
        <v>14</v>
      </c>
      <c r="B44" s="21"/>
      <c r="C44" s="21"/>
      <c r="D44" s="523"/>
      <c r="E44" s="62"/>
      <c r="F44" s="52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row>
    <row r="45" spans="1:47" outlineLevel="1" x14ac:dyDescent="0.2">
      <c r="A45" s="486">
        <f t="shared" si="11"/>
        <v>15</v>
      </c>
      <c r="B45" s="21" t="s">
        <v>63</v>
      </c>
      <c r="C45" s="523"/>
      <c r="D45" s="523"/>
      <c r="E45" s="64">
        <f>+E42/$F$22</f>
        <v>0.11507782502224642</v>
      </c>
      <c r="F45" s="122">
        <f t="shared" ref="F45:AS45" si="13">+F42/$F$22</f>
        <v>0.11249472414819917</v>
      </c>
      <c r="G45" s="122">
        <f t="shared" si="13"/>
        <v>0.10939246068117889</v>
      </c>
      <c r="H45" s="122">
        <f t="shared" si="13"/>
        <v>0.10638900131631777</v>
      </c>
      <c r="I45" s="122">
        <f t="shared" si="13"/>
        <v>0.10347694996919321</v>
      </c>
      <c r="J45" s="122">
        <f t="shared" si="13"/>
        <v>0.10064947948495349</v>
      </c>
      <c r="K45" s="122">
        <f t="shared" si="13"/>
        <v>9.7900236816722719E-2</v>
      </c>
      <c r="L45" s="122">
        <f t="shared" si="13"/>
        <v>9.5223343025600843E-2</v>
      </c>
      <c r="M45" s="122">
        <f t="shared" si="13"/>
        <v>9.2586843234018154E-2</v>
      </c>
      <c r="N45" s="122">
        <f t="shared" si="13"/>
        <v>8.9956127559740362E-2</v>
      </c>
      <c r="O45" s="122">
        <f t="shared" si="13"/>
        <v>8.7325411885462584E-2</v>
      </c>
      <c r="P45" s="122">
        <f t="shared" si="13"/>
        <v>8.4694696211184792E-2</v>
      </c>
      <c r="Q45" s="122">
        <f t="shared" si="13"/>
        <v>8.2063980536906986E-2</v>
      </c>
      <c r="R45" s="122">
        <f t="shared" si="13"/>
        <v>7.9433264862629221E-2</v>
      </c>
      <c r="S45" s="122">
        <f t="shared" si="13"/>
        <v>7.6802549188351416E-2</v>
      </c>
      <c r="T45" s="122">
        <f t="shared" si="13"/>
        <v>7.4171833514073637E-2</v>
      </c>
      <c r="U45" s="122">
        <f t="shared" si="13"/>
        <v>7.1541117839795845E-2</v>
      </c>
      <c r="V45" s="122">
        <f t="shared" si="13"/>
        <v>6.8910402165518053E-2</v>
      </c>
      <c r="W45" s="122">
        <f t="shared" si="13"/>
        <v>6.6279686491240261E-2</v>
      </c>
      <c r="X45" s="122">
        <f t="shared" si="13"/>
        <v>6.3648970816962469E-2</v>
      </c>
      <c r="Y45" s="122">
        <f t="shared" si="13"/>
        <v>6.1229802121491948E-2</v>
      </c>
      <c r="Z45" s="122">
        <f t="shared" si="13"/>
        <v>5.9233632562040804E-2</v>
      </c>
      <c r="AA45" s="122">
        <f t="shared" si="13"/>
        <v>5.7449009981396917E-2</v>
      </c>
      <c r="AB45" s="122">
        <f t="shared" si="13"/>
        <v>5.5664387400753031E-2</v>
      </c>
      <c r="AC45" s="122">
        <f t="shared" si="13"/>
        <v>5.3879764820109137E-2</v>
      </c>
      <c r="AD45" s="122">
        <f t="shared" si="13"/>
        <v>5.2095142239465257E-2</v>
      </c>
      <c r="AE45" s="122">
        <f t="shared" si="13"/>
        <v>5.031051965882137E-2</v>
      </c>
      <c r="AF45" s="122">
        <f t="shared" si="13"/>
        <v>4.852589707817747E-2</v>
      </c>
      <c r="AG45" s="122">
        <f t="shared" si="13"/>
        <v>4.6741274497533583E-2</v>
      </c>
      <c r="AH45" s="122">
        <f t="shared" si="13"/>
        <v>4.4956651916889696E-2</v>
      </c>
      <c r="AI45" s="122">
        <f t="shared" si="13"/>
        <v>4.317202933624581E-2</v>
      </c>
      <c r="AJ45" s="122">
        <f t="shared" si="13"/>
        <v>4.138740675560193E-2</v>
      </c>
      <c r="AK45" s="122">
        <f t="shared" si="13"/>
        <v>3.960278417495805E-2</v>
      </c>
      <c r="AL45" s="122">
        <f t="shared" si="13"/>
        <v>3.7818161594314156E-2</v>
      </c>
      <c r="AM45" s="122">
        <f t="shared" si="13"/>
        <v>3.603353901367027E-2</v>
      </c>
      <c r="AN45" s="122">
        <f t="shared" si="13"/>
        <v>3.4248916433026383E-2</v>
      </c>
      <c r="AO45" s="122">
        <f t="shared" si="13"/>
        <v>3.2464293852382489E-2</v>
      </c>
      <c r="AP45" s="122">
        <f t="shared" si="13"/>
        <v>3.0679671271738606E-2</v>
      </c>
      <c r="AQ45" s="122">
        <f t="shared" si="13"/>
        <v>2.8895048691094716E-2</v>
      </c>
      <c r="AR45" s="122">
        <f t="shared" si="13"/>
        <v>2.5114602705011597E-2</v>
      </c>
      <c r="AS45" s="122">
        <f t="shared" si="13"/>
        <v>1.4797596321379782E-3</v>
      </c>
      <c r="AT45" s="122"/>
    </row>
    <row r="46" spans="1:47" outlineLevel="1" x14ac:dyDescent="0.2">
      <c r="A46" s="486">
        <f t="shared" si="11"/>
        <v>16</v>
      </c>
      <c r="B46" s="21"/>
      <c r="C46" s="21"/>
      <c r="D46" s="523"/>
      <c r="E46" s="62"/>
      <c r="F46" s="52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row>
    <row r="47" spans="1:47" outlineLevel="1" x14ac:dyDescent="0.2">
      <c r="A47" s="486">
        <f t="shared" si="11"/>
        <v>17</v>
      </c>
      <c r="B47" s="21"/>
      <c r="C47" s="21"/>
      <c r="D47" s="523"/>
      <c r="E47" s="62">
        <f>+E27/2</f>
        <v>552225.76790253422</v>
      </c>
      <c r="F47" s="120"/>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row>
    <row r="48" spans="1:47" outlineLevel="1" x14ac:dyDescent="0.2">
      <c r="A48" s="486">
        <f t="shared" si="11"/>
        <v>18</v>
      </c>
      <c r="B48" s="21"/>
      <c r="C48" s="21"/>
      <c r="D48" s="523"/>
      <c r="E48" s="62">
        <f>+E60/2</f>
        <v>57879.066401092343</v>
      </c>
      <c r="F48" s="120"/>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row>
    <row r="49" spans="1:47" x14ac:dyDescent="0.2">
      <c r="A49" s="486">
        <f t="shared" si="11"/>
        <v>19</v>
      </c>
      <c r="B49" s="65" t="s">
        <v>64</v>
      </c>
      <c r="C49" s="21"/>
      <c r="D49" s="523"/>
      <c r="E49" s="60">
        <f>F22-E27/2-E60/2</f>
        <v>43541381.555696256</v>
      </c>
      <c r="F49" s="138">
        <f>$F$22-(SUM($E$27:E27)+F27/2)-(SUM($E$60:E60)+F60/2)</f>
        <v>42160352.305487752</v>
      </c>
      <c r="G49" s="138">
        <f>$F$22-(SUM($E$27:F27)+G27/2)-(SUM($E$60:F60)+G60/2)</f>
        <v>40643630.084582537</v>
      </c>
      <c r="H49" s="138">
        <f>$F$22-(SUM($E$27:G27)+H27/2)-(SUM($E$60:G60)+H60/2)</f>
        <v>39175214.004936621</v>
      </c>
      <c r="I49" s="138">
        <f>$F$22-(SUM($E$27:H27)+I27/2)-(SUM($E$60:H60)+I60/2)</f>
        <v>37751488.059814662</v>
      </c>
      <c r="J49" s="138">
        <f>$F$22-(SUM($E$27:I27)+J27/2)-(SUM($E$60:I60)+J60/2)</f>
        <v>36369114.396845579</v>
      </c>
      <c r="K49" s="138">
        <f>$F$22-(SUM($E$27:J27)+K27/2)-(SUM($E$60:J60)+K60/2)</f>
        <v>35024986.95896183</v>
      </c>
      <c r="L49" s="138">
        <f>$F$22-(SUM($E$27:K27)+L27/2)-(SUM($E$60:K60)+L60/2)</f>
        <v>33716231.48439943</v>
      </c>
      <c r="M49" s="138">
        <f>$F$22-(SUM($E$27:L27)+M27/2)-(SUM($E$60:L60)+M60/2)</f>
        <v>32427224.969699278</v>
      </c>
      <c r="N49" s="138">
        <f>$F$22-(SUM($E$27:M27)+N27/2)-(SUM($E$60:M60)+N60/2)</f>
        <v>31141046.357702408</v>
      </c>
      <c r="O49" s="138">
        <f>$F$22-(SUM($E$27:N27)+O27/2)-(SUM($E$60:N60)+O60/2)</f>
        <v>29854867.745705537</v>
      </c>
      <c r="P49" s="138">
        <f>$F$22-(SUM($E$27:O27)+P27/2)-(SUM($E$60:O60)+P60/2)</f>
        <v>28568689.133708663</v>
      </c>
      <c r="Q49" s="138">
        <f>$F$22-(SUM($E$27:P27)+Q27/2)-(SUM($E$60:P60)+Q60/2)</f>
        <v>27282510.521711793</v>
      </c>
      <c r="R49" s="138">
        <f>$F$22-(SUM($E$27:Q27)+R27/2)-(SUM($E$60:Q60)+R60/2)</f>
        <v>25996331.909714922</v>
      </c>
      <c r="S49" s="138">
        <f>$F$22-(SUM($E$27:R27)+S27/2)-(SUM($E$60:R60)+S60/2)</f>
        <v>24710153.297718048</v>
      </c>
      <c r="T49" s="138">
        <f>$F$22-(SUM($E$27:S27)+T27/2)-(SUM($E$60:S60)+T60/2)</f>
        <v>23423974.685721178</v>
      </c>
      <c r="U49" s="138">
        <f>$F$22-(SUM($E$27:T27)+U27/2)-(SUM($E$60:T60)+U60/2)</f>
        <v>22137796.073724307</v>
      </c>
      <c r="V49" s="138">
        <f>$F$22-(SUM($E$27:U27)+V27/2)-(SUM($E$60:U60)+V60/2)</f>
        <v>20851617.461727433</v>
      </c>
      <c r="W49" s="138">
        <f>$F$22-(SUM($E$27:V27)+W27/2)-(SUM($E$60:V60)+W60/2)</f>
        <v>19565438.849730562</v>
      </c>
      <c r="X49" s="138">
        <f>$F$22-(SUM($E$27:W27)+X27/2)-(SUM($E$60:W60)+X60/2)</f>
        <v>18279260.237733692</v>
      </c>
      <c r="Y49" s="138">
        <f>$F$22-(SUM($E$27:X27)+Y27/2)-(SUM($E$60:X60)+Y60/2)</f>
        <v>17096508.690179713</v>
      </c>
      <c r="Z49" s="138">
        <f>$F$22-(SUM($E$27:Y27)+Z27/2)-(SUM($E$60:Y60)+Z60/2)</f>
        <v>16120564.912450813</v>
      </c>
      <c r="AA49" s="138">
        <f>$F$22-(SUM($E$27:Z27)+AA27/2)-(SUM($E$60:Z60)+AA60/2)</f>
        <v>15248048.19916481</v>
      </c>
      <c r="AB49" s="138">
        <f>$F$22-(SUM($E$27:AA27)+AB27/2)-(SUM($E$60:AA60)+AB60/2)</f>
        <v>14375531.485878805</v>
      </c>
      <c r="AC49" s="138">
        <f>$F$22-(SUM($E$27:AB27)+AC27/2)-(SUM($E$60:AB60)+AC60/2)</f>
        <v>13503014.7725928</v>
      </c>
      <c r="AD49" s="138">
        <f>$F$22-(SUM($E$27:AC27)+AD27/2)-(SUM($E$60:AC60)+AD60/2)</f>
        <v>12630498.059306797</v>
      </c>
      <c r="AE49" s="138">
        <f>$F$22-(SUM($E$27:AD27)+AE27/2)-(SUM($E$60:AD60)+AE60/2)</f>
        <v>11757981.346020792</v>
      </c>
      <c r="AF49" s="138">
        <f>$F$22-(SUM($E$27:AE27)+AF27/2)-(SUM($E$60:AE60)+AF60/2)</f>
        <v>10885464.632734787</v>
      </c>
      <c r="AG49" s="138">
        <f>$F$22-(SUM($E$27:AF27)+AG27/2)-(SUM($E$60:AF60)+AG60/2)</f>
        <v>10012947.919448782</v>
      </c>
      <c r="AH49" s="138">
        <f>$F$22-(SUM($E$27:AG27)+AH27/2)-(SUM($E$60:AG60)+AH60/2)</f>
        <v>9140431.2061627768</v>
      </c>
      <c r="AI49" s="138">
        <f>$F$22-(SUM($E$27:AH27)+AI27/2)-(SUM($E$60:AH60)+AI60/2)</f>
        <v>8267914.4928767737</v>
      </c>
      <c r="AJ49" s="138">
        <f>$F$22-(SUM($E$27:AI27)+AJ27/2)-(SUM($E$60:AI60)+AJ60/2)</f>
        <v>7395397.7795907762</v>
      </c>
      <c r="AK49" s="138">
        <f>$F$22-(SUM($E$27:AJ27)+AK27/2)-(SUM($E$60:AJ60)+AK60/2)</f>
        <v>6522881.0663047722</v>
      </c>
      <c r="AL49" s="138">
        <f>$F$22-(SUM($E$27:AK27)+AL27/2)-(SUM($E$60:AK60)+AL60/2)</f>
        <v>5650364.3530187672</v>
      </c>
      <c r="AM49" s="138">
        <f>$F$22-(SUM($E$27:AL27)+AM27/2)-(SUM($E$60:AL60)+AM60/2)</f>
        <v>4777847.6397327632</v>
      </c>
      <c r="AN49" s="138">
        <f>$F$22-(SUM($E$27:AM27)+AN27/2)-(SUM($E$60:AM60)+AN60/2)</f>
        <v>3905330.9264467582</v>
      </c>
      <c r="AO49" s="138">
        <f>$F$22-(SUM($E$27:AN27)+AO27/2)-(SUM($E$60:AN60)+AO60/2)</f>
        <v>3032814.2131607542</v>
      </c>
      <c r="AP49" s="138">
        <f>$F$22-(SUM($E$27:AO27)+AP27/2)-(SUM($E$60:AO60)+AP60/2)</f>
        <v>2160297.4998747492</v>
      </c>
      <c r="AQ49" s="138">
        <f>$F$22-(SUM($E$27:AP27)+AQ27/2)-(SUM($E$60:AP60)+AQ60/2)</f>
        <v>1287780.7865887447</v>
      </c>
      <c r="AR49" s="138">
        <f>$F$22-(SUM($E$27:AQ27)+AR27/2)-(SUM($E$60:AQ60)+AR60/2)</f>
        <v>449585.62330274034</v>
      </c>
      <c r="AS49" s="138">
        <f>$F$22-(SUM($E$27:AR27)+AS27/2)-(SUM($E$60:AR60)+AS60/2)</f>
        <v>23824.407459737602</v>
      </c>
      <c r="AT49" s="138"/>
      <c r="AU49" s="126"/>
    </row>
    <row r="50" spans="1:47" x14ac:dyDescent="0.2">
      <c r="A50" s="486">
        <f t="shared" si="11"/>
        <v>20</v>
      </c>
      <c r="B50" s="21"/>
      <c r="C50" s="21"/>
      <c r="D50" s="523"/>
      <c r="E50" s="108"/>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6">
        <f t="shared" ref="AU50:AU60" si="14">SUM(D50:AT50)</f>
        <v>0</v>
      </c>
    </row>
    <row r="51" spans="1:47" x14ac:dyDescent="0.2">
      <c r="A51" s="486">
        <f t="shared" si="11"/>
        <v>21</v>
      </c>
      <c r="B51" s="21"/>
      <c r="C51" s="21"/>
      <c r="D51" s="523"/>
      <c r="E51" s="57"/>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6">
        <f t="shared" si="14"/>
        <v>0</v>
      </c>
    </row>
    <row r="52" spans="1:47" x14ac:dyDescent="0.2">
      <c r="A52" s="486">
        <f t="shared" si="11"/>
        <v>22</v>
      </c>
      <c r="B52" s="21" t="s">
        <v>65</v>
      </c>
      <c r="C52" s="21"/>
      <c r="D52" s="523"/>
      <c r="E52" s="57">
        <f>(E34)/(1-$F$15)</f>
        <v>2513274.6822022144</v>
      </c>
      <c r="F52" s="123">
        <f t="shared" ref="F52:AS52" si="15">(F34)/(1-$F$15)</f>
        <v>2433559.5761142294</v>
      </c>
      <c r="G52" s="123">
        <f t="shared" si="15"/>
        <v>2346012.0656417264</v>
      </c>
      <c r="H52" s="123">
        <f t="shared" si="15"/>
        <v>2261252.8590191263</v>
      </c>
      <c r="I52" s="123">
        <f t="shared" si="15"/>
        <v>2179073.234844998</v>
      </c>
      <c r="J52" s="123">
        <f t="shared" si="15"/>
        <v>2099280.5272103273</v>
      </c>
      <c r="K52" s="123">
        <f t="shared" si="15"/>
        <v>2021695.4497831133</v>
      </c>
      <c r="L52" s="123">
        <f t="shared" si="15"/>
        <v>1946152.0958083721</v>
      </c>
      <c r="M52" s="123">
        <f t="shared" si="15"/>
        <v>1871748.6817953002</v>
      </c>
      <c r="N52" s="123">
        <f t="shared" si="15"/>
        <v>1797508.4986218098</v>
      </c>
      <c r="O52" s="123">
        <f t="shared" si="15"/>
        <v>1723268.3154483195</v>
      </c>
      <c r="P52" s="123">
        <f t="shared" si="15"/>
        <v>1649028.1322748291</v>
      </c>
      <c r="Q52" s="123">
        <f t="shared" si="15"/>
        <v>1574787.9491013389</v>
      </c>
      <c r="R52" s="123">
        <f t="shared" si="15"/>
        <v>1500547.7659278486</v>
      </c>
      <c r="S52" s="123">
        <f t="shared" si="15"/>
        <v>1426307.5827543582</v>
      </c>
      <c r="T52" s="123">
        <f t="shared" si="15"/>
        <v>1352067.399580868</v>
      </c>
      <c r="U52" s="123">
        <f t="shared" si="15"/>
        <v>1277827.2164073777</v>
      </c>
      <c r="V52" s="123">
        <f t="shared" si="15"/>
        <v>1203587.0332338873</v>
      </c>
      <c r="W52" s="123">
        <f t="shared" si="15"/>
        <v>1129346.8500603971</v>
      </c>
      <c r="X52" s="123">
        <f t="shared" si="15"/>
        <v>1055106.6668869068</v>
      </c>
      <c r="Y52" s="123">
        <f t="shared" si="15"/>
        <v>986836.45097746188</v>
      </c>
      <c r="Z52" s="123">
        <f t="shared" si="15"/>
        <v>930503.4936807052</v>
      </c>
      <c r="AA52" s="123">
        <f t="shared" si="15"/>
        <v>880140.50364799402</v>
      </c>
      <c r="AB52" s="123">
        <f t="shared" si="15"/>
        <v>829777.51361528283</v>
      </c>
      <c r="AC52" s="123">
        <f t="shared" si="15"/>
        <v>779414.52358257177</v>
      </c>
      <c r="AD52" s="123">
        <f t="shared" si="15"/>
        <v>729051.5335498607</v>
      </c>
      <c r="AE52" s="123">
        <f t="shared" si="15"/>
        <v>678688.5435171494</v>
      </c>
      <c r="AF52" s="123">
        <f t="shared" si="15"/>
        <v>628325.55348443834</v>
      </c>
      <c r="AG52" s="123">
        <f t="shared" si="15"/>
        <v>577962.56345172715</v>
      </c>
      <c r="AH52" s="123">
        <f t="shared" si="15"/>
        <v>527599.57341901597</v>
      </c>
      <c r="AI52" s="123">
        <f t="shared" si="15"/>
        <v>477236.5833863049</v>
      </c>
      <c r="AJ52" s="123">
        <f t="shared" si="15"/>
        <v>426873.59335359413</v>
      </c>
      <c r="AK52" s="123">
        <f t="shared" si="15"/>
        <v>376510.60332088306</v>
      </c>
      <c r="AL52" s="123">
        <f t="shared" si="15"/>
        <v>326147.61328817188</v>
      </c>
      <c r="AM52" s="123">
        <f t="shared" si="15"/>
        <v>275784.62325546076</v>
      </c>
      <c r="AN52" s="123">
        <f t="shared" si="15"/>
        <v>225421.6332227496</v>
      </c>
      <c r="AO52" s="123">
        <f t="shared" si="15"/>
        <v>175058.64319003848</v>
      </c>
      <c r="AP52" s="123">
        <f t="shared" si="15"/>
        <v>124695.6531573273</v>
      </c>
      <c r="AQ52" s="123">
        <f t="shared" si="15"/>
        <v>74332.663124616156</v>
      </c>
      <c r="AR52" s="123">
        <f t="shared" si="15"/>
        <v>25950.76509190501</v>
      </c>
      <c r="AS52" s="123">
        <f t="shared" si="15"/>
        <v>1375.1809875494109</v>
      </c>
      <c r="AT52" s="123"/>
      <c r="AU52" s="126"/>
    </row>
    <row r="53" spans="1:47" x14ac:dyDescent="0.2">
      <c r="A53" s="486">
        <f t="shared" si="11"/>
        <v>23</v>
      </c>
      <c r="B53" s="21" t="s">
        <v>66</v>
      </c>
      <c r="C53" s="21"/>
      <c r="D53" s="523"/>
      <c r="E53" s="59">
        <f t="shared" ref="E53:AS53" si="16">E52*$F15</f>
        <v>527787.68326246506</v>
      </c>
      <c r="F53" s="121">
        <f t="shared" si="16"/>
        <v>511047.51098398818</v>
      </c>
      <c r="G53" s="121">
        <f t="shared" si="16"/>
        <v>492662.53378476249</v>
      </c>
      <c r="H53" s="121">
        <f t="shared" si="16"/>
        <v>474863.10039401648</v>
      </c>
      <c r="I53" s="121">
        <f t="shared" si="16"/>
        <v>457605.37931744958</v>
      </c>
      <c r="J53" s="121">
        <f t="shared" si="16"/>
        <v>440848.91071416874</v>
      </c>
      <c r="K53" s="121">
        <f t="shared" si="16"/>
        <v>424556.0444544538</v>
      </c>
      <c r="L53" s="121">
        <f t="shared" si="16"/>
        <v>408691.94011975813</v>
      </c>
      <c r="M53" s="121">
        <f t="shared" si="16"/>
        <v>393067.22317701305</v>
      </c>
      <c r="N53" s="121">
        <f t="shared" si="16"/>
        <v>377476.78471058002</v>
      </c>
      <c r="O53" s="121">
        <f t="shared" si="16"/>
        <v>361886.34624414711</v>
      </c>
      <c r="P53" s="121">
        <f t="shared" si="16"/>
        <v>346295.90777771408</v>
      </c>
      <c r="Q53" s="121">
        <f t="shared" si="16"/>
        <v>330705.46931128117</v>
      </c>
      <c r="R53" s="121">
        <f t="shared" si="16"/>
        <v>315115.0308448482</v>
      </c>
      <c r="S53" s="121">
        <f t="shared" si="16"/>
        <v>299524.59237841523</v>
      </c>
      <c r="T53" s="121">
        <f t="shared" si="16"/>
        <v>283934.15391198226</v>
      </c>
      <c r="U53" s="121">
        <f t="shared" si="16"/>
        <v>268343.71544554934</v>
      </c>
      <c r="V53" s="121">
        <f t="shared" si="16"/>
        <v>252753.27697911632</v>
      </c>
      <c r="W53" s="121">
        <f t="shared" si="16"/>
        <v>237162.83851268337</v>
      </c>
      <c r="X53" s="121">
        <f t="shared" si="16"/>
        <v>221572.40004625043</v>
      </c>
      <c r="Y53" s="121">
        <f t="shared" si="16"/>
        <v>207235.65470526699</v>
      </c>
      <c r="Z53" s="121">
        <f t="shared" si="16"/>
        <v>195405.73367294809</v>
      </c>
      <c r="AA53" s="121">
        <f t="shared" si="16"/>
        <v>184829.50576607874</v>
      </c>
      <c r="AB53" s="121">
        <f t="shared" si="16"/>
        <v>174253.2778592094</v>
      </c>
      <c r="AC53" s="121">
        <f t="shared" si="16"/>
        <v>163677.04995234008</v>
      </c>
      <c r="AD53" s="121">
        <f t="shared" si="16"/>
        <v>153100.82204547073</v>
      </c>
      <c r="AE53" s="121">
        <f t="shared" si="16"/>
        <v>142524.59413860136</v>
      </c>
      <c r="AF53" s="121">
        <f t="shared" si="16"/>
        <v>131948.36623173204</v>
      </c>
      <c r="AG53" s="121">
        <f t="shared" si="16"/>
        <v>121372.1383248627</v>
      </c>
      <c r="AH53" s="121">
        <f t="shared" si="16"/>
        <v>110795.91041799335</v>
      </c>
      <c r="AI53" s="121">
        <f t="shared" si="16"/>
        <v>100219.68251112403</v>
      </c>
      <c r="AJ53" s="121">
        <f t="shared" si="16"/>
        <v>89643.454604254759</v>
      </c>
      <c r="AK53" s="121">
        <f t="shared" si="16"/>
        <v>79067.226697385442</v>
      </c>
      <c r="AL53" s="121">
        <f t="shared" si="16"/>
        <v>68490.998790516096</v>
      </c>
      <c r="AM53" s="121">
        <f t="shared" si="16"/>
        <v>57914.770883646757</v>
      </c>
      <c r="AN53" s="121">
        <f t="shared" si="16"/>
        <v>47338.542976777411</v>
      </c>
      <c r="AO53" s="121">
        <f t="shared" si="16"/>
        <v>36762.31506990808</v>
      </c>
      <c r="AP53" s="121">
        <f t="shared" si="16"/>
        <v>26186.08716303873</v>
      </c>
      <c r="AQ53" s="121">
        <f t="shared" si="16"/>
        <v>15609.859256169391</v>
      </c>
      <c r="AR53" s="121">
        <f t="shared" si="16"/>
        <v>5449.6606693000522</v>
      </c>
      <c r="AS53" s="121">
        <f t="shared" si="16"/>
        <v>288.78800738537626</v>
      </c>
      <c r="AT53" s="121"/>
      <c r="AU53" s="126"/>
    </row>
    <row r="54" spans="1:47" x14ac:dyDescent="0.2">
      <c r="A54" s="486">
        <f t="shared" si="11"/>
        <v>24</v>
      </c>
      <c r="B54" s="21" t="s">
        <v>67</v>
      </c>
      <c r="C54" s="21"/>
      <c r="D54" s="523"/>
      <c r="E54" s="57">
        <f>E52-E53</f>
        <v>1985486.9989397493</v>
      </c>
      <c r="F54" s="123">
        <f t="shared" ref="F54:AS54" si="17">F52-F53</f>
        <v>1922512.0651302412</v>
      </c>
      <c r="G54" s="123">
        <f t="shared" si="17"/>
        <v>1853349.5318569639</v>
      </c>
      <c r="H54" s="123">
        <f t="shared" si="17"/>
        <v>1786389.7586251097</v>
      </c>
      <c r="I54" s="123">
        <f t="shared" si="17"/>
        <v>1721467.8555275484</v>
      </c>
      <c r="J54" s="123">
        <f t="shared" si="17"/>
        <v>1658431.6164961585</v>
      </c>
      <c r="K54" s="123">
        <f t="shared" si="17"/>
        <v>1597139.4053286596</v>
      </c>
      <c r="L54" s="123">
        <f t="shared" si="17"/>
        <v>1537460.1556886141</v>
      </c>
      <c r="M54" s="123">
        <f t="shared" si="17"/>
        <v>1478681.4586182872</v>
      </c>
      <c r="N54" s="123">
        <f t="shared" si="17"/>
        <v>1420031.7139112297</v>
      </c>
      <c r="O54" s="123">
        <f t="shared" si="17"/>
        <v>1361381.9692041725</v>
      </c>
      <c r="P54" s="123">
        <f t="shared" si="17"/>
        <v>1302732.224497115</v>
      </c>
      <c r="Q54" s="123">
        <f t="shared" si="17"/>
        <v>1244082.4797900578</v>
      </c>
      <c r="R54" s="123">
        <f t="shared" si="17"/>
        <v>1185432.7350830005</v>
      </c>
      <c r="S54" s="123">
        <f t="shared" si="17"/>
        <v>1126782.990375943</v>
      </c>
      <c r="T54" s="123">
        <f t="shared" si="17"/>
        <v>1068133.2456688858</v>
      </c>
      <c r="U54" s="123">
        <f t="shared" si="17"/>
        <v>1009483.5009618284</v>
      </c>
      <c r="V54" s="123">
        <f t="shared" si="17"/>
        <v>950833.75625477103</v>
      </c>
      <c r="W54" s="123">
        <f t="shared" si="17"/>
        <v>892184.01154771366</v>
      </c>
      <c r="X54" s="123">
        <f t="shared" si="17"/>
        <v>833534.2668406564</v>
      </c>
      <c r="Y54" s="123">
        <f t="shared" si="17"/>
        <v>779600.79627219494</v>
      </c>
      <c r="Z54" s="123">
        <f t="shared" si="17"/>
        <v>735097.76000775711</v>
      </c>
      <c r="AA54" s="123">
        <f t="shared" si="17"/>
        <v>695310.9978819153</v>
      </c>
      <c r="AB54" s="123">
        <f t="shared" si="17"/>
        <v>655524.23575607338</v>
      </c>
      <c r="AC54" s="123">
        <f t="shared" si="17"/>
        <v>615737.47363023169</v>
      </c>
      <c r="AD54" s="123">
        <f t="shared" si="17"/>
        <v>575950.71150439</v>
      </c>
      <c r="AE54" s="123">
        <f t="shared" si="17"/>
        <v>536163.94937854807</v>
      </c>
      <c r="AF54" s="123">
        <f t="shared" si="17"/>
        <v>496377.18725270627</v>
      </c>
      <c r="AG54" s="123">
        <f t="shared" si="17"/>
        <v>456590.42512686446</v>
      </c>
      <c r="AH54" s="123">
        <f t="shared" si="17"/>
        <v>416803.66300102265</v>
      </c>
      <c r="AI54" s="123">
        <f t="shared" si="17"/>
        <v>377016.90087518084</v>
      </c>
      <c r="AJ54" s="123">
        <f t="shared" si="17"/>
        <v>337230.13874933938</v>
      </c>
      <c r="AK54" s="123">
        <f t="shared" si="17"/>
        <v>297443.37662349764</v>
      </c>
      <c r="AL54" s="123">
        <f t="shared" si="17"/>
        <v>257656.61449765577</v>
      </c>
      <c r="AM54" s="123">
        <f t="shared" si="17"/>
        <v>217869.85237181399</v>
      </c>
      <c r="AN54" s="123">
        <f t="shared" si="17"/>
        <v>178083.09024597218</v>
      </c>
      <c r="AO54" s="123">
        <f t="shared" si="17"/>
        <v>138296.32812013041</v>
      </c>
      <c r="AP54" s="123">
        <f t="shared" si="17"/>
        <v>98509.565994288569</v>
      </c>
      <c r="AQ54" s="123">
        <f t="shared" si="17"/>
        <v>58722.803868446761</v>
      </c>
      <c r="AR54" s="123">
        <f t="shared" si="17"/>
        <v>20501.104422604956</v>
      </c>
      <c r="AS54" s="123">
        <f t="shared" si="17"/>
        <v>1086.3929801640347</v>
      </c>
      <c r="AT54" s="123"/>
      <c r="AU54" s="126"/>
    </row>
    <row r="55" spans="1:47" x14ac:dyDescent="0.2">
      <c r="A55" s="486">
        <f t="shared" si="11"/>
        <v>25</v>
      </c>
      <c r="B55" s="21"/>
      <c r="C55" s="21"/>
      <c r="D55" s="523"/>
      <c r="E55" s="526"/>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525"/>
      <c r="AU55" s="126">
        <f t="shared" si="14"/>
        <v>0</v>
      </c>
    </row>
    <row r="56" spans="1:47" x14ac:dyDescent="0.2">
      <c r="A56" s="486">
        <f t="shared" si="11"/>
        <v>26</v>
      </c>
      <c r="B56" s="21"/>
      <c r="C56" s="21"/>
      <c r="D56" s="523"/>
      <c r="E56" s="108"/>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126">
        <f t="shared" si="14"/>
        <v>0</v>
      </c>
    </row>
    <row r="57" spans="1:47" x14ac:dyDescent="0.2">
      <c r="A57" s="486">
        <f t="shared" si="11"/>
        <v>27</v>
      </c>
      <c r="B57" s="21" t="s">
        <v>68</v>
      </c>
      <c r="C57" s="21"/>
      <c r="D57" s="523"/>
      <c r="E57" s="57">
        <f>E27+E28</f>
        <v>1104451.5358050684</v>
      </c>
      <c r="F57" s="123">
        <f>F27</f>
        <v>1104451.5358050684</v>
      </c>
      <c r="G57" s="123">
        <f>G27</f>
        <v>1104451.5358050684</v>
      </c>
      <c r="H57" s="123">
        <f t="shared" ref="H57:AS57" si="18">H27</f>
        <v>1104451.5358050684</v>
      </c>
      <c r="I57" s="123">
        <f t="shared" si="18"/>
        <v>1104451.5358050684</v>
      </c>
      <c r="J57" s="123">
        <f t="shared" si="18"/>
        <v>1104451.5358050684</v>
      </c>
      <c r="K57" s="123">
        <f t="shared" si="18"/>
        <v>1104451.5358050684</v>
      </c>
      <c r="L57" s="123">
        <f t="shared" si="18"/>
        <v>1104451.5358050684</v>
      </c>
      <c r="M57" s="123">
        <f t="shared" si="18"/>
        <v>1104451.5358050684</v>
      </c>
      <c r="N57" s="123">
        <f t="shared" si="18"/>
        <v>1104451.5358050684</v>
      </c>
      <c r="O57" s="123">
        <f t="shared" si="18"/>
        <v>1104451.5358050684</v>
      </c>
      <c r="P57" s="123">
        <f t="shared" si="18"/>
        <v>1104451.5358050684</v>
      </c>
      <c r="Q57" s="123">
        <f t="shared" si="18"/>
        <v>1104451.5358050684</v>
      </c>
      <c r="R57" s="123">
        <f t="shared" si="18"/>
        <v>1104451.5358050684</v>
      </c>
      <c r="S57" s="123">
        <f t="shared" si="18"/>
        <v>1104451.5358050684</v>
      </c>
      <c r="T57" s="123">
        <f t="shared" si="18"/>
        <v>1104451.5358050684</v>
      </c>
      <c r="U57" s="123">
        <f t="shared" si="18"/>
        <v>1104451.5358050684</v>
      </c>
      <c r="V57" s="123">
        <f t="shared" si="18"/>
        <v>1104451.5358050684</v>
      </c>
      <c r="W57" s="123">
        <f t="shared" si="18"/>
        <v>1104451.5358050684</v>
      </c>
      <c r="X57" s="123">
        <f t="shared" si="18"/>
        <v>1104451.5358050684</v>
      </c>
      <c r="Y57" s="123">
        <f t="shared" si="18"/>
        <v>1104451.5358050684</v>
      </c>
      <c r="Z57" s="123">
        <f t="shared" si="18"/>
        <v>1104451.5358050684</v>
      </c>
      <c r="AA57" s="123">
        <f t="shared" si="18"/>
        <v>1104451.5358050684</v>
      </c>
      <c r="AB57" s="123">
        <f t="shared" si="18"/>
        <v>1104451.5358050684</v>
      </c>
      <c r="AC57" s="123">
        <f t="shared" si="18"/>
        <v>1104451.5358050684</v>
      </c>
      <c r="AD57" s="123">
        <f t="shared" si="18"/>
        <v>1104451.5358050684</v>
      </c>
      <c r="AE57" s="123">
        <f t="shared" si="18"/>
        <v>1104451.5358050684</v>
      </c>
      <c r="AF57" s="123">
        <f t="shared" si="18"/>
        <v>1104451.5358050684</v>
      </c>
      <c r="AG57" s="123">
        <f t="shared" si="18"/>
        <v>1104451.5358050684</v>
      </c>
      <c r="AH57" s="123">
        <f t="shared" si="18"/>
        <v>1104451.5358050684</v>
      </c>
      <c r="AI57" s="123">
        <f t="shared" si="18"/>
        <v>1104451.5358050684</v>
      </c>
      <c r="AJ57" s="123">
        <f t="shared" si="18"/>
        <v>1104451.5358050684</v>
      </c>
      <c r="AK57" s="123">
        <f t="shared" si="18"/>
        <v>1104451.5358050684</v>
      </c>
      <c r="AL57" s="123">
        <f t="shared" si="18"/>
        <v>1104451.5358050684</v>
      </c>
      <c r="AM57" s="123">
        <f t="shared" si="18"/>
        <v>1104451.5358050684</v>
      </c>
      <c r="AN57" s="123">
        <f t="shared" si="18"/>
        <v>1104451.5358050684</v>
      </c>
      <c r="AO57" s="123">
        <f t="shared" si="18"/>
        <v>1104451.5358050684</v>
      </c>
      <c r="AP57" s="123">
        <f t="shared" si="18"/>
        <v>1104451.5358050684</v>
      </c>
      <c r="AQ57" s="123">
        <f t="shared" si="18"/>
        <v>1104451.5358050684</v>
      </c>
      <c r="AR57" s="123">
        <f t="shared" si="18"/>
        <v>1017561.5358050684</v>
      </c>
      <c r="AS57" s="123">
        <f t="shared" si="18"/>
        <v>60314.96</v>
      </c>
      <c r="AT57" s="123"/>
      <c r="AU57" s="126">
        <f t="shared" si="14"/>
        <v>44151486.39220275</v>
      </c>
    </row>
    <row r="58" spans="1:47" x14ac:dyDescent="0.2">
      <c r="A58" s="486">
        <f t="shared" si="11"/>
        <v>28</v>
      </c>
      <c r="B58" s="21" t="s">
        <v>69</v>
      </c>
      <c r="C58" s="21"/>
      <c r="D58" s="523"/>
      <c r="E58" s="57">
        <f>$F22*E62</f>
        <v>1655680.7396249955</v>
      </c>
      <c r="F58" s="123">
        <f t="shared" ref="F58:AS58" si="19">$F22*F62</f>
        <v>3187295.8024940914</v>
      </c>
      <c r="G58" s="123">
        <f t="shared" si="19"/>
        <v>2947994.7462602919</v>
      </c>
      <c r="H58" s="123">
        <f t="shared" si="19"/>
        <v>2727237.3143102927</v>
      </c>
      <c r="I58" s="123">
        <f t="shared" si="19"/>
        <v>2522374.417460693</v>
      </c>
      <c r="J58" s="123">
        <f t="shared" si="19"/>
        <v>2333406.0557114938</v>
      </c>
      <c r="K58" s="123">
        <f t="shared" si="19"/>
        <v>2158124.6547431941</v>
      </c>
      <c r="L58" s="123">
        <f t="shared" si="19"/>
        <v>1996530.2145557948</v>
      </c>
      <c r="M58" s="123">
        <f t="shared" si="19"/>
        <v>1970039.3227217947</v>
      </c>
      <c r="N58" s="123">
        <f t="shared" si="19"/>
        <v>1969597.8078578948</v>
      </c>
      <c r="O58" s="123">
        <f t="shared" si="19"/>
        <v>1970039.3227217947</v>
      </c>
      <c r="P58" s="123">
        <f t="shared" si="19"/>
        <v>1969597.8078578948</v>
      </c>
      <c r="Q58" s="123">
        <f t="shared" si="19"/>
        <v>1970039.3227217947</v>
      </c>
      <c r="R58" s="123">
        <f t="shared" si="19"/>
        <v>1969597.8078578948</v>
      </c>
      <c r="S58" s="123">
        <f t="shared" si="19"/>
        <v>1970039.3227217947</v>
      </c>
      <c r="T58" s="123">
        <f t="shared" si="19"/>
        <v>1969597.8078578948</v>
      </c>
      <c r="U58" s="123">
        <f t="shared" si="19"/>
        <v>1970039.3227217947</v>
      </c>
      <c r="V58" s="123">
        <f t="shared" si="19"/>
        <v>1969597.8078578948</v>
      </c>
      <c r="W58" s="123">
        <f t="shared" si="19"/>
        <v>1970039.3227217947</v>
      </c>
      <c r="X58" s="123">
        <f t="shared" si="19"/>
        <v>1969597.8078578948</v>
      </c>
      <c r="Y58" s="123">
        <f t="shared" si="19"/>
        <v>985019.66136089736</v>
      </c>
      <c r="Z58" s="123">
        <f t="shared" si="19"/>
        <v>0</v>
      </c>
      <c r="AA58" s="123">
        <f t="shared" si="19"/>
        <v>0</v>
      </c>
      <c r="AB58" s="123">
        <f t="shared" si="19"/>
        <v>0</v>
      </c>
      <c r="AC58" s="123">
        <f t="shared" si="19"/>
        <v>0</v>
      </c>
      <c r="AD58" s="123">
        <f t="shared" si="19"/>
        <v>0</v>
      </c>
      <c r="AE58" s="123">
        <f t="shared" si="19"/>
        <v>0</v>
      </c>
      <c r="AF58" s="123">
        <f t="shared" si="19"/>
        <v>0</v>
      </c>
      <c r="AG58" s="123">
        <f t="shared" si="19"/>
        <v>0</v>
      </c>
      <c r="AH58" s="123">
        <f t="shared" si="19"/>
        <v>0</v>
      </c>
      <c r="AI58" s="123">
        <f t="shared" si="19"/>
        <v>0</v>
      </c>
      <c r="AJ58" s="123">
        <f t="shared" si="19"/>
        <v>0</v>
      </c>
      <c r="AK58" s="123">
        <f t="shared" si="19"/>
        <v>0</v>
      </c>
      <c r="AL58" s="123">
        <f t="shared" si="19"/>
        <v>0</v>
      </c>
      <c r="AM58" s="123">
        <f t="shared" si="19"/>
        <v>0</v>
      </c>
      <c r="AN58" s="123">
        <f t="shared" si="19"/>
        <v>0</v>
      </c>
      <c r="AO58" s="123">
        <f t="shared" si="19"/>
        <v>0</v>
      </c>
      <c r="AP58" s="123">
        <f t="shared" si="19"/>
        <v>0</v>
      </c>
      <c r="AQ58" s="123">
        <f t="shared" si="19"/>
        <v>0</v>
      </c>
      <c r="AR58" s="123">
        <f t="shared" si="19"/>
        <v>0</v>
      </c>
      <c r="AS58" s="123">
        <f t="shared" si="19"/>
        <v>0</v>
      </c>
      <c r="AT58" s="123"/>
      <c r="AU58" s="126">
        <f t="shared" si="14"/>
        <v>44151486.389999874</v>
      </c>
    </row>
    <row r="59" spans="1:47" x14ac:dyDescent="0.2">
      <c r="A59" s="486">
        <f t="shared" si="11"/>
        <v>29</v>
      </c>
      <c r="B59" s="21" t="s">
        <v>70</v>
      </c>
      <c r="C59" s="21"/>
      <c r="D59" s="523"/>
      <c r="E59" s="57">
        <f>E58-E57</f>
        <v>551229.20381992706</v>
      </c>
      <c r="F59" s="123">
        <f>F58-F57</f>
        <v>2082844.266689023</v>
      </c>
      <c r="G59" s="123">
        <f>G58-G57</f>
        <v>1843543.2104552235</v>
      </c>
      <c r="H59" s="123">
        <f t="shared" ref="H59:AS59" si="20">H58-H57</f>
        <v>1622785.7785052243</v>
      </c>
      <c r="I59" s="123">
        <f t="shared" si="20"/>
        <v>1417922.8816556246</v>
      </c>
      <c r="J59" s="123">
        <f t="shared" si="20"/>
        <v>1228954.5199064254</v>
      </c>
      <c r="K59" s="123">
        <f t="shared" si="20"/>
        <v>1053673.1189381257</v>
      </c>
      <c r="L59" s="123">
        <f t="shared" si="20"/>
        <v>892078.67875072639</v>
      </c>
      <c r="M59" s="123">
        <f t="shared" si="20"/>
        <v>865587.78691672627</v>
      </c>
      <c r="N59" s="123">
        <f t="shared" si="20"/>
        <v>865146.27205282636</v>
      </c>
      <c r="O59" s="123">
        <f t="shared" si="20"/>
        <v>865587.78691672627</v>
      </c>
      <c r="P59" s="123">
        <f t="shared" si="20"/>
        <v>865146.27205282636</v>
      </c>
      <c r="Q59" s="123">
        <f t="shared" si="20"/>
        <v>865587.78691672627</v>
      </c>
      <c r="R59" s="123">
        <f t="shared" si="20"/>
        <v>865146.27205282636</v>
      </c>
      <c r="S59" s="123">
        <f t="shared" si="20"/>
        <v>865587.78691672627</v>
      </c>
      <c r="T59" s="123">
        <f t="shared" si="20"/>
        <v>865146.27205282636</v>
      </c>
      <c r="U59" s="123">
        <f t="shared" si="20"/>
        <v>865587.78691672627</v>
      </c>
      <c r="V59" s="123">
        <f t="shared" si="20"/>
        <v>865146.27205282636</v>
      </c>
      <c r="W59" s="123">
        <f t="shared" si="20"/>
        <v>865587.78691672627</v>
      </c>
      <c r="X59" s="123">
        <f t="shared" si="20"/>
        <v>865146.27205282636</v>
      </c>
      <c r="Y59" s="123">
        <f t="shared" si="20"/>
        <v>-119431.87444417109</v>
      </c>
      <c r="Z59" s="123">
        <f t="shared" si="20"/>
        <v>-1104451.5358050684</v>
      </c>
      <c r="AA59" s="123">
        <f t="shared" si="20"/>
        <v>-1104451.5358050684</v>
      </c>
      <c r="AB59" s="123">
        <f t="shared" si="20"/>
        <v>-1104451.5358050684</v>
      </c>
      <c r="AC59" s="123">
        <f t="shared" si="20"/>
        <v>-1104451.5358050684</v>
      </c>
      <c r="AD59" s="123">
        <f t="shared" si="20"/>
        <v>-1104451.5358050684</v>
      </c>
      <c r="AE59" s="123">
        <f t="shared" si="20"/>
        <v>-1104451.5358050684</v>
      </c>
      <c r="AF59" s="123">
        <f t="shared" si="20"/>
        <v>-1104451.5358050684</v>
      </c>
      <c r="AG59" s="123">
        <f t="shared" si="20"/>
        <v>-1104451.5358050684</v>
      </c>
      <c r="AH59" s="123">
        <f t="shared" si="20"/>
        <v>-1104451.5358050684</v>
      </c>
      <c r="AI59" s="123">
        <f t="shared" si="20"/>
        <v>-1104451.5358050684</v>
      </c>
      <c r="AJ59" s="123">
        <f t="shared" si="20"/>
        <v>-1104451.5358050684</v>
      </c>
      <c r="AK59" s="123">
        <f t="shared" si="20"/>
        <v>-1104451.5358050684</v>
      </c>
      <c r="AL59" s="123">
        <f t="shared" si="20"/>
        <v>-1104451.5358050684</v>
      </c>
      <c r="AM59" s="123">
        <f t="shared" si="20"/>
        <v>-1104451.5358050684</v>
      </c>
      <c r="AN59" s="123">
        <f t="shared" si="20"/>
        <v>-1104451.5358050684</v>
      </c>
      <c r="AO59" s="123">
        <f t="shared" si="20"/>
        <v>-1104451.5358050684</v>
      </c>
      <c r="AP59" s="123">
        <f t="shared" si="20"/>
        <v>-1104451.5358050684</v>
      </c>
      <c r="AQ59" s="123">
        <f t="shared" si="20"/>
        <v>-1104451.5358050684</v>
      </c>
      <c r="AR59" s="123">
        <f t="shared" si="20"/>
        <v>-1017561.5358050684</v>
      </c>
      <c r="AS59" s="123">
        <f t="shared" si="20"/>
        <v>-60314.96</v>
      </c>
      <c r="AT59" s="123"/>
      <c r="AU59" s="126">
        <f t="shared" si="14"/>
        <v>-2.2028657040209509E-3</v>
      </c>
    </row>
    <row r="60" spans="1:47" x14ac:dyDescent="0.2">
      <c r="A60" s="486">
        <f t="shared" si="11"/>
        <v>30</v>
      </c>
      <c r="B60" s="21" t="s">
        <v>71</v>
      </c>
      <c r="C60" s="21"/>
      <c r="D60" s="523"/>
      <c r="E60" s="57">
        <f>E59*F15</f>
        <v>115758.13280218469</v>
      </c>
      <c r="F60" s="123">
        <f t="shared" ref="F60:AS60" si="21">F59*$F$15</f>
        <v>437397.29600469483</v>
      </c>
      <c r="G60" s="123">
        <f t="shared" si="21"/>
        <v>387144.07419559691</v>
      </c>
      <c r="H60" s="123">
        <f t="shared" si="21"/>
        <v>340785.0134860971</v>
      </c>
      <c r="I60" s="123">
        <f t="shared" si="21"/>
        <v>297763.80514768115</v>
      </c>
      <c r="J60" s="123">
        <f t="shared" si="21"/>
        <v>258080.44918034933</v>
      </c>
      <c r="K60" s="123">
        <f t="shared" si="21"/>
        <v>221271.35497700638</v>
      </c>
      <c r="L60" s="123">
        <f t="shared" si="21"/>
        <v>187336.52253765255</v>
      </c>
      <c r="M60" s="123">
        <f t="shared" si="21"/>
        <v>181773.43525251251</v>
      </c>
      <c r="N60" s="123">
        <f t="shared" si="21"/>
        <v>181680.71713109352</v>
      </c>
      <c r="O60" s="123">
        <f t="shared" si="21"/>
        <v>181773.43525251251</v>
      </c>
      <c r="P60" s="123">
        <f t="shared" si="21"/>
        <v>181680.71713109352</v>
      </c>
      <c r="Q60" s="123">
        <f t="shared" si="21"/>
        <v>181773.43525251251</v>
      </c>
      <c r="R60" s="123">
        <f t="shared" si="21"/>
        <v>181680.71713109352</v>
      </c>
      <c r="S60" s="123">
        <f t="shared" si="21"/>
        <v>181773.43525251251</v>
      </c>
      <c r="T60" s="123">
        <f t="shared" si="21"/>
        <v>181680.71713109352</v>
      </c>
      <c r="U60" s="123">
        <f t="shared" si="21"/>
        <v>181773.43525251251</v>
      </c>
      <c r="V60" s="123">
        <f t="shared" si="21"/>
        <v>181680.71713109352</v>
      </c>
      <c r="W60" s="123">
        <f t="shared" si="21"/>
        <v>181773.43525251251</v>
      </c>
      <c r="X60" s="123">
        <f t="shared" si="21"/>
        <v>181680.71713109352</v>
      </c>
      <c r="Y60" s="123">
        <f t="shared" si="21"/>
        <v>-25080.693633275929</v>
      </c>
      <c r="Z60" s="123">
        <f t="shared" si="21"/>
        <v>-231934.82251906436</v>
      </c>
      <c r="AA60" s="123">
        <f t="shared" si="21"/>
        <v>-231934.82251906436</v>
      </c>
      <c r="AB60" s="123">
        <f t="shared" si="21"/>
        <v>-231934.82251906436</v>
      </c>
      <c r="AC60" s="123">
        <f t="shared" si="21"/>
        <v>-231934.82251906436</v>
      </c>
      <c r="AD60" s="123">
        <f t="shared" si="21"/>
        <v>-231934.82251906436</v>
      </c>
      <c r="AE60" s="123">
        <f t="shared" si="21"/>
        <v>-231934.82251906436</v>
      </c>
      <c r="AF60" s="123">
        <f t="shared" si="21"/>
        <v>-231934.82251906436</v>
      </c>
      <c r="AG60" s="123">
        <f t="shared" si="21"/>
        <v>-231934.82251906436</v>
      </c>
      <c r="AH60" s="123">
        <f t="shared" si="21"/>
        <v>-231934.82251906436</v>
      </c>
      <c r="AI60" s="123">
        <f t="shared" si="21"/>
        <v>-231934.82251906436</v>
      </c>
      <c r="AJ60" s="123">
        <f t="shared" si="21"/>
        <v>-231934.82251906436</v>
      </c>
      <c r="AK60" s="123">
        <f t="shared" si="21"/>
        <v>-231934.82251906436</v>
      </c>
      <c r="AL60" s="123">
        <f t="shared" si="21"/>
        <v>-231934.82251906436</v>
      </c>
      <c r="AM60" s="123">
        <f t="shared" si="21"/>
        <v>-231934.82251906436</v>
      </c>
      <c r="AN60" s="123">
        <f t="shared" si="21"/>
        <v>-231934.82251906436</v>
      </c>
      <c r="AO60" s="123">
        <f t="shared" si="21"/>
        <v>-231934.82251906436</v>
      </c>
      <c r="AP60" s="123">
        <f t="shared" si="21"/>
        <v>-231934.82251906436</v>
      </c>
      <c r="AQ60" s="123">
        <f t="shared" si="21"/>
        <v>-231934.82251906436</v>
      </c>
      <c r="AR60" s="123">
        <f t="shared" si="21"/>
        <v>-213687.92251906436</v>
      </c>
      <c r="AS60" s="123">
        <f t="shared" si="21"/>
        <v>-12666.141599999999</v>
      </c>
      <c r="AT60" s="123"/>
      <c r="AU60" s="126">
        <f t="shared" si="14"/>
        <v>-4.626018890121486E-4</v>
      </c>
    </row>
    <row r="61" spans="1:47" x14ac:dyDescent="0.2">
      <c r="A61" s="486">
        <f t="shared" si="11"/>
        <v>31</v>
      </c>
      <c r="B61" s="21"/>
      <c r="C61" s="21"/>
      <c r="D61" s="523"/>
      <c r="E61" s="108"/>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523"/>
    </row>
    <row r="62" spans="1:47" s="69" customFormat="1" x14ac:dyDescent="0.2">
      <c r="A62" s="486">
        <f t="shared" si="11"/>
        <v>32</v>
      </c>
      <c r="B62" s="21" t="str">
        <f t="shared" ref="B62" si="22">IF($F$18=1,B66,B65)</f>
        <v>MACRS Depreciation - 20</v>
      </c>
      <c r="C62" s="21"/>
      <c r="D62" s="66"/>
      <c r="E62" s="81">
        <f t="shared" ref="E62:Y62" si="23">IF($F$18=1,E66,E65)</f>
        <v>3.7499999999999999E-2</v>
      </c>
      <c r="F62" s="77">
        <f t="shared" si="23"/>
        <v>7.2190000000000004E-2</v>
      </c>
      <c r="G62" s="77">
        <f t="shared" si="23"/>
        <v>6.6769999999999996E-2</v>
      </c>
      <c r="H62" s="80">
        <f t="shared" si="23"/>
        <v>6.1769999999999999E-2</v>
      </c>
      <c r="I62" s="80">
        <f t="shared" si="23"/>
        <v>5.713E-2</v>
      </c>
      <c r="J62" s="80">
        <f t="shared" si="23"/>
        <v>5.2850000000000001E-2</v>
      </c>
      <c r="K62" s="80">
        <f t="shared" si="23"/>
        <v>4.888E-2</v>
      </c>
      <c r="L62" s="80">
        <f t="shared" si="23"/>
        <v>4.5220000000000003E-2</v>
      </c>
      <c r="M62" s="80">
        <f t="shared" si="23"/>
        <v>4.462E-2</v>
      </c>
      <c r="N62" s="80">
        <f t="shared" si="23"/>
        <v>4.4610000000000004E-2</v>
      </c>
      <c r="O62" s="80">
        <f t="shared" si="23"/>
        <v>4.462E-2</v>
      </c>
      <c r="P62" s="80">
        <f t="shared" si="23"/>
        <v>4.4610000000000004E-2</v>
      </c>
      <c r="Q62" s="80">
        <f t="shared" si="23"/>
        <v>4.462E-2</v>
      </c>
      <c r="R62" s="80">
        <f t="shared" si="23"/>
        <v>4.4610000000000004E-2</v>
      </c>
      <c r="S62" s="80">
        <f t="shared" si="23"/>
        <v>4.462E-2</v>
      </c>
      <c r="T62" s="80">
        <f t="shared" si="23"/>
        <v>4.4610000000000004E-2</v>
      </c>
      <c r="U62" s="80">
        <f t="shared" si="23"/>
        <v>4.462E-2</v>
      </c>
      <c r="V62" s="80">
        <f t="shared" si="23"/>
        <v>4.4610000000000004E-2</v>
      </c>
      <c r="W62" s="80">
        <f t="shared" si="23"/>
        <v>4.462E-2</v>
      </c>
      <c r="X62" s="80">
        <f t="shared" si="23"/>
        <v>4.4610000000000004E-2</v>
      </c>
      <c r="Y62" s="80">
        <f t="shared" si="23"/>
        <v>2.231E-2</v>
      </c>
      <c r="Z62" s="67"/>
      <c r="AA62" s="67"/>
      <c r="AB62" s="67"/>
      <c r="AC62" s="67"/>
      <c r="AD62" s="67"/>
      <c r="AE62" s="67"/>
      <c r="AF62" s="67"/>
      <c r="AG62" s="67"/>
      <c r="AH62" s="67"/>
      <c r="AI62" s="67"/>
      <c r="AJ62" s="67"/>
      <c r="AK62" s="67"/>
      <c r="AL62" s="67"/>
      <c r="AM62" s="67"/>
      <c r="AN62" s="67"/>
      <c r="AO62" s="67"/>
      <c r="AP62" s="66"/>
    </row>
    <row r="63" spans="1:47" outlineLevel="1" x14ac:dyDescent="0.25">
      <c r="A63" s="486">
        <f t="shared" si="11"/>
        <v>33</v>
      </c>
      <c r="B63" s="21"/>
      <c r="C63" s="527"/>
      <c r="E63" s="528"/>
      <c r="F63" s="529"/>
      <c r="G63" s="529"/>
      <c r="H63" s="529"/>
      <c r="I63" s="529"/>
      <c r="J63" s="529"/>
      <c r="K63" s="529"/>
      <c r="L63" s="529"/>
      <c r="M63" s="530"/>
      <c r="N63" s="530"/>
      <c r="O63" s="530"/>
      <c r="P63" s="530"/>
      <c r="Q63" s="530"/>
      <c r="R63" s="530"/>
      <c r="S63" s="530"/>
      <c r="T63" s="530"/>
      <c r="U63" s="530"/>
      <c r="V63" s="530"/>
      <c r="W63" s="530"/>
      <c r="X63" s="530"/>
      <c r="Y63" s="530"/>
      <c r="Z63" s="523"/>
      <c r="AA63" s="523"/>
      <c r="AB63" s="523"/>
      <c r="AC63" s="523"/>
      <c r="AD63" s="523"/>
      <c r="AE63" s="523"/>
      <c r="AF63" s="523"/>
      <c r="AG63" s="523"/>
      <c r="AH63" s="523"/>
      <c r="AI63" s="523"/>
      <c r="AJ63" s="523"/>
      <c r="AK63" s="523"/>
      <c r="AL63" s="523"/>
      <c r="AM63" s="523"/>
      <c r="AN63" s="523"/>
      <c r="AO63" s="22"/>
    </row>
    <row r="64" spans="1:47" outlineLevel="1" x14ac:dyDescent="0.25">
      <c r="A64" s="486">
        <f t="shared" si="11"/>
        <v>34</v>
      </c>
      <c r="B64" s="21"/>
      <c r="C64" s="527"/>
      <c r="E64" s="528"/>
      <c r="F64" s="529"/>
      <c r="G64" s="529"/>
      <c r="H64" s="529"/>
      <c r="I64" s="529"/>
      <c r="J64" s="529"/>
      <c r="K64" s="529"/>
      <c r="L64" s="529"/>
      <c r="M64" s="530"/>
      <c r="N64" s="530"/>
      <c r="O64" s="530"/>
      <c r="P64" s="530"/>
      <c r="Q64" s="530"/>
      <c r="R64" s="530"/>
      <c r="S64" s="530"/>
      <c r="T64" s="530"/>
      <c r="U64" s="530"/>
      <c r="V64" s="530"/>
      <c r="W64" s="530"/>
      <c r="X64" s="530"/>
      <c r="Y64" s="530"/>
      <c r="Z64" s="523"/>
      <c r="AA64" s="523"/>
      <c r="AB64" s="523"/>
      <c r="AC64" s="523"/>
      <c r="AD64" s="523"/>
      <c r="AE64" s="523"/>
      <c r="AF64" s="523"/>
      <c r="AG64" s="523"/>
      <c r="AH64" s="523"/>
      <c r="AI64" s="523"/>
      <c r="AJ64" s="523"/>
      <c r="AK64" s="523"/>
      <c r="AL64" s="523"/>
      <c r="AM64" s="523"/>
      <c r="AN64" s="523"/>
      <c r="AO64" s="22"/>
    </row>
    <row r="65" spans="1:42" s="69" customFormat="1" x14ac:dyDescent="0.25">
      <c r="A65" s="486">
        <f t="shared" si="11"/>
        <v>35</v>
      </c>
      <c r="B65" s="21" t="s">
        <v>72</v>
      </c>
      <c r="C65" s="21"/>
      <c r="D65" s="70">
        <v>0</v>
      </c>
      <c r="E65" s="78">
        <f>'MACRS 20'!B5</f>
        <v>3.7499999999999999E-2</v>
      </c>
      <c r="F65" s="77">
        <f>'MACRS 20'!C5</f>
        <v>7.2190000000000004E-2</v>
      </c>
      <c r="G65" s="77">
        <f>'MACRS 20'!D5</f>
        <v>6.6769999999999996E-2</v>
      </c>
      <c r="H65" s="79">
        <f>'MACRS 20'!E5</f>
        <v>6.1769999999999999E-2</v>
      </c>
      <c r="I65" s="79">
        <f>'MACRS 20'!F5</f>
        <v>5.713E-2</v>
      </c>
      <c r="J65" s="79">
        <f>'MACRS 20'!G5</f>
        <v>5.2850000000000001E-2</v>
      </c>
      <c r="K65" s="79">
        <f>'MACRS 20'!H5</f>
        <v>4.888E-2</v>
      </c>
      <c r="L65" s="79">
        <f>'MACRS 20'!I5</f>
        <v>4.5220000000000003E-2</v>
      </c>
      <c r="M65" s="79">
        <f>'MACRS 20'!J5</f>
        <v>4.462E-2</v>
      </c>
      <c r="N65" s="79">
        <f>'MACRS 20'!K5</f>
        <v>4.4610000000000004E-2</v>
      </c>
      <c r="O65" s="79">
        <f>'MACRS 20'!L5</f>
        <v>4.462E-2</v>
      </c>
      <c r="P65" s="79">
        <f>'MACRS 20'!M5</f>
        <v>4.4610000000000004E-2</v>
      </c>
      <c r="Q65" s="79">
        <f>'MACRS 20'!N5</f>
        <v>4.462E-2</v>
      </c>
      <c r="R65" s="79">
        <f>'MACRS 20'!O5</f>
        <v>4.4610000000000004E-2</v>
      </c>
      <c r="S65" s="79">
        <f>'MACRS 20'!P5</f>
        <v>4.462E-2</v>
      </c>
      <c r="T65" s="79">
        <f>'MACRS 20'!Q5</f>
        <v>4.4610000000000004E-2</v>
      </c>
      <c r="U65" s="79">
        <f>'MACRS 20'!R5</f>
        <v>4.462E-2</v>
      </c>
      <c r="V65" s="79">
        <f>'MACRS 20'!S5</f>
        <v>4.4610000000000004E-2</v>
      </c>
      <c r="W65" s="79">
        <f>'MACRS 20'!T5</f>
        <v>4.462E-2</v>
      </c>
      <c r="X65" s="79">
        <f>'MACRS 20'!U5</f>
        <v>4.4610000000000004E-2</v>
      </c>
      <c r="Y65" s="79">
        <f>'MACRS 20'!V5</f>
        <v>2.231E-2</v>
      </c>
      <c r="Z65" s="71"/>
      <c r="AA65" s="67"/>
      <c r="AB65" s="67"/>
      <c r="AC65" s="67"/>
      <c r="AD65" s="67"/>
      <c r="AE65" s="67"/>
      <c r="AF65" s="67"/>
      <c r="AG65" s="67"/>
      <c r="AH65" s="67"/>
      <c r="AI65" s="67"/>
      <c r="AJ65" s="67"/>
      <c r="AK65" s="67"/>
      <c r="AL65" s="67"/>
      <c r="AM65" s="67"/>
      <c r="AN65" s="66"/>
      <c r="AP65" s="72"/>
    </row>
    <row r="66" spans="1:42" x14ac:dyDescent="0.2">
      <c r="A66" s="486">
        <f t="shared" si="11"/>
        <v>36</v>
      </c>
      <c r="B66" s="21" t="s">
        <v>73</v>
      </c>
      <c r="C66" s="21"/>
      <c r="D66" s="70">
        <v>0</v>
      </c>
      <c r="E66" s="78">
        <f>'MACRS 20'!B6</f>
        <v>0.51875000000000004</v>
      </c>
      <c r="F66" s="77">
        <f>'MACRS 20'!C6</f>
        <v>3.6095000000000002E-2</v>
      </c>
      <c r="G66" s="77">
        <f>'MACRS 20'!D6</f>
        <v>3.3384999999999998E-2</v>
      </c>
      <c r="H66" s="80">
        <f>'MACRS 20'!E6</f>
        <v>3.0884999999999999E-2</v>
      </c>
      <c r="I66" s="80">
        <f>'MACRS 20'!F6</f>
        <v>2.8565E-2</v>
      </c>
      <c r="J66" s="80">
        <f>'MACRS 20'!G6</f>
        <v>2.6425000000000001E-2</v>
      </c>
      <c r="K66" s="80">
        <f>'MACRS 20'!H6</f>
        <v>2.444E-2</v>
      </c>
      <c r="L66" s="80">
        <f>'MACRS 20'!I6</f>
        <v>2.2610000000000002E-2</v>
      </c>
      <c r="M66" s="80">
        <f>'MACRS 20'!J6</f>
        <v>2.231E-2</v>
      </c>
      <c r="N66" s="80">
        <f>'MACRS 20'!K6</f>
        <v>2.2305000000000002E-2</v>
      </c>
      <c r="O66" s="80">
        <f>'MACRS 20'!L6</f>
        <v>2.231E-2</v>
      </c>
      <c r="P66" s="80">
        <f>'MACRS 20'!M6</f>
        <v>2.2305000000000002E-2</v>
      </c>
      <c r="Q66" s="80">
        <f>'MACRS 20'!N6</f>
        <v>2.231E-2</v>
      </c>
      <c r="R66" s="80">
        <f>'MACRS 20'!O6</f>
        <v>2.2305000000000002E-2</v>
      </c>
      <c r="S66" s="80">
        <f>'MACRS 20'!P6</f>
        <v>2.231E-2</v>
      </c>
      <c r="T66" s="80">
        <f>'MACRS 20'!Q6</f>
        <v>2.2305000000000002E-2</v>
      </c>
      <c r="U66" s="80">
        <f>'MACRS 20'!R6</f>
        <v>2.231E-2</v>
      </c>
      <c r="V66" s="80">
        <f>'MACRS 20'!S6</f>
        <v>2.2305000000000002E-2</v>
      </c>
      <c r="W66" s="80">
        <f>'MACRS 20'!T6</f>
        <v>2.231E-2</v>
      </c>
      <c r="X66" s="80">
        <f>'MACRS 20'!U6</f>
        <v>2.2305000000000002E-2</v>
      </c>
      <c r="Y66" s="80">
        <f>'MACRS 20'!V6</f>
        <v>1.1155E-2</v>
      </c>
      <c r="Z66" s="68"/>
      <c r="AA66" s="68"/>
      <c r="AB66" s="73"/>
      <c r="AC66" s="73"/>
      <c r="AD66" s="73"/>
      <c r="AE66" s="73"/>
      <c r="AF66" s="73"/>
      <c r="AG66" s="73"/>
      <c r="AH66" s="73"/>
      <c r="AI66" s="73"/>
      <c r="AJ66" s="73"/>
      <c r="AK66" s="73"/>
      <c r="AL66" s="73"/>
      <c r="AM66" s="73"/>
      <c r="AN66" s="523"/>
      <c r="AO66" s="22"/>
      <c r="AP66" s="72">
        <f>SUM(D66:AO66)</f>
        <v>1.0000000000000004</v>
      </c>
    </row>
    <row r="69" spans="1:42" x14ac:dyDescent="0.25">
      <c r="B69" s="74"/>
    </row>
  </sheetData>
  <mergeCells count="1">
    <mergeCell ref="E1:F1"/>
  </mergeCells>
  <printOptions horizontalCentered="1"/>
  <pageMargins left="0.25" right="0.25" top="0.75" bottom="0.75" header="0.3" footer="0.3"/>
  <pageSetup scale="41" fitToWidth="2" orientation="landscape" blackAndWhite="1" r:id="rId1"/>
  <headerFooter alignWithMargins="0">
    <oddFooter>&amp;L&amp;A
&amp;F&amp;RPage &amp;P of &amp;N</oddFooter>
  </headerFooter>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27" activePane="bottomRight" state="frozen"/>
      <selection activeCell="S42" sqref="S42"/>
      <selection pane="topRight" activeCell="S42" sqref="S42"/>
      <selection pane="bottomLeft" activeCell="S42" sqref="S42"/>
      <selection pane="bottomRight" activeCell="R49" sqref="R49"/>
    </sheetView>
  </sheetViews>
  <sheetFormatPr defaultColWidth="10.28515625" defaultRowHeight="15" outlineLevelRow="1" outlineLevelCol="1" x14ac:dyDescent="0.2"/>
  <cols>
    <col min="1" max="1" width="5.7109375" style="53" customWidth="1"/>
    <col min="2" max="2" width="7.42578125" style="53" customWidth="1"/>
    <col min="3" max="3" width="26.42578125" style="53" customWidth="1"/>
    <col min="4" max="4" width="15.5703125" style="22" customWidth="1"/>
    <col min="5" max="5" width="13.5703125" style="75" customWidth="1"/>
    <col min="6" max="6" width="13.42578125" style="75" customWidth="1"/>
    <col min="7" max="7" width="20.28515625" style="75" customWidth="1"/>
    <col min="8" max="8" width="12.5703125" style="75" customWidth="1"/>
    <col min="9" max="25" width="12.7109375" style="75" bestFit="1" customWidth="1"/>
    <col min="26" max="32" width="12.5703125" style="75" bestFit="1" customWidth="1"/>
    <col min="33" max="36" width="12.140625" style="75" bestFit="1" customWidth="1"/>
    <col min="37" max="38" width="12.28515625" style="75" bestFit="1" customWidth="1"/>
    <col min="39" max="39" width="17" style="75" customWidth="1" outlineLevel="1"/>
    <col min="40" max="40" width="13" style="75" customWidth="1" outlineLevel="1"/>
    <col min="41" max="41" width="14.28515625" style="75" customWidth="1" outlineLevel="1"/>
    <col min="42" max="42" width="12.7109375" style="22" bestFit="1" customWidth="1"/>
    <col min="43" max="43" width="12.28515625" style="22" customWidth="1"/>
    <col min="44" max="45" width="14" style="22" customWidth="1"/>
    <col min="46" max="46" width="16.5703125" style="22" customWidth="1"/>
    <col min="47" max="47" width="15" style="22" bestFit="1" customWidth="1"/>
    <col min="48" max="48" width="11.28515625" style="22" bestFit="1" customWidth="1"/>
    <col min="49" max="16384" width="10.28515625" style="22"/>
  </cols>
  <sheetData>
    <row r="1" spans="1:41" ht="17.25" customHeight="1" x14ac:dyDescent="0.25">
      <c r="A1" s="20" t="s">
        <v>0</v>
      </c>
      <c r="B1" s="21"/>
      <c r="C1" s="21"/>
      <c r="E1" s="831"/>
      <c r="F1" s="831"/>
      <c r="G1" s="22"/>
      <c r="H1" s="23"/>
      <c r="I1" s="24"/>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ht="12.75" customHeight="1" x14ac:dyDescent="0.25">
      <c r="A2" s="25" t="s">
        <v>1</v>
      </c>
      <c r="B2" s="21"/>
      <c r="C2" s="21"/>
      <c r="E2" s="22"/>
      <c r="F2" s="24"/>
      <c r="G2" s="24"/>
      <c r="H2" s="22"/>
      <c r="I2"/>
      <c r="J2"/>
      <c r="K2"/>
      <c r="L2"/>
      <c r="M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x14ac:dyDescent="0.25">
      <c r="A3" s="25" t="s">
        <v>2</v>
      </c>
      <c r="B3" s="21"/>
      <c r="C3" s="486" t="s">
        <v>271</v>
      </c>
      <c r="D3" s="523" t="s">
        <v>3</v>
      </c>
      <c r="E3" s="22"/>
      <c r="F3" s="24"/>
      <c r="G3" s="24"/>
      <c r="H3" s="22"/>
      <c r="I3"/>
      <c r="J3"/>
      <c r="K3"/>
      <c r="L3"/>
      <c r="M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ht="7.5" customHeight="1" thickBot="1" x14ac:dyDescent="0.25">
      <c r="A4" s="21"/>
      <c r="B4" s="21"/>
      <c r="C4" s="21"/>
      <c r="E4" s="22"/>
      <c r="F4" s="24"/>
      <c r="G4" s="24"/>
      <c r="H4" s="22"/>
      <c r="I4"/>
      <c r="J4"/>
      <c r="K4"/>
      <c r="L4"/>
      <c r="M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41" x14ac:dyDescent="0.2">
      <c r="A5" s="26" t="s">
        <v>4</v>
      </c>
      <c r="B5" s="27"/>
      <c r="C5" s="27"/>
      <c r="D5" s="169" t="s">
        <v>231</v>
      </c>
      <c r="E5" s="28"/>
      <c r="F5" s="29"/>
      <c r="G5" s="22"/>
      <c r="H5" s="22"/>
      <c r="I5"/>
      <c r="J5"/>
      <c r="K5"/>
      <c r="L5"/>
      <c r="M5"/>
      <c r="N5" s="4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x14ac:dyDescent="0.2">
      <c r="A6" s="31"/>
      <c r="B6" s="32"/>
      <c r="C6" s="32"/>
      <c r="D6" s="134" t="s">
        <v>196</v>
      </c>
      <c r="E6" s="134"/>
      <c r="F6" s="135"/>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x14ac:dyDescent="0.2">
      <c r="A7" s="31"/>
      <c r="B7" s="32"/>
      <c r="C7" s="32"/>
      <c r="D7" s="35"/>
      <c r="E7" s="35"/>
      <c r="F7" s="36" t="s">
        <v>5</v>
      </c>
      <c r="G7" s="22"/>
      <c r="H7" s="22"/>
      <c r="I7" s="22"/>
      <c r="J7" s="22"/>
      <c r="K7" s="22"/>
      <c r="L7" s="22"/>
      <c r="M7" s="136"/>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spans="1:41" x14ac:dyDescent="0.2">
      <c r="A8" s="31" t="s">
        <v>6</v>
      </c>
      <c r="B8" s="32"/>
      <c r="C8" s="32"/>
      <c r="D8" s="38" t="s">
        <v>7</v>
      </c>
      <c r="E8" s="38" t="s">
        <v>8</v>
      </c>
      <c r="F8" s="39" t="s">
        <v>8</v>
      </c>
      <c r="G8" s="22"/>
      <c r="H8" s="22"/>
      <c r="I8" s="22"/>
      <c r="J8" s="22"/>
      <c r="K8" s="22"/>
      <c r="L8" s="22"/>
      <c r="M8" s="127"/>
      <c r="N8" s="4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spans="1:41" x14ac:dyDescent="0.2">
      <c r="A9" s="31"/>
      <c r="B9" s="32"/>
      <c r="C9" s="32"/>
      <c r="D9" s="33"/>
      <c r="E9" s="33"/>
      <c r="F9" s="40"/>
      <c r="G9" s="22"/>
      <c r="H9" s="22"/>
      <c r="I9" s="22"/>
      <c r="J9" s="22"/>
      <c r="K9" s="22"/>
      <c r="L9" s="22"/>
      <c r="M9" s="127"/>
      <c r="N9" s="41"/>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spans="1:41" x14ac:dyDescent="0.2">
      <c r="A10" s="31"/>
      <c r="B10" s="32"/>
      <c r="C10" s="32"/>
      <c r="D10" s="42"/>
      <c r="E10" s="42"/>
      <c r="F10" s="43"/>
      <c r="G10" s="22"/>
      <c r="H10" s="22"/>
      <c r="I10" s="22"/>
      <c r="J10" s="22"/>
      <c r="K10" s="22"/>
      <c r="L10" s="22"/>
      <c r="M10" s="127"/>
      <c r="N10" s="41"/>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x14ac:dyDescent="0.2">
      <c r="A11" s="31" t="s">
        <v>173</v>
      </c>
      <c r="B11" s="32"/>
      <c r="C11" s="32"/>
      <c r="D11" s="42">
        <f>'2019 GRC'!C12</f>
        <v>0.51500000000000001</v>
      </c>
      <c r="E11" s="42">
        <f>'2019 GRC'!D12</f>
        <v>5.4951456310679617E-2</v>
      </c>
      <c r="F11" s="43">
        <f>'2019 GRC'!E12</f>
        <v>2.8299999999999999E-2</v>
      </c>
      <c r="G11" s="22"/>
      <c r="H11" s="22"/>
      <c r="I11" s="22"/>
      <c r="J11" s="22"/>
      <c r="K11" s="22"/>
      <c r="L11" s="22"/>
      <c r="M11" s="127"/>
      <c r="N11" s="41"/>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1" x14ac:dyDescent="0.2">
      <c r="A12" s="31" t="s">
        <v>9</v>
      </c>
      <c r="B12" s="32"/>
      <c r="C12" s="32"/>
      <c r="D12" s="44">
        <f>'2019 GRC'!C13</f>
        <v>0.48499999999999999</v>
      </c>
      <c r="E12" s="44">
        <f>'2019 GRC'!D13</f>
        <v>9.4E-2</v>
      </c>
      <c r="F12" s="45">
        <f>'2019 GRC'!E13</f>
        <v>4.5600000000000002E-2</v>
      </c>
      <c r="G12" s="22"/>
      <c r="H12" s="22"/>
      <c r="I12" s="22"/>
      <c r="J12" s="22"/>
      <c r="K12" s="22"/>
      <c r="L12" s="22"/>
      <c r="M12" s="127"/>
      <c r="N12" s="4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15.75" thickBot="1" x14ac:dyDescent="0.25">
      <c r="A13" s="31" t="s">
        <v>10</v>
      </c>
      <c r="B13" s="32"/>
      <c r="C13" s="32"/>
      <c r="D13" s="46">
        <f>D10+D11+D12</f>
        <v>1</v>
      </c>
      <c r="E13" s="47"/>
      <c r="F13" s="170">
        <f>F10+F11+F12</f>
        <v>7.3899999999999993E-2</v>
      </c>
      <c r="G13" s="22"/>
      <c r="H13" s="22"/>
      <c r="I13" s="22"/>
      <c r="J13" s="22"/>
      <c r="K13" s="22"/>
      <c r="L13" s="22"/>
      <c r="M13" s="127"/>
      <c r="N13" s="4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ht="15.75" thickTop="1" x14ac:dyDescent="0.2">
      <c r="A14" s="31"/>
      <c r="B14" s="32"/>
      <c r="C14" s="32"/>
      <c r="D14" s="33"/>
      <c r="E14" s="33"/>
      <c r="F14" s="40"/>
      <c r="G14" s="22"/>
      <c r="H14" s="22"/>
      <c r="I14" s="22"/>
      <c r="J14" s="22"/>
      <c r="K14" s="22"/>
      <c r="L14" s="22"/>
      <c r="M14" s="127"/>
      <c r="N14" s="41"/>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1:41" x14ac:dyDescent="0.2">
      <c r="A15" s="31" t="s">
        <v>11</v>
      </c>
      <c r="B15" s="32"/>
      <c r="C15" s="32"/>
      <c r="D15" s="33"/>
      <c r="E15" s="33"/>
      <c r="F15" s="43">
        <f>'2019 GRC'!I19</f>
        <v>0.21</v>
      </c>
      <c r="G15" s="22"/>
      <c r="H15" s="22"/>
      <c r="I15" s="22"/>
      <c r="J15" s="22"/>
      <c r="K15" s="22"/>
      <c r="L15" s="22"/>
      <c r="M15" s="127"/>
      <c r="N15" s="41"/>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spans="1:41" x14ac:dyDescent="0.2">
      <c r="A16" s="31" t="s">
        <v>12</v>
      </c>
      <c r="B16" s="32"/>
      <c r="C16" s="32"/>
      <c r="D16" s="33"/>
      <c r="E16" s="33"/>
      <c r="F16" s="43">
        <f>'2019 GRC'!J16</f>
        <v>4.5447000000000001E-2</v>
      </c>
      <c r="G16" s="22"/>
      <c r="H16" s="22"/>
      <c r="I16" s="22"/>
      <c r="J16" s="22"/>
      <c r="K16" s="22"/>
      <c r="L16" s="22"/>
      <c r="M16" s="127"/>
      <c r="N16" s="41"/>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8" x14ac:dyDescent="0.2">
      <c r="A17" s="31" t="s">
        <v>13</v>
      </c>
      <c r="B17" s="32"/>
      <c r="C17" s="32"/>
      <c r="D17" s="33"/>
      <c r="E17" s="33"/>
      <c r="F17" s="43">
        <f>'2022 C&amp;OM'!G7</f>
        <v>2.528131715400191E-2</v>
      </c>
      <c r="G17" s="22"/>
      <c r="H17" s="22"/>
      <c r="I17" s="22"/>
      <c r="J17" s="22"/>
      <c r="K17" s="22"/>
      <c r="L17" s="22"/>
      <c r="M17" s="127"/>
      <c r="N17" s="41"/>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8" x14ac:dyDescent="0.2">
      <c r="A18" s="31" t="s">
        <v>14</v>
      </c>
      <c r="B18" s="32"/>
      <c r="C18" s="32"/>
      <c r="D18" s="33"/>
      <c r="E18" s="33"/>
      <c r="F18" s="49">
        <v>2</v>
      </c>
      <c r="G18" s="22"/>
      <c r="H18" s="22"/>
      <c r="I18" s="22"/>
      <c r="J18" s="22"/>
      <c r="K18" s="22"/>
      <c r="L18" s="22"/>
      <c r="M18" s="127"/>
      <c r="N18" s="41"/>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8" x14ac:dyDescent="0.2">
      <c r="A19" s="31"/>
      <c r="B19" s="32"/>
      <c r="C19" s="32"/>
      <c r="D19" s="33"/>
      <c r="E19" s="33"/>
      <c r="F19" s="34"/>
      <c r="G19" s="22"/>
      <c r="H19" s="22"/>
      <c r="I19" s="22"/>
      <c r="J19" s="22"/>
      <c r="K19" s="22"/>
      <c r="L19" s="22"/>
      <c r="M19" s="127"/>
      <c r="N19" s="41"/>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spans="1:48" x14ac:dyDescent="0.2">
      <c r="A20" s="31" t="s">
        <v>15</v>
      </c>
      <c r="B20" s="32"/>
      <c r="C20" s="32"/>
      <c r="D20" s="33"/>
      <c r="E20" s="33"/>
      <c r="F20" s="34"/>
      <c r="G20" s="22"/>
      <c r="H20" s="22"/>
      <c r="I20" s="22"/>
      <c r="J20" s="22"/>
      <c r="K20" s="22"/>
      <c r="L20" s="22"/>
      <c r="N20" s="137"/>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8" ht="15.75" thickBot="1" x14ac:dyDescent="0.25">
      <c r="A21" s="31" t="s">
        <v>16</v>
      </c>
      <c r="B21" s="32"/>
      <c r="C21" s="32"/>
      <c r="D21" s="33"/>
      <c r="E21" s="33"/>
      <c r="F21" s="34"/>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spans="1:48" ht="15.75" thickBot="1" x14ac:dyDescent="0.25">
      <c r="A22" s="50" t="s">
        <v>17</v>
      </c>
      <c r="B22" s="51"/>
      <c r="C22" s="51"/>
      <c r="D22" s="51"/>
      <c r="E22" s="52"/>
      <c r="F22" s="274">
        <v>44118513.764677308</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8" ht="14.25" customHeight="1" x14ac:dyDescent="0.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spans="1:48" ht="6" customHeight="1" x14ac:dyDescent="0.2">
      <c r="B24" s="22"/>
      <c r="C24" s="22"/>
      <c r="D24" s="12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48" x14ac:dyDescent="0.2">
      <c r="A25" s="21"/>
      <c r="B25" s="21"/>
      <c r="C25" s="21"/>
      <c r="D25" s="523"/>
      <c r="E25" s="55" t="s">
        <v>18</v>
      </c>
      <c r="F25" s="116" t="s">
        <v>19</v>
      </c>
      <c r="G25" s="56" t="s">
        <v>20</v>
      </c>
      <c r="H25" s="56" t="s">
        <v>21</v>
      </c>
      <c r="I25" s="56" t="s">
        <v>22</v>
      </c>
      <c r="J25" s="56" t="s">
        <v>23</v>
      </c>
      <c r="K25" s="56" t="s">
        <v>24</v>
      </c>
      <c r="L25" s="56" t="s">
        <v>25</v>
      </c>
      <c r="M25" s="56" t="s">
        <v>26</v>
      </c>
      <c r="N25" s="56" t="s">
        <v>27</v>
      </c>
      <c r="O25" s="56" t="s">
        <v>28</v>
      </c>
      <c r="P25" s="56" t="s">
        <v>29</v>
      </c>
      <c r="Q25" s="56" t="s">
        <v>30</v>
      </c>
      <c r="R25" s="56" t="s">
        <v>31</v>
      </c>
      <c r="S25" s="56" t="s">
        <v>32</v>
      </c>
      <c r="T25" s="56" t="s">
        <v>33</v>
      </c>
      <c r="U25" s="56" t="s">
        <v>34</v>
      </c>
      <c r="V25" s="56" t="s">
        <v>35</v>
      </c>
      <c r="W25" s="56" t="s">
        <v>36</v>
      </c>
      <c r="X25" s="56" t="s">
        <v>37</v>
      </c>
      <c r="Y25" s="56" t="s">
        <v>38</v>
      </c>
      <c r="Z25" s="56" t="s">
        <v>39</v>
      </c>
      <c r="AA25" s="56" t="s">
        <v>40</v>
      </c>
      <c r="AB25" s="56" t="s">
        <v>41</v>
      </c>
      <c r="AC25" s="56" t="s">
        <v>42</v>
      </c>
      <c r="AD25" s="56" t="s">
        <v>43</v>
      </c>
      <c r="AE25" s="56" t="s">
        <v>44</v>
      </c>
      <c r="AF25" s="56" t="s">
        <v>45</v>
      </c>
      <c r="AG25" s="56" t="s">
        <v>46</v>
      </c>
      <c r="AH25" s="56" t="s">
        <v>47</v>
      </c>
      <c r="AI25" s="56" t="s">
        <v>48</v>
      </c>
      <c r="AJ25" s="56" t="s">
        <v>49</v>
      </c>
      <c r="AK25" s="56" t="s">
        <v>50</v>
      </c>
      <c r="AL25" s="56" t="s">
        <v>51</v>
      </c>
      <c r="AM25" s="56" t="s">
        <v>52</v>
      </c>
      <c r="AN25" s="56" t="s">
        <v>74</v>
      </c>
      <c r="AO25" s="56" t="s">
        <v>75</v>
      </c>
      <c r="AP25" s="56" t="s">
        <v>174</v>
      </c>
      <c r="AQ25" s="56" t="s">
        <v>175</v>
      </c>
      <c r="AR25" s="56" t="s">
        <v>176</v>
      </c>
      <c r="AS25" s="22" t="s">
        <v>177</v>
      </c>
    </row>
    <row r="26" spans="1:48" x14ac:dyDescent="0.2">
      <c r="A26" s="21"/>
      <c r="B26" s="21"/>
      <c r="C26" s="21"/>
      <c r="D26" s="523"/>
      <c r="E26" s="106">
        <v>2021</v>
      </c>
      <c r="F26" s="106">
        <v>2022</v>
      </c>
      <c r="G26" s="106">
        <v>2023</v>
      </c>
      <c r="H26" s="106">
        <v>2024</v>
      </c>
      <c r="I26" s="106">
        <v>2025</v>
      </c>
      <c r="J26" s="106">
        <v>2026</v>
      </c>
      <c r="K26" s="106">
        <v>2027</v>
      </c>
      <c r="L26" s="106">
        <v>2028</v>
      </c>
      <c r="M26" s="106">
        <v>2029</v>
      </c>
      <c r="N26" s="106">
        <v>2030</v>
      </c>
      <c r="O26" s="106">
        <v>2031</v>
      </c>
      <c r="P26" s="106">
        <v>2032</v>
      </c>
      <c r="Q26" s="106">
        <v>2033</v>
      </c>
      <c r="R26" s="106">
        <v>2034</v>
      </c>
      <c r="S26" s="106">
        <v>2035</v>
      </c>
      <c r="T26" s="106">
        <v>2036</v>
      </c>
      <c r="U26" s="106">
        <v>2037</v>
      </c>
      <c r="V26" s="106">
        <v>2038</v>
      </c>
      <c r="W26" s="106">
        <v>2039</v>
      </c>
      <c r="X26" s="106">
        <v>2040</v>
      </c>
      <c r="Y26" s="106">
        <v>2041</v>
      </c>
      <c r="Z26" s="106">
        <v>2042</v>
      </c>
      <c r="AA26" s="106">
        <v>2043</v>
      </c>
      <c r="AB26" s="106">
        <v>2044</v>
      </c>
      <c r="AC26" s="106">
        <v>2045</v>
      </c>
      <c r="AD26" s="106">
        <v>2046</v>
      </c>
      <c r="AE26" s="106">
        <v>2047</v>
      </c>
      <c r="AF26" s="106">
        <v>2048</v>
      </c>
      <c r="AG26" s="106">
        <v>2049</v>
      </c>
      <c r="AH26" s="106">
        <v>2050</v>
      </c>
      <c r="AI26" s="106">
        <v>2051</v>
      </c>
      <c r="AJ26" s="106">
        <v>2052</v>
      </c>
      <c r="AK26" s="106">
        <v>2053</v>
      </c>
      <c r="AL26" s="106">
        <v>2054</v>
      </c>
      <c r="AM26" s="106">
        <v>2055</v>
      </c>
      <c r="AN26" s="106">
        <v>2056</v>
      </c>
      <c r="AO26" s="106">
        <v>2057</v>
      </c>
      <c r="AP26" s="106">
        <v>2058</v>
      </c>
      <c r="AQ26" s="106">
        <v>2059</v>
      </c>
      <c r="AR26" s="106">
        <v>2060</v>
      </c>
      <c r="AS26" s="106">
        <v>2061</v>
      </c>
    </row>
    <row r="27" spans="1:48" x14ac:dyDescent="0.2">
      <c r="A27" s="486">
        <v>1</v>
      </c>
      <c r="B27" s="21" t="s">
        <v>207</v>
      </c>
      <c r="C27" s="21"/>
      <c r="D27" s="523"/>
      <c r="E27" s="57">
        <f>$F22*$F17</f>
        <v>1115374.1388480058</v>
      </c>
      <c r="F27" s="123">
        <f>$F22*$F17</f>
        <v>1115374.1388480058</v>
      </c>
      <c r="G27" s="123">
        <f>$F22*$F17</f>
        <v>1115374.1388480058</v>
      </c>
      <c r="H27" s="123">
        <f t="shared" ref="H27:AQ27" si="0">$F22*$F17</f>
        <v>1115374.1388480058</v>
      </c>
      <c r="I27" s="123">
        <f t="shared" si="0"/>
        <v>1115374.1388480058</v>
      </c>
      <c r="J27" s="123">
        <f t="shared" si="0"/>
        <v>1115374.1388480058</v>
      </c>
      <c r="K27" s="123">
        <f t="shared" si="0"/>
        <v>1115374.1388480058</v>
      </c>
      <c r="L27" s="123">
        <f t="shared" si="0"/>
        <v>1115374.1388480058</v>
      </c>
      <c r="M27" s="123">
        <f t="shared" si="0"/>
        <v>1115374.1388480058</v>
      </c>
      <c r="N27" s="123">
        <f t="shared" si="0"/>
        <v>1115374.1388480058</v>
      </c>
      <c r="O27" s="123">
        <f t="shared" si="0"/>
        <v>1115374.1388480058</v>
      </c>
      <c r="P27" s="123">
        <f t="shared" si="0"/>
        <v>1115374.1388480058</v>
      </c>
      <c r="Q27" s="123">
        <f t="shared" si="0"/>
        <v>1115374.1388480058</v>
      </c>
      <c r="R27" s="123">
        <f t="shared" si="0"/>
        <v>1115374.1388480058</v>
      </c>
      <c r="S27" s="123">
        <f t="shared" si="0"/>
        <v>1115374.1388480058</v>
      </c>
      <c r="T27" s="123">
        <f t="shared" si="0"/>
        <v>1115374.1388480058</v>
      </c>
      <c r="U27" s="123">
        <f t="shared" si="0"/>
        <v>1115374.1388480058</v>
      </c>
      <c r="V27" s="123">
        <f t="shared" si="0"/>
        <v>1115374.1388480058</v>
      </c>
      <c r="W27" s="123">
        <f t="shared" si="0"/>
        <v>1115374.1388480058</v>
      </c>
      <c r="X27" s="123">
        <f t="shared" si="0"/>
        <v>1115374.1388480058</v>
      </c>
      <c r="Y27" s="123">
        <f t="shared" si="0"/>
        <v>1115374.1388480058</v>
      </c>
      <c r="Z27" s="123">
        <f t="shared" si="0"/>
        <v>1115374.1388480058</v>
      </c>
      <c r="AA27" s="123">
        <f t="shared" si="0"/>
        <v>1115374.1388480058</v>
      </c>
      <c r="AB27" s="123">
        <f t="shared" si="0"/>
        <v>1115374.1388480058</v>
      </c>
      <c r="AC27" s="123">
        <f t="shared" si="0"/>
        <v>1115374.1388480058</v>
      </c>
      <c r="AD27" s="123">
        <f t="shared" si="0"/>
        <v>1115374.1388480058</v>
      </c>
      <c r="AE27" s="123">
        <f t="shared" si="0"/>
        <v>1115374.1388480058</v>
      </c>
      <c r="AF27" s="123">
        <f t="shared" si="0"/>
        <v>1115374.1388480058</v>
      </c>
      <c r="AG27" s="123">
        <f t="shared" si="0"/>
        <v>1115374.1388480058</v>
      </c>
      <c r="AH27" s="123">
        <f t="shared" si="0"/>
        <v>1115374.1388480058</v>
      </c>
      <c r="AI27" s="123">
        <f t="shared" si="0"/>
        <v>1115374.1388480058</v>
      </c>
      <c r="AJ27" s="123">
        <f t="shared" si="0"/>
        <v>1115374.1388480058</v>
      </c>
      <c r="AK27" s="123">
        <f t="shared" si="0"/>
        <v>1115374.1388480058</v>
      </c>
      <c r="AL27" s="123">
        <f t="shared" si="0"/>
        <v>1115374.1388480058</v>
      </c>
      <c r="AM27" s="123">
        <f t="shared" si="0"/>
        <v>1115374.1388480058</v>
      </c>
      <c r="AN27" s="123">
        <f t="shared" si="0"/>
        <v>1115374.1388480058</v>
      </c>
      <c r="AO27" s="123">
        <f t="shared" si="0"/>
        <v>1115374.1388480058</v>
      </c>
      <c r="AP27" s="123">
        <f t="shared" si="0"/>
        <v>1115374.1388480058</v>
      </c>
      <c r="AQ27" s="123">
        <f t="shared" si="0"/>
        <v>1115374.1388480058</v>
      </c>
      <c r="AR27" s="123">
        <f>$F22*$F17-65809</f>
        <v>1049565.1388480058</v>
      </c>
      <c r="AS27" s="123"/>
      <c r="AT27" s="126">
        <f>SUM(D27:AS27)</f>
        <v>44549156.553920262</v>
      </c>
      <c r="AU27" s="41">
        <f>F22</f>
        <v>44118513.764677308</v>
      </c>
      <c r="AV27" s="126">
        <f>+AU27-AT27</f>
        <v>-430642.78924295306</v>
      </c>
    </row>
    <row r="28" spans="1:48" x14ac:dyDescent="0.2">
      <c r="A28" s="21"/>
      <c r="B28" s="21"/>
      <c r="C28" s="21"/>
      <c r="D28" s="523"/>
      <c r="E28" s="57"/>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58"/>
      <c r="AN28" s="123"/>
      <c r="AO28" s="123"/>
      <c r="AP28" s="525"/>
    </row>
    <row r="29" spans="1:48" x14ac:dyDescent="0.2">
      <c r="A29" s="486">
        <f>A27+1</f>
        <v>2</v>
      </c>
      <c r="B29" s="21" t="s">
        <v>54</v>
      </c>
      <c r="C29" s="21"/>
      <c r="D29" s="523"/>
      <c r="E29" s="57">
        <f>E53</f>
        <v>527337.28126850701</v>
      </c>
      <c r="F29" s="123">
        <f t="shared" ref="F29:AS29" si="1">F53</f>
        <v>510497.11741817242</v>
      </c>
      <c r="G29" s="123">
        <f t="shared" si="1"/>
        <v>492013.3769984041</v>
      </c>
      <c r="H29" s="123">
        <f t="shared" si="1"/>
        <v>474114.74309908337</v>
      </c>
      <c r="I29" s="123">
        <f t="shared" si="1"/>
        <v>456757.41695956251</v>
      </c>
      <c r="J29" s="123">
        <f t="shared" si="1"/>
        <v>439900.96895462816</v>
      </c>
      <c r="K29" s="123">
        <f t="shared" si="1"/>
        <v>423507.77707192895</v>
      </c>
      <c r="L29" s="123">
        <f t="shared" si="1"/>
        <v>407543.02691197605</v>
      </c>
      <c r="M29" s="123">
        <f t="shared" si="1"/>
        <v>391817.48536786815</v>
      </c>
      <c r="N29" s="123">
        <f t="shared" si="1"/>
        <v>376126.1967006771</v>
      </c>
      <c r="O29" s="123">
        <f t="shared" si="1"/>
        <v>360434.90803348605</v>
      </c>
      <c r="P29" s="123">
        <f t="shared" si="1"/>
        <v>344743.619366295</v>
      </c>
      <c r="Q29" s="123">
        <f t="shared" si="1"/>
        <v>329052.33069910394</v>
      </c>
      <c r="R29" s="123">
        <f t="shared" si="1"/>
        <v>313361.04203191289</v>
      </c>
      <c r="S29" s="123">
        <f t="shared" si="1"/>
        <v>297669.75336472184</v>
      </c>
      <c r="T29" s="123">
        <f t="shared" si="1"/>
        <v>281978.46469753073</v>
      </c>
      <c r="U29" s="123">
        <f t="shared" si="1"/>
        <v>266287.17603033967</v>
      </c>
      <c r="V29" s="123">
        <f t="shared" si="1"/>
        <v>250595.88736314862</v>
      </c>
      <c r="W29" s="123">
        <f t="shared" si="1"/>
        <v>234904.59869595757</v>
      </c>
      <c r="X29" s="123">
        <f t="shared" si="1"/>
        <v>219213.31002876646</v>
      </c>
      <c r="Y29" s="123">
        <f t="shared" si="1"/>
        <v>204774.77822061419</v>
      </c>
      <c r="Z29" s="123">
        <f t="shared" si="1"/>
        <v>192841.19860796692</v>
      </c>
      <c r="AA29" s="123">
        <f t="shared" si="1"/>
        <v>182160.37585435837</v>
      </c>
      <c r="AB29" s="123">
        <f t="shared" si="1"/>
        <v>171479.55310074988</v>
      </c>
      <c r="AC29" s="123">
        <f t="shared" si="1"/>
        <v>160798.73034714136</v>
      </c>
      <c r="AD29" s="123">
        <f t="shared" si="1"/>
        <v>150117.90759353284</v>
      </c>
      <c r="AE29" s="123">
        <f t="shared" si="1"/>
        <v>139437.08483992433</v>
      </c>
      <c r="AF29" s="123">
        <f t="shared" si="1"/>
        <v>128756.26208631581</v>
      </c>
      <c r="AG29" s="123">
        <f t="shared" si="1"/>
        <v>118075.4393327073</v>
      </c>
      <c r="AH29" s="123">
        <f t="shared" si="1"/>
        <v>107394.61657909877</v>
      </c>
      <c r="AI29" s="123">
        <f t="shared" si="1"/>
        <v>96713.793825490255</v>
      </c>
      <c r="AJ29" s="123">
        <f t="shared" si="1"/>
        <v>86032.971071881737</v>
      </c>
      <c r="AK29" s="123">
        <f t="shared" si="1"/>
        <v>75352.148318273219</v>
      </c>
      <c r="AL29" s="123">
        <f t="shared" si="1"/>
        <v>64671.325564664716</v>
      </c>
      <c r="AM29" s="123">
        <f t="shared" si="1"/>
        <v>53990.502811056198</v>
      </c>
      <c r="AN29" s="123">
        <f t="shared" si="1"/>
        <v>43309.68005744768</v>
      </c>
      <c r="AO29" s="123">
        <f t="shared" si="1"/>
        <v>32628.85730383917</v>
      </c>
      <c r="AP29" s="123">
        <f t="shared" si="1"/>
        <v>21948.034550230659</v>
      </c>
      <c r="AQ29" s="123">
        <f t="shared" si="1"/>
        <v>11267.211796622143</v>
      </c>
      <c r="AR29" s="123">
        <f t="shared" si="1"/>
        <v>901.48253501362831</v>
      </c>
      <c r="AS29" s="123">
        <f t="shared" si="1"/>
        <v>-4123.8353497906292</v>
      </c>
      <c r="AT29" s="126">
        <f>SUM(D29:AS29)</f>
        <v>9436384.6001092121</v>
      </c>
    </row>
    <row r="30" spans="1:48" x14ac:dyDescent="0.2">
      <c r="A30" s="21"/>
      <c r="B30" s="21"/>
      <c r="C30" s="21"/>
      <c r="D30" s="523"/>
      <c r="E30" s="57"/>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row>
    <row r="31" spans="1:48" x14ac:dyDescent="0.2">
      <c r="A31" s="21"/>
      <c r="B31" s="21" t="s">
        <v>55</v>
      </c>
      <c r="C31" s="21"/>
      <c r="D31" s="523"/>
      <c r="E31" s="57">
        <f>+E30/0.79</f>
        <v>0</v>
      </c>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row>
    <row r="32" spans="1:48" x14ac:dyDescent="0.2">
      <c r="A32" s="486">
        <f>A29+1</f>
        <v>3</v>
      </c>
      <c r="B32" s="21"/>
      <c r="C32" s="21"/>
      <c r="D32" s="523"/>
      <c r="E32" s="57">
        <f>E49*$F10</f>
        <v>0</v>
      </c>
      <c r="F32" s="123">
        <f t="shared" ref="F32:AS32" si="2">F49*$F10</f>
        <v>0</v>
      </c>
      <c r="G32" s="123">
        <f t="shared" si="2"/>
        <v>0</v>
      </c>
      <c r="H32" s="123">
        <f t="shared" si="2"/>
        <v>0</v>
      </c>
      <c r="I32" s="123">
        <f t="shared" si="2"/>
        <v>0</v>
      </c>
      <c r="J32" s="123">
        <f t="shared" si="2"/>
        <v>0</v>
      </c>
      <c r="K32" s="123">
        <f t="shared" si="2"/>
        <v>0</v>
      </c>
      <c r="L32" s="123">
        <f t="shared" si="2"/>
        <v>0</v>
      </c>
      <c r="M32" s="123">
        <f t="shared" si="2"/>
        <v>0</v>
      </c>
      <c r="N32" s="123">
        <f t="shared" si="2"/>
        <v>0</v>
      </c>
      <c r="O32" s="123">
        <f t="shared" si="2"/>
        <v>0</v>
      </c>
      <c r="P32" s="123">
        <f t="shared" si="2"/>
        <v>0</v>
      </c>
      <c r="Q32" s="123">
        <f t="shared" si="2"/>
        <v>0</v>
      </c>
      <c r="R32" s="123">
        <f t="shared" si="2"/>
        <v>0</v>
      </c>
      <c r="S32" s="123">
        <f t="shared" si="2"/>
        <v>0</v>
      </c>
      <c r="T32" s="123">
        <f t="shared" si="2"/>
        <v>0</v>
      </c>
      <c r="U32" s="123">
        <f t="shared" si="2"/>
        <v>0</v>
      </c>
      <c r="V32" s="123">
        <f t="shared" si="2"/>
        <v>0</v>
      </c>
      <c r="W32" s="123">
        <f t="shared" si="2"/>
        <v>0</v>
      </c>
      <c r="X32" s="123">
        <f t="shared" si="2"/>
        <v>0</v>
      </c>
      <c r="Y32" s="123">
        <f t="shared" si="2"/>
        <v>0</v>
      </c>
      <c r="Z32" s="123">
        <f t="shared" si="2"/>
        <v>0</v>
      </c>
      <c r="AA32" s="123">
        <f t="shared" si="2"/>
        <v>0</v>
      </c>
      <c r="AB32" s="123">
        <f t="shared" si="2"/>
        <v>0</v>
      </c>
      <c r="AC32" s="123">
        <f t="shared" si="2"/>
        <v>0</v>
      </c>
      <c r="AD32" s="123">
        <f t="shared" si="2"/>
        <v>0</v>
      </c>
      <c r="AE32" s="123">
        <f t="shared" si="2"/>
        <v>0</v>
      </c>
      <c r="AF32" s="123">
        <f t="shared" si="2"/>
        <v>0</v>
      </c>
      <c r="AG32" s="123">
        <f t="shared" si="2"/>
        <v>0</v>
      </c>
      <c r="AH32" s="123">
        <f t="shared" si="2"/>
        <v>0</v>
      </c>
      <c r="AI32" s="123">
        <f t="shared" si="2"/>
        <v>0</v>
      </c>
      <c r="AJ32" s="123">
        <f t="shared" si="2"/>
        <v>0</v>
      </c>
      <c r="AK32" s="123">
        <f t="shared" si="2"/>
        <v>0</v>
      </c>
      <c r="AL32" s="123">
        <f t="shared" si="2"/>
        <v>0</v>
      </c>
      <c r="AM32" s="123">
        <f t="shared" si="2"/>
        <v>0</v>
      </c>
      <c r="AN32" s="123">
        <f t="shared" si="2"/>
        <v>0</v>
      </c>
      <c r="AO32" s="123">
        <f t="shared" si="2"/>
        <v>0</v>
      </c>
      <c r="AP32" s="123">
        <f t="shared" si="2"/>
        <v>0</v>
      </c>
      <c r="AQ32" s="123">
        <f t="shared" si="2"/>
        <v>0</v>
      </c>
      <c r="AR32" s="123">
        <f t="shared" si="2"/>
        <v>0</v>
      </c>
      <c r="AS32" s="123">
        <f t="shared" si="2"/>
        <v>0</v>
      </c>
      <c r="AT32" s="126">
        <f t="shared" ref="AT32:AT42" si="3">SUM(D32:AS32)</f>
        <v>0</v>
      </c>
    </row>
    <row r="33" spans="1:46" x14ac:dyDescent="0.2">
      <c r="A33" s="486">
        <f>A32+1</f>
        <v>4</v>
      </c>
      <c r="B33" s="32"/>
      <c r="C33" s="32" t="s">
        <v>173</v>
      </c>
      <c r="D33" s="523"/>
      <c r="E33" s="57">
        <f>E49*$F11</f>
        <v>1231169.5485923151</v>
      </c>
      <c r="F33" s="123">
        <f t="shared" ref="F33:AS33" si="4">F49*$F11</f>
        <v>1191852.971399131</v>
      </c>
      <c r="G33" s="123">
        <f t="shared" si="4"/>
        <v>1148699.1509558605</v>
      </c>
      <c r="H33" s="123">
        <f t="shared" si="4"/>
        <v>1106911.373377841</v>
      </c>
      <c r="I33" s="123">
        <f t="shared" si="4"/>
        <v>1066387.3820974247</v>
      </c>
      <c r="J33" s="123">
        <f t="shared" si="4"/>
        <v>1027032.7864367818</v>
      </c>
      <c r="K33" s="123">
        <f t="shared" si="4"/>
        <v>988759.7506262653</v>
      </c>
      <c r="L33" s="123">
        <f t="shared" si="4"/>
        <v>951486.99380441185</v>
      </c>
      <c r="M33" s="123">
        <f t="shared" si="4"/>
        <v>914772.7151597148</v>
      </c>
      <c r="N33" s="123">
        <f t="shared" si="4"/>
        <v>878138.40639484522</v>
      </c>
      <c r="O33" s="123">
        <f t="shared" si="4"/>
        <v>841504.09762997576</v>
      </c>
      <c r="P33" s="123">
        <f t="shared" si="4"/>
        <v>804869.7888651063</v>
      </c>
      <c r="Q33" s="123">
        <f t="shared" si="4"/>
        <v>768235.48010023672</v>
      </c>
      <c r="R33" s="123">
        <f t="shared" si="4"/>
        <v>731601.17133536725</v>
      </c>
      <c r="S33" s="123">
        <f t="shared" si="4"/>
        <v>694966.86257049767</v>
      </c>
      <c r="T33" s="123">
        <f t="shared" si="4"/>
        <v>658332.55380562809</v>
      </c>
      <c r="U33" s="123">
        <f t="shared" si="4"/>
        <v>621698.24504075863</v>
      </c>
      <c r="V33" s="123">
        <f t="shared" si="4"/>
        <v>585063.93627588905</v>
      </c>
      <c r="W33" s="123">
        <f t="shared" si="4"/>
        <v>548429.62751101959</v>
      </c>
      <c r="X33" s="123">
        <f t="shared" si="4"/>
        <v>511795.31874614995</v>
      </c>
      <c r="Y33" s="123">
        <f t="shared" si="4"/>
        <v>478085.81001235073</v>
      </c>
      <c r="Z33" s="123">
        <f t="shared" si="4"/>
        <v>450224.59035905561</v>
      </c>
      <c r="AA33" s="123">
        <f t="shared" si="4"/>
        <v>425288.17073683068</v>
      </c>
      <c r="AB33" s="123">
        <f t="shared" si="4"/>
        <v>400351.75111460581</v>
      </c>
      <c r="AC33" s="123">
        <f t="shared" si="4"/>
        <v>375415.33149238088</v>
      </c>
      <c r="AD33" s="123">
        <f t="shared" si="4"/>
        <v>350478.91187015601</v>
      </c>
      <c r="AE33" s="123">
        <f t="shared" si="4"/>
        <v>325542.49224793108</v>
      </c>
      <c r="AF33" s="123">
        <f t="shared" si="4"/>
        <v>300606.07262570621</v>
      </c>
      <c r="AG33" s="123">
        <f t="shared" si="4"/>
        <v>275669.65300348127</v>
      </c>
      <c r="AH33" s="123">
        <f t="shared" si="4"/>
        <v>250733.2333812564</v>
      </c>
      <c r="AI33" s="123">
        <f t="shared" si="4"/>
        <v>225796.8137590315</v>
      </c>
      <c r="AJ33" s="123">
        <f t="shared" si="4"/>
        <v>200860.3941368066</v>
      </c>
      <c r="AK33" s="123">
        <f t="shared" si="4"/>
        <v>175923.9745145817</v>
      </c>
      <c r="AL33" s="123">
        <f t="shared" si="4"/>
        <v>150987.55489235683</v>
      </c>
      <c r="AM33" s="123">
        <f t="shared" si="4"/>
        <v>126051.13527013194</v>
      </c>
      <c r="AN33" s="123">
        <f t="shared" si="4"/>
        <v>101114.71564790705</v>
      </c>
      <c r="AO33" s="123">
        <f t="shared" si="4"/>
        <v>76178.296025682153</v>
      </c>
      <c r="AP33" s="123">
        <f t="shared" si="4"/>
        <v>51241.876403457274</v>
      </c>
      <c r="AQ33" s="123">
        <f t="shared" si="4"/>
        <v>26305.456781232377</v>
      </c>
      <c r="AR33" s="123">
        <f t="shared" si="4"/>
        <v>2104.6830655074859</v>
      </c>
      <c r="AS33" s="123">
        <f t="shared" si="4"/>
        <v>-9627.8808391049606</v>
      </c>
      <c r="AT33" s="126">
        <f t="shared" si="3"/>
        <v>22031041.197226565</v>
      </c>
    </row>
    <row r="34" spans="1:46" x14ac:dyDescent="0.2">
      <c r="A34" s="486">
        <f>A33+1</f>
        <v>5</v>
      </c>
      <c r="B34" s="21"/>
      <c r="C34" s="21" t="s">
        <v>9</v>
      </c>
      <c r="D34" s="523"/>
      <c r="E34" s="59">
        <f>E49*$F12</f>
        <v>1983792.6295339072</v>
      </c>
      <c r="F34" s="121">
        <f t="shared" ref="F34:AS34" si="5">F49*$F12</f>
        <v>1920441.5369540772</v>
      </c>
      <c r="G34" s="121">
        <f t="shared" si="5"/>
        <v>1850907.4658511393</v>
      </c>
      <c r="H34" s="121">
        <f t="shared" si="5"/>
        <v>1783574.5097536945</v>
      </c>
      <c r="I34" s="121">
        <f t="shared" si="5"/>
        <v>1718277.9018954972</v>
      </c>
      <c r="J34" s="121">
        <f t="shared" si="5"/>
        <v>1654865.5498769346</v>
      </c>
      <c r="K34" s="121">
        <f t="shared" si="5"/>
        <v>1593195.9232705901</v>
      </c>
      <c r="L34" s="121">
        <f t="shared" si="5"/>
        <v>1533138.0536212432</v>
      </c>
      <c r="M34" s="121">
        <f t="shared" si="5"/>
        <v>1473980.0640029327</v>
      </c>
      <c r="N34" s="121">
        <f t="shared" si="5"/>
        <v>1414950.9304454045</v>
      </c>
      <c r="O34" s="121">
        <f t="shared" si="5"/>
        <v>1355921.7968878762</v>
      </c>
      <c r="P34" s="121">
        <f t="shared" si="5"/>
        <v>1296892.663330348</v>
      </c>
      <c r="Q34" s="121">
        <f t="shared" si="5"/>
        <v>1237863.5297728197</v>
      </c>
      <c r="R34" s="121">
        <f t="shared" si="5"/>
        <v>1178834.3962152915</v>
      </c>
      <c r="S34" s="121">
        <f t="shared" si="5"/>
        <v>1119805.2626577632</v>
      </c>
      <c r="T34" s="121">
        <f t="shared" si="5"/>
        <v>1060776.1291002347</v>
      </c>
      <c r="U34" s="121">
        <f t="shared" si="5"/>
        <v>1001746.9955427065</v>
      </c>
      <c r="V34" s="121">
        <f t="shared" si="5"/>
        <v>942717.8619851782</v>
      </c>
      <c r="W34" s="121">
        <f t="shared" si="5"/>
        <v>883688.72842765006</v>
      </c>
      <c r="X34" s="121">
        <f t="shared" si="5"/>
        <v>824659.59487012157</v>
      </c>
      <c r="Y34" s="121">
        <f t="shared" si="5"/>
        <v>770343.21330612001</v>
      </c>
      <c r="Z34" s="121">
        <f t="shared" si="5"/>
        <v>725450.2233347327</v>
      </c>
      <c r="AA34" s="121">
        <f t="shared" si="5"/>
        <v>685269.98535687209</v>
      </c>
      <c r="AB34" s="121">
        <f t="shared" si="5"/>
        <v>645089.74737901147</v>
      </c>
      <c r="AC34" s="121">
        <f t="shared" si="5"/>
        <v>604909.50940115086</v>
      </c>
      <c r="AD34" s="121">
        <f t="shared" si="5"/>
        <v>564729.27142329025</v>
      </c>
      <c r="AE34" s="121">
        <f t="shared" si="5"/>
        <v>524549.03344542964</v>
      </c>
      <c r="AF34" s="121">
        <f t="shared" si="5"/>
        <v>484368.79546756903</v>
      </c>
      <c r="AG34" s="121">
        <f t="shared" si="5"/>
        <v>444188.55748970842</v>
      </c>
      <c r="AH34" s="121">
        <f t="shared" si="5"/>
        <v>404008.3195118478</v>
      </c>
      <c r="AI34" s="121">
        <f t="shared" si="5"/>
        <v>363828.08153398719</v>
      </c>
      <c r="AJ34" s="121">
        <f t="shared" si="5"/>
        <v>323647.84355612658</v>
      </c>
      <c r="AK34" s="121">
        <f t="shared" si="5"/>
        <v>283467.60557826597</v>
      </c>
      <c r="AL34" s="121">
        <f t="shared" si="5"/>
        <v>243287.36760040539</v>
      </c>
      <c r="AM34" s="121">
        <f t="shared" si="5"/>
        <v>203107.12962254477</v>
      </c>
      <c r="AN34" s="121">
        <f t="shared" si="5"/>
        <v>162926.89164468416</v>
      </c>
      <c r="AO34" s="121">
        <f t="shared" si="5"/>
        <v>122746.65366682355</v>
      </c>
      <c r="AP34" s="121">
        <f t="shared" si="5"/>
        <v>82566.415688962967</v>
      </c>
      <c r="AQ34" s="121">
        <f t="shared" si="5"/>
        <v>42386.177711102348</v>
      </c>
      <c r="AR34" s="121">
        <f t="shared" si="5"/>
        <v>3391.2914412417445</v>
      </c>
      <c r="AS34" s="121">
        <f t="shared" si="5"/>
        <v>-15513.475839688559</v>
      </c>
      <c r="AT34" s="126">
        <f t="shared" si="3"/>
        <v>35498780.162315585</v>
      </c>
    </row>
    <row r="35" spans="1:46" x14ac:dyDescent="0.2">
      <c r="A35" s="486">
        <f>A34+1</f>
        <v>6</v>
      </c>
      <c r="B35" s="21"/>
      <c r="C35" s="21" t="s">
        <v>58</v>
      </c>
      <c r="D35" s="523"/>
      <c r="E35" s="57">
        <f>E32+E33+E34</f>
        <v>3214962.1781262225</v>
      </c>
      <c r="F35" s="123">
        <f>F32+F33+F34</f>
        <v>3112294.5083532082</v>
      </c>
      <c r="G35" s="123">
        <f>G32+G33+G34</f>
        <v>2999606.6168069998</v>
      </c>
      <c r="H35" s="123">
        <f t="shared" ref="H35:AS35" si="6">H32+H33+H34</f>
        <v>2890485.8831315357</v>
      </c>
      <c r="I35" s="123">
        <f t="shared" si="6"/>
        <v>2784665.2839929219</v>
      </c>
      <c r="J35" s="123">
        <f t="shared" si="6"/>
        <v>2681898.3363137161</v>
      </c>
      <c r="K35" s="123">
        <f t="shared" si="6"/>
        <v>2581955.6738968557</v>
      </c>
      <c r="L35" s="123">
        <f t="shared" si="6"/>
        <v>2484625.0474256552</v>
      </c>
      <c r="M35" s="123">
        <f t="shared" si="6"/>
        <v>2388752.7791626477</v>
      </c>
      <c r="N35" s="123">
        <f t="shared" si="6"/>
        <v>2293089.3368402496</v>
      </c>
      <c r="O35" s="123">
        <f t="shared" si="6"/>
        <v>2197425.894517852</v>
      </c>
      <c r="P35" s="123">
        <f t="shared" si="6"/>
        <v>2101762.4521954544</v>
      </c>
      <c r="Q35" s="123">
        <f t="shared" si="6"/>
        <v>2006099.0098730563</v>
      </c>
      <c r="R35" s="123">
        <f t="shared" si="6"/>
        <v>1910435.5675506587</v>
      </c>
      <c r="S35" s="123">
        <f t="shared" si="6"/>
        <v>1814772.1252282609</v>
      </c>
      <c r="T35" s="123">
        <f t="shared" si="6"/>
        <v>1719108.6829058628</v>
      </c>
      <c r="U35" s="123">
        <f t="shared" si="6"/>
        <v>1623445.240583465</v>
      </c>
      <c r="V35" s="123">
        <f t="shared" si="6"/>
        <v>1527781.7982610674</v>
      </c>
      <c r="W35" s="123">
        <f t="shared" si="6"/>
        <v>1432118.3559386698</v>
      </c>
      <c r="X35" s="123">
        <f t="shared" si="6"/>
        <v>1336454.9136162715</v>
      </c>
      <c r="Y35" s="123">
        <f t="shared" si="6"/>
        <v>1248429.0233184707</v>
      </c>
      <c r="Z35" s="123">
        <f t="shared" si="6"/>
        <v>1175674.8136937884</v>
      </c>
      <c r="AA35" s="123">
        <f t="shared" si="6"/>
        <v>1110558.1560937027</v>
      </c>
      <c r="AB35" s="123">
        <f t="shared" si="6"/>
        <v>1045441.4984936173</v>
      </c>
      <c r="AC35" s="123">
        <f t="shared" si="6"/>
        <v>980324.84089353168</v>
      </c>
      <c r="AD35" s="123">
        <f t="shared" si="6"/>
        <v>915208.1832934462</v>
      </c>
      <c r="AE35" s="123">
        <f t="shared" si="6"/>
        <v>850091.52569336072</v>
      </c>
      <c r="AF35" s="123">
        <f t="shared" si="6"/>
        <v>784974.86809327523</v>
      </c>
      <c r="AG35" s="123">
        <f t="shared" si="6"/>
        <v>719858.21049318975</v>
      </c>
      <c r="AH35" s="123">
        <f t="shared" si="6"/>
        <v>654741.55289310426</v>
      </c>
      <c r="AI35" s="123">
        <f t="shared" si="6"/>
        <v>589624.89529301866</v>
      </c>
      <c r="AJ35" s="123">
        <f t="shared" si="6"/>
        <v>524508.23769293318</v>
      </c>
      <c r="AK35" s="123">
        <f t="shared" si="6"/>
        <v>459391.5800928477</v>
      </c>
      <c r="AL35" s="123">
        <f t="shared" si="6"/>
        <v>394274.92249276221</v>
      </c>
      <c r="AM35" s="123">
        <f t="shared" si="6"/>
        <v>329158.26489267673</v>
      </c>
      <c r="AN35" s="123">
        <f t="shared" si="6"/>
        <v>264041.60729259124</v>
      </c>
      <c r="AO35" s="123">
        <f t="shared" si="6"/>
        <v>198924.9496925057</v>
      </c>
      <c r="AP35" s="123">
        <f t="shared" si="6"/>
        <v>133808.29209242025</v>
      </c>
      <c r="AQ35" s="123">
        <f t="shared" si="6"/>
        <v>68691.634492334721</v>
      </c>
      <c r="AR35" s="123">
        <f t="shared" si="6"/>
        <v>5495.9745067492304</v>
      </c>
      <c r="AS35" s="123">
        <f t="shared" si="6"/>
        <v>-25141.35667879352</v>
      </c>
      <c r="AT35" s="126">
        <f t="shared" si="3"/>
        <v>57529821.359542169</v>
      </c>
    </row>
    <row r="36" spans="1:46" x14ac:dyDescent="0.2">
      <c r="A36" s="21"/>
      <c r="B36" s="21"/>
      <c r="C36" s="21"/>
      <c r="D36" s="523"/>
      <c r="E36" s="5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6">
        <f t="shared" si="3"/>
        <v>0</v>
      </c>
    </row>
    <row r="37" spans="1:46" x14ac:dyDescent="0.2">
      <c r="A37" s="486">
        <f>A35+1</f>
        <v>7</v>
      </c>
      <c r="B37" s="21" t="s">
        <v>59</v>
      </c>
      <c r="C37" s="21"/>
      <c r="D37" s="523"/>
      <c r="E37" s="60">
        <f>E27+E29+E35</f>
        <v>4857673.5982427355</v>
      </c>
      <c r="F37" s="120">
        <f>F27+F29+F35</f>
        <v>4738165.7646193858</v>
      </c>
      <c r="G37" s="120">
        <f t="shared" ref="G37:AS37" si="7">G27+G29+G35</f>
        <v>4606994.1326534096</v>
      </c>
      <c r="H37" s="120">
        <f t="shared" si="7"/>
        <v>4479974.7650786247</v>
      </c>
      <c r="I37" s="120">
        <f t="shared" si="7"/>
        <v>4356796.8398004901</v>
      </c>
      <c r="J37" s="120">
        <f t="shared" si="7"/>
        <v>4237173.4441163503</v>
      </c>
      <c r="K37" s="120">
        <f t="shared" si="7"/>
        <v>4120837.5898167905</v>
      </c>
      <c r="L37" s="120">
        <f t="shared" si="7"/>
        <v>4007542.2131856373</v>
      </c>
      <c r="M37" s="120">
        <f t="shared" si="7"/>
        <v>3895944.4033785216</v>
      </c>
      <c r="N37" s="120">
        <f t="shared" si="7"/>
        <v>3784589.6723889327</v>
      </c>
      <c r="O37" s="120">
        <f t="shared" si="7"/>
        <v>3673234.9413993438</v>
      </c>
      <c r="P37" s="120">
        <f t="shared" si="7"/>
        <v>3561880.2104097549</v>
      </c>
      <c r="Q37" s="120">
        <f t="shared" si="7"/>
        <v>3450525.479420166</v>
      </c>
      <c r="R37" s="120">
        <f t="shared" si="7"/>
        <v>3339170.7484305771</v>
      </c>
      <c r="S37" s="120">
        <f t="shared" si="7"/>
        <v>3227816.0174409887</v>
      </c>
      <c r="T37" s="120">
        <f t="shared" si="7"/>
        <v>3116461.2864513993</v>
      </c>
      <c r="U37" s="120">
        <f t="shared" si="7"/>
        <v>3005106.5554618104</v>
      </c>
      <c r="V37" s="120">
        <f t="shared" si="7"/>
        <v>2893751.8244722215</v>
      </c>
      <c r="W37" s="120">
        <f t="shared" si="7"/>
        <v>2782397.0934826331</v>
      </c>
      <c r="X37" s="120">
        <f t="shared" si="7"/>
        <v>2671042.3624930438</v>
      </c>
      <c r="Y37" s="120">
        <f t="shared" si="7"/>
        <v>2568577.9403870907</v>
      </c>
      <c r="Z37" s="120">
        <f t="shared" si="7"/>
        <v>2483890.1511497609</v>
      </c>
      <c r="AA37" s="120">
        <f t="shared" si="7"/>
        <v>2408092.6707960665</v>
      </c>
      <c r="AB37" s="120">
        <f t="shared" si="7"/>
        <v>2332295.190442373</v>
      </c>
      <c r="AC37" s="120">
        <f t="shared" si="7"/>
        <v>2256497.7100886786</v>
      </c>
      <c r="AD37" s="120">
        <f t="shared" si="7"/>
        <v>2180700.2297349852</v>
      </c>
      <c r="AE37" s="120">
        <f t="shared" si="7"/>
        <v>2104902.7493812907</v>
      </c>
      <c r="AF37" s="120">
        <f t="shared" si="7"/>
        <v>2029105.2690275968</v>
      </c>
      <c r="AG37" s="120">
        <f t="shared" si="7"/>
        <v>1953307.7886739029</v>
      </c>
      <c r="AH37" s="120">
        <f t="shared" si="7"/>
        <v>1877510.3083202089</v>
      </c>
      <c r="AI37" s="120">
        <f t="shared" si="7"/>
        <v>1801712.8279665145</v>
      </c>
      <c r="AJ37" s="120">
        <f t="shared" si="7"/>
        <v>1725915.3476128206</v>
      </c>
      <c r="AK37" s="120">
        <f t="shared" si="7"/>
        <v>1650117.8672591266</v>
      </c>
      <c r="AL37" s="120">
        <f t="shared" si="7"/>
        <v>1574320.3869054327</v>
      </c>
      <c r="AM37" s="120">
        <f t="shared" si="7"/>
        <v>1498522.9065517387</v>
      </c>
      <c r="AN37" s="120">
        <f t="shared" si="7"/>
        <v>1422725.4261980448</v>
      </c>
      <c r="AO37" s="120">
        <f t="shared" si="7"/>
        <v>1346927.9458443506</v>
      </c>
      <c r="AP37" s="120">
        <f t="shared" si="7"/>
        <v>1271130.4654906567</v>
      </c>
      <c r="AQ37" s="120">
        <f t="shared" si="7"/>
        <v>1195332.9851369627</v>
      </c>
      <c r="AR37" s="120">
        <f t="shared" si="7"/>
        <v>1055962.5958897688</v>
      </c>
      <c r="AS37" s="120">
        <f t="shared" si="7"/>
        <v>-29265.192028584148</v>
      </c>
      <c r="AT37" s="126">
        <f t="shared" si="3"/>
        <v>111515362.51357158</v>
      </c>
    </row>
    <row r="38" spans="1:46" x14ac:dyDescent="0.2">
      <c r="A38" s="486">
        <f>A37+1</f>
        <v>8</v>
      </c>
      <c r="B38" s="21" t="s">
        <v>60</v>
      </c>
      <c r="C38" s="21"/>
      <c r="D38" s="523"/>
      <c r="E38" s="59">
        <f>E37/(1-$F16)-E37</f>
        <v>231277.56344523281</v>
      </c>
      <c r="F38" s="121">
        <f t="shared" ref="F38:AS38" si="8">F37/(1-$F16)-F37</f>
        <v>225587.70388302952</v>
      </c>
      <c r="G38" s="121">
        <f t="shared" si="8"/>
        <v>219342.5219413694</v>
      </c>
      <c r="H38" s="121">
        <f t="shared" si="8"/>
        <v>213295.0324901063</v>
      </c>
      <c r="I38" s="121">
        <f t="shared" si="8"/>
        <v>207430.43705107272</v>
      </c>
      <c r="J38" s="121">
        <f t="shared" si="8"/>
        <v>201735.07549057622</v>
      </c>
      <c r="K38" s="121">
        <f t="shared" si="8"/>
        <v>196196.23629531683</v>
      </c>
      <c r="L38" s="121">
        <f t="shared" si="8"/>
        <v>190802.15657239314</v>
      </c>
      <c r="M38" s="121">
        <f t="shared" si="8"/>
        <v>185488.89930715598</v>
      </c>
      <c r="N38" s="121">
        <f t="shared" si="8"/>
        <v>180187.21521074232</v>
      </c>
      <c r="O38" s="121">
        <f t="shared" si="8"/>
        <v>174885.53111432912</v>
      </c>
      <c r="P38" s="121">
        <f t="shared" si="8"/>
        <v>169583.84701791545</v>
      </c>
      <c r="Q38" s="121">
        <f t="shared" si="8"/>
        <v>164282.16292150179</v>
      </c>
      <c r="R38" s="121">
        <f t="shared" si="8"/>
        <v>158980.47882508812</v>
      </c>
      <c r="S38" s="121">
        <f t="shared" si="8"/>
        <v>153678.79472867493</v>
      </c>
      <c r="T38" s="121">
        <f t="shared" si="8"/>
        <v>148377.11063226126</v>
      </c>
      <c r="U38" s="121">
        <f t="shared" si="8"/>
        <v>143075.4265358476</v>
      </c>
      <c r="V38" s="121">
        <f t="shared" si="8"/>
        <v>137773.74243943393</v>
      </c>
      <c r="W38" s="121">
        <f t="shared" si="8"/>
        <v>132472.05834302073</v>
      </c>
      <c r="X38" s="121">
        <f t="shared" si="8"/>
        <v>127170.37424660707</v>
      </c>
      <c r="Y38" s="121">
        <f t="shared" si="8"/>
        <v>122291.96457061265</v>
      </c>
      <c r="Z38" s="121">
        <f t="shared" si="8"/>
        <v>118259.91401137831</v>
      </c>
      <c r="AA38" s="121">
        <f t="shared" si="8"/>
        <v>114651.13787256321</v>
      </c>
      <c r="AB38" s="121">
        <f t="shared" si="8"/>
        <v>111042.36173374811</v>
      </c>
      <c r="AC38" s="121">
        <f t="shared" si="8"/>
        <v>107433.58559493301</v>
      </c>
      <c r="AD38" s="121">
        <f t="shared" si="8"/>
        <v>103824.80945611792</v>
      </c>
      <c r="AE38" s="121">
        <f t="shared" si="8"/>
        <v>100216.03331730282</v>
      </c>
      <c r="AF38" s="121">
        <f t="shared" si="8"/>
        <v>96607.257178488187</v>
      </c>
      <c r="AG38" s="121">
        <f t="shared" si="8"/>
        <v>92998.481039672857</v>
      </c>
      <c r="AH38" s="121">
        <f t="shared" si="8"/>
        <v>89389.70490085776</v>
      </c>
      <c r="AI38" s="121">
        <f t="shared" si="8"/>
        <v>85780.928762042662</v>
      </c>
      <c r="AJ38" s="121">
        <f t="shared" si="8"/>
        <v>82172.152623227797</v>
      </c>
      <c r="AK38" s="121">
        <f t="shared" si="8"/>
        <v>78563.3764844127</v>
      </c>
      <c r="AL38" s="121">
        <f t="shared" si="8"/>
        <v>74954.600345597602</v>
      </c>
      <c r="AM38" s="121">
        <f t="shared" si="8"/>
        <v>71345.824206782505</v>
      </c>
      <c r="AN38" s="121">
        <f t="shared" si="8"/>
        <v>67737.048067967407</v>
      </c>
      <c r="AO38" s="121">
        <f t="shared" si="8"/>
        <v>64128.27192915231</v>
      </c>
      <c r="AP38" s="121">
        <f t="shared" si="8"/>
        <v>60519.495790337445</v>
      </c>
      <c r="AQ38" s="121">
        <f t="shared" si="8"/>
        <v>56910.719651522348</v>
      </c>
      <c r="AR38" s="121">
        <f t="shared" si="8"/>
        <v>50275.188591311686</v>
      </c>
      <c r="AS38" s="121">
        <f t="shared" si="8"/>
        <v>-1393.338224407722</v>
      </c>
      <c r="AT38" s="126">
        <f t="shared" si="3"/>
        <v>5309331.886395297</v>
      </c>
    </row>
    <row r="39" spans="1:46" x14ac:dyDescent="0.2">
      <c r="A39" s="486">
        <f>A38+1</f>
        <v>9</v>
      </c>
      <c r="B39" s="21"/>
      <c r="C39" s="21" t="s">
        <v>61</v>
      </c>
      <c r="D39" s="523"/>
      <c r="E39" s="60">
        <f>SUM(E37:E38)</f>
        <v>5088951.1616879683</v>
      </c>
      <c r="F39" s="120">
        <f t="shared" ref="F39:AS39" si="9">SUM(F37:F38)</f>
        <v>4963753.4685024153</v>
      </c>
      <c r="G39" s="120">
        <f t="shared" si="9"/>
        <v>4826336.654594779</v>
      </c>
      <c r="H39" s="120">
        <f t="shared" si="9"/>
        <v>4693269.797568731</v>
      </c>
      <c r="I39" s="120">
        <f t="shared" si="9"/>
        <v>4564227.2768515628</v>
      </c>
      <c r="J39" s="120">
        <f t="shared" si="9"/>
        <v>4438908.5196069265</v>
      </c>
      <c r="K39" s="120">
        <f t="shared" si="9"/>
        <v>4317033.8261121074</v>
      </c>
      <c r="L39" s="120">
        <f t="shared" si="9"/>
        <v>4198344.3697580304</v>
      </c>
      <c r="M39" s="120">
        <f t="shared" si="9"/>
        <v>4081433.3026856775</v>
      </c>
      <c r="N39" s="120">
        <f t="shared" si="9"/>
        <v>3964776.887599675</v>
      </c>
      <c r="O39" s="120">
        <f t="shared" si="9"/>
        <v>3848120.4725136729</v>
      </c>
      <c r="P39" s="120">
        <f t="shared" si="9"/>
        <v>3731464.0574276703</v>
      </c>
      <c r="Q39" s="120">
        <f t="shared" si="9"/>
        <v>3614807.6423416678</v>
      </c>
      <c r="R39" s="120">
        <f t="shared" si="9"/>
        <v>3498151.2272556652</v>
      </c>
      <c r="S39" s="120">
        <f t="shared" si="9"/>
        <v>3381494.8121696636</v>
      </c>
      <c r="T39" s="120">
        <f t="shared" si="9"/>
        <v>3264838.3970836606</v>
      </c>
      <c r="U39" s="120">
        <f t="shared" si="9"/>
        <v>3148181.981997658</v>
      </c>
      <c r="V39" s="120">
        <f t="shared" si="9"/>
        <v>3031525.5669116555</v>
      </c>
      <c r="W39" s="120">
        <f t="shared" si="9"/>
        <v>2914869.1518256539</v>
      </c>
      <c r="X39" s="120">
        <f t="shared" si="9"/>
        <v>2798212.7367396508</v>
      </c>
      <c r="Y39" s="120">
        <f t="shared" si="9"/>
        <v>2690869.9049577033</v>
      </c>
      <c r="Z39" s="120">
        <f t="shared" si="9"/>
        <v>2602150.0651611392</v>
      </c>
      <c r="AA39" s="120">
        <f t="shared" si="9"/>
        <v>2522743.8086686297</v>
      </c>
      <c r="AB39" s="120">
        <f t="shared" si="9"/>
        <v>2443337.5521761212</v>
      </c>
      <c r="AC39" s="120">
        <f t="shared" si="9"/>
        <v>2363931.2956836117</v>
      </c>
      <c r="AD39" s="120">
        <f t="shared" si="9"/>
        <v>2284525.0391911031</v>
      </c>
      <c r="AE39" s="120">
        <f t="shared" si="9"/>
        <v>2205118.7826985936</v>
      </c>
      <c r="AF39" s="120">
        <f t="shared" si="9"/>
        <v>2125712.526206085</v>
      </c>
      <c r="AG39" s="120">
        <f t="shared" si="9"/>
        <v>2046306.2697135757</v>
      </c>
      <c r="AH39" s="120">
        <f t="shared" si="9"/>
        <v>1966900.0132210667</v>
      </c>
      <c r="AI39" s="120">
        <f t="shared" si="9"/>
        <v>1887493.7567285572</v>
      </c>
      <c r="AJ39" s="120">
        <f t="shared" si="9"/>
        <v>1808087.5002360484</v>
      </c>
      <c r="AK39" s="120">
        <f t="shared" si="9"/>
        <v>1728681.2437435393</v>
      </c>
      <c r="AL39" s="120">
        <f t="shared" si="9"/>
        <v>1649274.9872510303</v>
      </c>
      <c r="AM39" s="120">
        <f t="shared" si="9"/>
        <v>1569868.7307585212</v>
      </c>
      <c r="AN39" s="120">
        <f t="shared" si="9"/>
        <v>1490462.4742660122</v>
      </c>
      <c r="AO39" s="120">
        <f t="shared" si="9"/>
        <v>1411056.2177735029</v>
      </c>
      <c r="AP39" s="120">
        <f t="shared" si="9"/>
        <v>1331649.9612809941</v>
      </c>
      <c r="AQ39" s="120">
        <f t="shared" si="9"/>
        <v>1252243.7047884851</v>
      </c>
      <c r="AR39" s="120">
        <f t="shared" si="9"/>
        <v>1106237.7844810805</v>
      </c>
      <c r="AS39" s="120">
        <f t="shared" si="9"/>
        <v>-30658.53025299187</v>
      </c>
      <c r="AT39" s="126">
        <f t="shared" si="3"/>
        <v>116824694.39996688</v>
      </c>
    </row>
    <row r="40" spans="1:46" x14ac:dyDescent="0.2">
      <c r="A40" s="486">
        <f t="shared" ref="A40:A66" si="10">A39+1</f>
        <v>10</v>
      </c>
      <c r="B40" s="21"/>
      <c r="C40" s="21"/>
      <c r="D40" s="523"/>
      <c r="E40" s="6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6">
        <f t="shared" si="3"/>
        <v>0</v>
      </c>
    </row>
    <row r="41" spans="1:46" x14ac:dyDescent="0.2">
      <c r="A41" s="486">
        <f t="shared" si="10"/>
        <v>11</v>
      </c>
      <c r="B41" s="21"/>
      <c r="C41" s="21"/>
      <c r="D41" s="523"/>
      <c r="E41" s="57"/>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6">
        <f t="shared" si="3"/>
        <v>0</v>
      </c>
    </row>
    <row r="42" spans="1:46" x14ac:dyDescent="0.2">
      <c r="A42" s="486">
        <f t="shared" si="10"/>
        <v>12</v>
      </c>
      <c r="B42" s="21" t="s">
        <v>208</v>
      </c>
      <c r="C42" s="21"/>
      <c r="D42" s="523"/>
      <c r="E42" s="59">
        <f>E39</f>
        <v>5088951.1616879683</v>
      </c>
      <c r="F42" s="121">
        <f>F39</f>
        <v>4963753.4685024153</v>
      </c>
      <c r="G42" s="121">
        <f t="shared" ref="G42:AS42" si="11">G39</f>
        <v>4826336.654594779</v>
      </c>
      <c r="H42" s="121">
        <f t="shared" si="11"/>
        <v>4693269.797568731</v>
      </c>
      <c r="I42" s="121">
        <f t="shared" si="11"/>
        <v>4564227.2768515628</v>
      </c>
      <c r="J42" s="121">
        <f t="shared" si="11"/>
        <v>4438908.5196069265</v>
      </c>
      <c r="K42" s="121">
        <f t="shared" si="11"/>
        <v>4317033.8261121074</v>
      </c>
      <c r="L42" s="121">
        <f t="shared" si="11"/>
        <v>4198344.3697580304</v>
      </c>
      <c r="M42" s="121">
        <f t="shared" si="11"/>
        <v>4081433.3026856775</v>
      </c>
      <c r="N42" s="121">
        <f t="shared" si="11"/>
        <v>3964776.887599675</v>
      </c>
      <c r="O42" s="121">
        <f t="shared" si="11"/>
        <v>3848120.4725136729</v>
      </c>
      <c r="P42" s="121">
        <f t="shared" si="11"/>
        <v>3731464.0574276703</v>
      </c>
      <c r="Q42" s="121">
        <f t="shared" si="11"/>
        <v>3614807.6423416678</v>
      </c>
      <c r="R42" s="121">
        <f t="shared" si="11"/>
        <v>3498151.2272556652</v>
      </c>
      <c r="S42" s="121">
        <f t="shared" si="11"/>
        <v>3381494.8121696636</v>
      </c>
      <c r="T42" s="121">
        <f t="shared" si="11"/>
        <v>3264838.3970836606</v>
      </c>
      <c r="U42" s="121">
        <f t="shared" si="11"/>
        <v>3148181.981997658</v>
      </c>
      <c r="V42" s="121">
        <f t="shared" si="11"/>
        <v>3031525.5669116555</v>
      </c>
      <c r="W42" s="121">
        <f t="shared" si="11"/>
        <v>2914869.1518256539</v>
      </c>
      <c r="X42" s="121">
        <f t="shared" si="11"/>
        <v>2798212.7367396508</v>
      </c>
      <c r="Y42" s="121">
        <f t="shared" si="11"/>
        <v>2690869.9049577033</v>
      </c>
      <c r="Z42" s="121">
        <f t="shared" si="11"/>
        <v>2602150.0651611392</v>
      </c>
      <c r="AA42" s="121">
        <f t="shared" si="11"/>
        <v>2522743.8086686297</v>
      </c>
      <c r="AB42" s="121">
        <f t="shared" si="11"/>
        <v>2443337.5521761212</v>
      </c>
      <c r="AC42" s="121">
        <f t="shared" si="11"/>
        <v>2363931.2956836117</v>
      </c>
      <c r="AD42" s="121">
        <f t="shared" si="11"/>
        <v>2284525.0391911031</v>
      </c>
      <c r="AE42" s="121">
        <f t="shared" si="11"/>
        <v>2205118.7826985936</v>
      </c>
      <c r="AF42" s="121">
        <f t="shared" si="11"/>
        <v>2125712.526206085</v>
      </c>
      <c r="AG42" s="121">
        <f t="shared" si="11"/>
        <v>2046306.2697135757</v>
      </c>
      <c r="AH42" s="121">
        <f t="shared" si="11"/>
        <v>1966900.0132210667</v>
      </c>
      <c r="AI42" s="121">
        <f t="shared" si="11"/>
        <v>1887493.7567285572</v>
      </c>
      <c r="AJ42" s="121">
        <f t="shared" si="11"/>
        <v>1808087.5002360484</v>
      </c>
      <c r="AK42" s="121">
        <f t="shared" si="11"/>
        <v>1728681.2437435393</v>
      </c>
      <c r="AL42" s="121">
        <f t="shared" si="11"/>
        <v>1649274.9872510303</v>
      </c>
      <c r="AM42" s="121">
        <f t="shared" si="11"/>
        <v>1569868.7307585212</v>
      </c>
      <c r="AN42" s="121">
        <f t="shared" si="11"/>
        <v>1490462.4742660122</v>
      </c>
      <c r="AO42" s="121">
        <f t="shared" si="11"/>
        <v>1411056.2177735029</v>
      </c>
      <c r="AP42" s="121">
        <f t="shared" si="11"/>
        <v>1331649.9612809941</v>
      </c>
      <c r="AQ42" s="121">
        <f t="shared" si="11"/>
        <v>1252243.7047884851</v>
      </c>
      <c r="AR42" s="121">
        <f t="shared" si="11"/>
        <v>1106237.7844810805</v>
      </c>
      <c r="AS42" s="121">
        <f t="shared" si="11"/>
        <v>-30658.53025299187</v>
      </c>
      <c r="AT42" s="126">
        <f t="shared" si="3"/>
        <v>116824694.39996688</v>
      </c>
    </row>
    <row r="43" spans="1:46" x14ac:dyDescent="0.2">
      <c r="A43" s="486">
        <f t="shared" si="10"/>
        <v>13</v>
      </c>
      <c r="B43" s="21"/>
      <c r="C43" s="21"/>
      <c r="D43" s="523"/>
      <c r="E43" s="10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row>
    <row r="44" spans="1:46" outlineLevel="1" x14ac:dyDescent="0.2">
      <c r="A44" s="486">
        <f t="shared" si="10"/>
        <v>14</v>
      </c>
      <c r="B44" s="21"/>
      <c r="C44" s="21"/>
      <c r="D44" s="523"/>
      <c r="E44" s="62"/>
      <c r="F44" s="52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row>
    <row r="45" spans="1:46" outlineLevel="1" x14ac:dyDescent="0.2">
      <c r="A45" s="486">
        <f t="shared" si="10"/>
        <v>15</v>
      </c>
      <c r="B45" s="21" t="s">
        <v>63</v>
      </c>
      <c r="C45" s="523"/>
      <c r="D45" s="523"/>
      <c r="E45" s="64">
        <f>+E42/$F$22</f>
        <v>0.11534729362896955</v>
      </c>
      <c r="F45" s="122">
        <f t="shared" ref="F45:AS45" si="12">+F42/$F$22</f>
        <v>0.11250953499880939</v>
      </c>
      <c r="G45" s="122">
        <f t="shared" si="12"/>
        <v>0.10939481507327879</v>
      </c>
      <c r="H45" s="122">
        <f t="shared" si="12"/>
        <v>0.10637869223342498</v>
      </c>
      <c r="I45" s="122">
        <f t="shared" si="12"/>
        <v>0.10345378589126067</v>
      </c>
      <c r="J45" s="122">
        <f t="shared" si="12"/>
        <v>0.10061328319633601</v>
      </c>
      <c r="K45" s="122">
        <f t="shared" si="12"/>
        <v>9.7850844412815705E-2</v>
      </c>
      <c r="L45" s="122">
        <f t="shared" si="12"/>
        <v>9.5160602919479101E-2</v>
      </c>
      <c r="M45" s="122">
        <f t="shared" si="12"/>
        <v>9.2510670791304025E-2</v>
      </c>
      <c r="N45" s="122">
        <f t="shared" si="12"/>
        <v>8.986651066142673E-2</v>
      </c>
      <c r="O45" s="122">
        <f t="shared" si="12"/>
        <v>8.7222350531549434E-2</v>
      </c>
      <c r="P45" s="122">
        <f t="shared" si="12"/>
        <v>8.4578190401672138E-2</v>
      </c>
      <c r="Q45" s="122">
        <f t="shared" si="12"/>
        <v>8.1934030271794842E-2</v>
      </c>
      <c r="R45" s="122">
        <f t="shared" si="12"/>
        <v>7.9289870141917532E-2</v>
      </c>
      <c r="S45" s="122">
        <f t="shared" si="12"/>
        <v>7.6645710012040263E-2</v>
      </c>
      <c r="T45" s="122">
        <f t="shared" si="12"/>
        <v>7.4001549882162954E-2</v>
      </c>
      <c r="U45" s="122">
        <f t="shared" si="12"/>
        <v>7.1357389752285658E-2</v>
      </c>
      <c r="V45" s="122">
        <f t="shared" si="12"/>
        <v>6.8713229622408348E-2</v>
      </c>
      <c r="W45" s="122">
        <f t="shared" si="12"/>
        <v>6.606906949253108E-2</v>
      </c>
      <c r="X45" s="122">
        <f t="shared" si="12"/>
        <v>6.342490936265377E-2</v>
      </c>
      <c r="Y45" s="122">
        <f t="shared" si="12"/>
        <v>6.0991852973798492E-2</v>
      </c>
      <c r="Z45" s="122">
        <f t="shared" si="12"/>
        <v>5.898090944406436E-2</v>
      </c>
      <c r="AA45" s="122">
        <f t="shared" si="12"/>
        <v>5.7181069655352239E-2</v>
      </c>
      <c r="AB45" s="122">
        <f t="shared" si="12"/>
        <v>5.5381229866640139E-2</v>
      </c>
      <c r="AC45" s="122">
        <f t="shared" si="12"/>
        <v>5.3581390077928025E-2</v>
      </c>
      <c r="AD45" s="122">
        <f t="shared" si="12"/>
        <v>5.1781550289215925E-2</v>
      </c>
      <c r="AE45" s="122">
        <f t="shared" si="12"/>
        <v>4.9981710500503804E-2</v>
      </c>
      <c r="AF45" s="122">
        <f t="shared" si="12"/>
        <v>4.8181870711791711E-2</v>
      </c>
      <c r="AG45" s="122">
        <f t="shared" si="12"/>
        <v>4.6382030923079597E-2</v>
      </c>
      <c r="AH45" s="122">
        <f t="shared" si="12"/>
        <v>4.458219113436749E-2</v>
      </c>
      <c r="AI45" s="122">
        <f t="shared" si="12"/>
        <v>4.2782351345655369E-2</v>
      </c>
      <c r="AJ45" s="122">
        <f t="shared" si="12"/>
        <v>4.0982511556943269E-2</v>
      </c>
      <c r="AK45" s="122">
        <f t="shared" si="12"/>
        <v>3.9182671768231161E-2</v>
      </c>
      <c r="AL45" s="122">
        <f t="shared" si="12"/>
        <v>3.7382831979519048E-2</v>
      </c>
      <c r="AM45" s="122">
        <f t="shared" si="12"/>
        <v>3.558299219080694E-2</v>
      </c>
      <c r="AN45" s="122">
        <f t="shared" si="12"/>
        <v>3.3783152402094833E-2</v>
      </c>
      <c r="AO45" s="122">
        <f t="shared" si="12"/>
        <v>3.1983312613382719E-2</v>
      </c>
      <c r="AP45" s="122">
        <f t="shared" si="12"/>
        <v>3.0183472824670616E-2</v>
      </c>
      <c r="AQ45" s="122">
        <f t="shared" si="12"/>
        <v>2.8383633035958509E-2</v>
      </c>
      <c r="AR45" s="122">
        <f t="shared" si="12"/>
        <v>2.5074230523304025E-2</v>
      </c>
      <c r="AS45" s="122">
        <f t="shared" si="12"/>
        <v>-6.9491303393674308E-4</v>
      </c>
    </row>
    <row r="46" spans="1:46" outlineLevel="1" x14ac:dyDescent="0.2">
      <c r="A46" s="486">
        <f t="shared" si="10"/>
        <v>16</v>
      </c>
      <c r="B46" s="21"/>
      <c r="C46" s="21"/>
      <c r="D46" s="523"/>
      <c r="E46" s="62"/>
      <c r="F46" s="52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row>
    <row r="47" spans="1:46" outlineLevel="1" x14ac:dyDescent="0.2">
      <c r="A47" s="486">
        <f t="shared" si="10"/>
        <v>17</v>
      </c>
      <c r="B47" s="21"/>
      <c r="C47" s="21"/>
      <c r="D47" s="523"/>
      <c r="E47" s="62">
        <f>+E27/2</f>
        <v>557687.0694240029</v>
      </c>
      <c r="F47" s="120"/>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row>
    <row r="48" spans="1:46" outlineLevel="1" x14ac:dyDescent="0.2">
      <c r="A48" s="486">
        <f t="shared" si="10"/>
        <v>18</v>
      </c>
      <c r="B48" s="21"/>
      <c r="C48" s="21"/>
      <c r="D48" s="523"/>
      <c r="E48" s="62">
        <f>+E60/2</f>
        <v>56602.363369376289</v>
      </c>
      <c r="F48" s="120"/>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row>
    <row r="49" spans="1:46" x14ac:dyDescent="0.2">
      <c r="A49" s="486">
        <f t="shared" si="10"/>
        <v>19</v>
      </c>
      <c r="B49" s="65" t="s">
        <v>64</v>
      </c>
      <c r="C49" s="21"/>
      <c r="D49" s="523"/>
      <c r="E49" s="60">
        <f>F22-E27/2-E60/2</f>
        <v>43504224.33188393</v>
      </c>
      <c r="F49" s="138">
        <f>$F$22-(SUM($E$27:E27)+F27/2)-(SUM($E$60:E60)+F60/2)</f>
        <v>42114945.985835023</v>
      </c>
      <c r="G49" s="138">
        <f>$F$22-(SUM($E$27:F27)+G27/2)-(SUM($E$60:F60)+G60/2)</f>
        <v>40590076.005507439</v>
      </c>
      <c r="H49" s="138">
        <f>$F$22-(SUM($E$27:G27)+H27/2)-(SUM($E$60:G60)+H60/2)</f>
        <v>39113476.091089793</v>
      </c>
      <c r="I49" s="138">
        <f>$F$22-(SUM($E$27:H27)+I27/2)-(SUM($E$60:H60)+I60/2)</f>
        <v>37681532.936304763</v>
      </c>
      <c r="J49" s="138">
        <f>$F$22-(SUM($E$27:I27)+J27/2)-(SUM($E$60:I60)+J60/2)</f>
        <v>36290911.181511723</v>
      </c>
      <c r="K49" s="138">
        <f>$F$22-(SUM($E$27:J27)+K27/2)-(SUM($E$60:J60)+K60/2)</f>
        <v>34938507.089267328</v>
      </c>
      <c r="L49" s="138">
        <f>$F$22-(SUM($E$27:K27)+L27/2)-(SUM($E$60:K60)+L60/2)</f>
        <v>33621448.544325508</v>
      </c>
      <c r="M49" s="138">
        <f>$F$22-(SUM($E$27:L27)+M27/2)-(SUM($E$60:L60)+M60/2)</f>
        <v>32324124.210590631</v>
      </c>
      <c r="N49" s="138">
        <f>$F$22-(SUM($E$27:M27)+N27/2)-(SUM($E$60:M60)+N60/2)</f>
        <v>31029625.667662378</v>
      </c>
      <c r="O49" s="138">
        <f>$F$22-(SUM($E$27:N27)+O27/2)-(SUM($E$60:N60)+O60/2)</f>
        <v>29735127.124734126</v>
      </c>
      <c r="P49" s="138">
        <f>$F$22-(SUM($E$27:O27)+P27/2)-(SUM($E$60:O60)+P60/2)</f>
        <v>28440628.581805877</v>
      </c>
      <c r="Q49" s="138">
        <f>$F$22-(SUM($E$27:P27)+Q27/2)-(SUM($E$60:P60)+Q60/2)</f>
        <v>27146130.038877625</v>
      </c>
      <c r="R49" s="138">
        <f>$F$22-(SUM($E$27:Q27)+R27/2)-(SUM($E$60:Q60)+R60/2)</f>
        <v>25851631.495949373</v>
      </c>
      <c r="S49" s="138">
        <f>$F$22-(SUM($E$27:R27)+S27/2)-(SUM($E$60:R60)+S60/2)</f>
        <v>24557132.95302112</v>
      </c>
      <c r="T49" s="138">
        <f>$F$22-(SUM($E$27:S27)+T27/2)-(SUM($E$60:S60)+T60/2)</f>
        <v>23262634.410092868</v>
      </c>
      <c r="U49" s="138">
        <f>$F$22-(SUM($E$27:T27)+U27/2)-(SUM($E$60:T60)+U60/2)</f>
        <v>21968135.867164616</v>
      </c>
      <c r="V49" s="138">
        <f>$F$22-(SUM($E$27:U27)+V27/2)-(SUM($E$60:U60)+V60/2)</f>
        <v>20673637.324236363</v>
      </c>
      <c r="W49" s="138">
        <f>$F$22-(SUM($E$27:V27)+W27/2)-(SUM($E$60:V60)+W60/2)</f>
        <v>19379138.781308115</v>
      </c>
      <c r="X49" s="138">
        <f>$F$22-(SUM($E$27:W27)+X27/2)-(SUM($E$60:W60)+X60/2)</f>
        <v>18084640.238379858</v>
      </c>
      <c r="Y49" s="138">
        <f>$F$22-(SUM($E$27:X27)+Y27/2)-(SUM($E$60:X60)+Y60/2)</f>
        <v>16893491.519871052</v>
      </c>
      <c r="Z49" s="138">
        <f>$F$22-(SUM($E$27:Y27)+Z27/2)-(SUM($E$60:Y60)+Z60/2)</f>
        <v>15908996.125761682</v>
      </c>
      <c r="AA49" s="138">
        <f>$F$22-(SUM($E$27:Z27)+AA27/2)-(SUM($E$60:Z60)+AA60/2)</f>
        <v>15027850.556071756</v>
      </c>
      <c r="AB49" s="138">
        <f>$F$22-(SUM($E$27:AA27)+AB27/2)-(SUM($E$60:AA60)+AB60/2)</f>
        <v>14146704.986381831</v>
      </c>
      <c r="AC49" s="138">
        <f>$F$22-(SUM($E$27:AB27)+AC27/2)-(SUM($E$60:AB60)+AC60/2)</f>
        <v>13265559.416691905</v>
      </c>
      <c r="AD49" s="138">
        <f>$F$22-(SUM($E$27:AC27)+AD27/2)-(SUM($E$60:AC60)+AD60/2)</f>
        <v>12384413.847001979</v>
      </c>
      <c r="AE49" s="138">
        <f>$F$22-(SUM($E$27:AD27)+AE27/2)-(SUM($E$60:AD60)+AE60/2)</f>
        <v>11503268.277312053</v>
      </c>
      <c r="AF49" s="138">
        <f>$F$22-(SUM($E$27:AE27)+AF27/2)-(SUM($E$60:AE60)+AF60/2)</f>
        <v>10622122.707622128</v>
      </c>
      <c r="AG49" s="138">
        <f>$F$22-(SUM($E$27:AF27)+AG27/2)-(SUM($E$60:AF60)+AG60/2)</f>
        <v>9740977.1379322018</v>
      </c>
      <c r="AH49" s="138">
        <f>$F$22-(SUM($E$27:AG27)+AH27/2)-(SUM($E$60:AG60)+AH60/2)</f>
        <v>8859831.5682422761</v>
      </c>
      <c r="AI49" s="138">
        <f>$F$22-(SUM($E$27:AH27)+AI27/2)-(SUM($E$60:AH60)+AI60/2)</f>
        <v>7978685.9985523503</v>
      </c>
      <c r="AJ49" s="138">
        <f>$F$22-(SUM($E$27:AI27)+AJ27/2)-(SUM($E$60:AI60)+AJ60/2)</f>
        <v>7097540.4288624246</v>
      </c>
      <c r="AK49" s="138">
        <f>$F$22-(SUM($E$27:AJ27)+AK27/2)-(SUM($E$60:AJ60)+AK60/2)</f>
        <v>6216394.8591724988</v>
      </c>
      <c r="AL49" s="138">
        <f>$F$22-(SUM($E$27:AK27)+AL27/2)-(SUM($E$60:AK60)+AL60/2)</f>
        <v>5335249.289482574</v>
      </c>
      <c r="AM49" s="138">
        <f>$F$22-(SUM($E$27:AL27)+AM27/2)-(SUM($E$60:AL60)+AM60/2)</f>
        <v>4454103.7197926482</v>
      </c>
      <c r="AN49" s="138">
        <f>$F$22-(SUM($E$27:AM27)+AN27/2)-(SUM($E$60:AM60)+AN60/2)</f>
        <v>3572958.1501027229</v>
      </c>
      <c r="AO49" s="138">
        <f>$F$22-(SUM($E$27:AN27)+AO27/2)-(SUM($E$60:AN60)+AO60/2)</f>
        <v>2691812.5804127972</v>
      </c>
      <c r="AP49" s="138">
        <f>$F$22-(SUM($E$27:AO27)+AP27/2)-(SUM($E$60:AO60)+AP60/2)</f>
        <v>1810667.0107228719</v>
      </c>
      <c r="AQ49" s="138">
        <f>$F$22-(SUM($E$27:AP27)+AQ27/2)-(SUM($E$60:AP60)+AQ60/2)</f>
        <v>929521.44103294623</v>
      </c>
      <c r="AR49" s="138">
        <f>$F$22-(SUM($E$27:AQ27)+AR27/2)-(SUM($E$60:AQ60)+AR60/2)</f>
        <v>74370.426343020707</v>
      </c>
      <c r="AS49" s="138">
        <f>$F$22-(SUM($E$27:AR27)+AS27/2)-(SUM($E$60:AR60)+AS60/2)</f>
        <v>-340207.80350194208</v>
      </c>
      <c r="AT49" s="126">
        <f t="shared" ref="AT49:AT60" si="13">SUM(D49:AS49)</f>
        <v>778482021.10341215</v>
      </c>
    </row>
    <row r="50" spans="1:46" x14ac:dyDescent="0.2">
      <c r="A50" s="486">
        <f t="shared" si="10"/>
        <v>20</v>
      </c>
      <c r="B50" s="21"/>
      <c r="C50" s="21"/>
      <c r="D50" s="523"/>
      <c r="E50" s="108"/>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6">
        <f t="shared" si="13"/>
        <v>0</v>
      </c>
    </row>
    <row r="51" spans="1:46" x14ac:dyDescent="0.2">
      <c r="A51" s="486">
        <f t="shared" si="10"/>
        <v>21</v>
      </c>
      <c r="B51" s="21"/>
      <c r="C51" s="21"/>
      <c r="D51" s="523"/>
      <c r="E51" s="57"/>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6">
        <f t="shared" si="13"/>
        <v>0</v>
      </c>
    </row>
    <row r="52" spans="1:46" x14ac:dyDescent="0.2">
      <c r="A52" s="486">
        <f t="shared" si="10"/>
        <v>22</v>
      </c>
      <c r="B52" s="21" t="s">
        <v>65</v>
      </c>
      <c r="C52" s="21"/>
      <c r="D52" s="523"/>
      <c r="E52" s="57">
        <f>(E34)/(1-$F$15)</f>
        <v>2511129.9108024142</v>
      </c>
      <c r="F52" s="123">
        <f t="shared" ref="F52:AS52" si="14">(F34)/(1-$F$15)</f>
        <v>2430938.6543722497</v>
      </c>
      <c r="G52" s="123">
        <f t="shared" si="14"/>
        <v>2342920.8428495433</v>
      </c>
      <c r="H52" s="123">
        <f t="shared" si="14"/>
        <v>2257689.252852778</v>
      </c>
      <c r="I52" s="123">
        <f t="shared" si="14"/>
        <v>2175035.3188550598</v>
      </c>
      <c r="J52" s="123">
        <f t="shared" si="14"/>
        <v>2094766.5188315627</v>
      </c>
      <c r="K52" s="123">
        <f t="shared" si="14"/>
        <v>2016703.700342519</v>
      </c>
      <c r="L52" s="123">
        <f t="shared" si="14"/>
        <v>1940681.0805332193</v>
      </c>
      <c r="M52" s="123">
        <f t="shared" si="14"/>
        <v>1865797.5493708008</v>
      </c>
      <c r="N52" s="123">
        <f t="shared" si="14"/>
        <v>1791077.1271460815</v>
      </c>
      <c r="O52" s="123">
        <f t="shared" si="14"/>
        <v>1716356.7049213622</v>
      </c>
      <c r="P52" s="123">
        <f t="shared" si="14"/>
        <v>1641636.2826966429</v>
      </c>
      <c r="Q52" s="123">
        <f t="shared" si="14"/>
        <v>1566915.8604719236</v>
      </c>
      <c r="R52" s="123">
        <f t="shared" si="14"/>
        <v>1492195.4382472043</v>
      </c>
      <c r="S52" s="123">
        <f t="shared" si="14"/>
        <v>1417475.016022485</v>
      </c>
      <c r="T52" s="123">
        <f t="shared" si="14"/>
        <v>1342754.5937977654</v>
      </c>
      <c r="U52" s="123">
        <f t="shared" si="14"/>
        <v>1268034.1715730461</v>
      </c>
      <c r="V52" s="123">
        <f t="shared" si="14"/>
        <v>1193313.7493483268</v>
      </c>
      <c r="W52" s="123">
        <f t="shared" si="14"/>
        <v>1118593.3271236075</v>
      </c>
      <c r="X52" s="123">
        <f t="shared" si="14"/>
        <v>1043872.904898888</v>
      </c>
      <c r="Y52" s="123">
        <f t="shared" si="14"/>
        <v>975117.9915267342</v>
      </c>
      <c r="Z52" s="123">
        <f t="shared" si="14"/>
        <v>918291.42194269958</v>
      </c>
      <c r="AA52" s="123">
        <f t="shared" si="14"/>
        <v>867430.3612112304</v>
      </c>
      <c r="AB52" s="123">
        <f t="shared" si="14"/>
        <v>816569.30047976132</v>
      </c>
      <c r="AC52" s="123">
        <f t="shared" si="14"/>
        <v>765708.23974829225</v>
      </c>
      <c r="AD52" s="123">
        <f t="shared" si="14"/>
        <v>714847.17901682307</v>
      </c>
      <c r="AE52" s="123">
        <f t="shared" si="14"/>
        <v>663986.11828535399</v>
      </c>
      <c r="AF52" s="123">
        <f t="shared" si="14"/>
        <v>613125.05755388481</v>
      </c>
      <c r="AG52" s="123">
        <f t="shared" si="14"/>
        <v>562263.99682241573</v>
      </c>
      <c r="AH52" s="123">
        <f t="shared" si="14"/>
        <v>511402.93609094655</v>
      </c>
      <c r="AI52" s="123">
        <f t="shared" si="14"/>
        <v>460541.87535947742</v>
      </c>
      <c r="AJ52" s="123">
        <f t="shared" si="14"/>
        <v>409680.81462800829</v>
      </c>
      <c r="AK52" s="123">
        <f t="shared" si="14"/>
        <v>358819.75389653916</v>
      </c>
      <c r="AL52" s="123">
        <f t="shared" si="14"/>
        <v>307958.69316507009</v>
      </c>
      <c r="AM52" s="123">
        <f t="shared" si="14"/>
        <v>257097.63243360096</v>
      </c>
      <c r="AN52" s="123">
        <f t="shared" si="14"/>
        <v>206236.57170213183</v>
      </c>
      <c r="AO52" s="123">
        <f t="shared" si="14"/>
        <v>155375.51097066273</v>
      </c>
      <c r="AP52" s="123">
        <f t="shared" si="14"/>
        <v>104514.45023919363</v>
      </c>
      <c r="AQ52" s="123">
        <f t="shared" si="14"/>
        <v>53653.389507724489</v>
      </c>
      <c r="AR52" s="123">
        <f t="shared" si="14"/>
        <v>4292.7739762553729</v>
      </c>
      <c r="AS52" s="123">
        <f t="shared" si="14"/>
        <v>-19637.311189479187</v>
      </c>
      <c r="AT52" s="126">
        <f t="shared" si="13"/>
        <v>44935164.762424804</v>
      </c>
    </row>
    <row r="53" spans="1:46" x14ac:dyDescent="0.2">
      <c r="A53" s="486">
        <f t="shared" si="10"/>
        <v>23</v>
      </c>
      <c r="B53" s="21" t="s">
        <v>66</v>
      </c>
      <c r="C53" s="21"/>
      <c r="D53" s="523"/>
      <c r="E53" s="59">
        <f t="shared" ref="E53:AS53" si="15">E52*$F15</f>
        <v>527337.28126850701</v>
      </c>
      <c r="F53" s="121">
        <f t="shared" si="15"/>
        <v>510497.11741817242</v>
      </c>
      <c r="G53" s="121">
        <f t="shared" si="15"/>
        <v>492013.3769984041</v>
      </c>
      <c r="H53" s="121">
        <f t="shared" si="15"/>
        <v>474114.74309908337</v>
      </c>
      <c r="I53" s="121">
        <f t="shared" si="15"/>
        <v>456757.41695956251</v>
      </c>
      <c r="J53" s="121">
        <f t="shared" si="15"/>
        <v>439900.96895462816</v>
      </c>
      <c r="K53" s="121">
        <f t="shared" si="15"/>
        <v>423507.77707192895</v>
      </c>
      <c r="L53" s="121">
        <f t="shared" si="15"/>
        <v>407543.02691197605</v>
      </c>
      <c r="M53" s="121">
        <f t="shared" si="15"/>
        <v>391817.48536786815</v>
      </c>
      <c r="N53" s="121">
        <f t="shared" si="15"/>
        <v>376126.1967006771</v>
      </c>
      <c r="O53" s="121">
        <f t="shared" si="15"/>
        <v>360434.90803348605</v>
      </c>
      <c r="P53" s="121">
        <f t="shared" si="15"/>
        <v>344743.619366295</v>
      </c>
      <c r="Q53" s="121">
        <f t="shared" si="15"/>
        <v>329052.33069910394</v>
      </c>
      <c r="R53" s="121">
        <f t="shared" si="15"/>
        <v>313361.04203191289</v>
      </c>
      <c r="S53" s="121">
        <f t="shared" si="15"/>
        <v>297669.75336472184</v>
      </c>
      <c r="T53" s="121">
        <f t="shared" si="15"/>
        <v>281978.46469753073</v>
      </c>
      <c r="U53" s="121">
        <f t="shared" si="15"/>
        <v>266287.17603033967</v>
      </c>
      <c r="V53" s="121">
        <f t="shared" si="15"/>
        <v>250595.88736314862</v>
      </c>
      <c r="W53" s="121">
        <f t="shared" si="15"/>
        <v>234904.59869595757</v>
      </c>
      <c r="X53" s="121">
        <f t="shared" si="15"/>
        <v>219213.31002876646</v>
      </c>
      <c r="Y53" s="121">
        <f t="shared" si="15"/>
        <v>204774.77822061419</v>
      </c>
      <c r="Z53" s="121">
        <f t="shared" si="15"/>
        <v>192841.19860796692</v>
      </c>
      <c r="AA53" s="121">
        <f t="shared" si="15"/>
        <v>182160.37585435837</v>
      </c>
      <c r="AB53" s="121">
        <f t="shared" si="15"/>
        <v>171479.55310074988</v>
      </c>
      <c r="AC53" s="121">
        <f t="shared" si="15"/>
        <v>160798.73034714136</v>
      </c>
      <c r="AD53" s="121">
        <f t="shared" si="15"/>
        <v>150117.90759353284</v>
      </c>
      <c r="AE53" s="121">
        <f t="shared" si="15"/>
        <v>139437.08483992433</v>
      </c>
      <c r="AF53" s="121">
        <f t="shared" si="15"/>
        <v>128756.26208631581</v>
      </c>
      <c r="AG53" s="121">
        <f t="shared" si="15"/>
        <v>118075.4393327073</v>
      </c>
      <c r="AH53" s="121">
        <f t="shared" si="15"/>
        <v>107394.61657909877</v>
      </c>
      <c r="AI53" s="121">
        <f t="shared" si="15"/>
        <v>96713.793825490255</v>
      </c>
      <c r="AJ53" s="121">
        <f t="shared" si="15"/>
        <v>86032.971071881737</v>
      </c>
      <c r="AK53" s="121">
        <f t="shared" si="15"/>
        <v>75352.148318273219</v>
      </c>
      <c r="AL53" s="121">
        <f t="shared" si="15"/>
        <v>64671.325564664716</v>
      </c>
      <c r="AM53" s="121">
        <f t="shared" si="15"/>
        <v>53990.502811056198</v>
      </c>
      <c r="AN53" s="121">
        <f t="shared" si="15"/>
        <v>43309.68005744768</v>
      </c>
      <c r="AO53" s="121">
        <f t="shared" si="15"/>
        <v>32628.85730383917</v>
      </c>
      <c r="AP53" s="121">
        <f t="shared" si="15"/>
        <v>21948.034550230659</v>
      </c>
      <c r="AQ53" s="121">
        <f t="shared" si="15"/>
        <v>11267.211796622143</v>
      </c>
      <c r="AR53" s="121">
        <f t="shared" si="15"/>
        <v>901.48253501362831</v>
      </c>
      <c r="AS53" s="121">
        <f t="shared" si="15"/>
        <v>-4123.8353497906292</v>
      </c>
      <c r="AT53" s="126">
        <f t="shared" si="13"/>
        <v>9436384.6001092121</v>
      </c>
    </row>
    <row r="54" spans="1:46" x14ac:dyDescent="0.2">
      <c r="A54" s="486">
        <f t="shared" si="10"/>
        <v>24</v>
      </c>
      <c r="B54" s="21" t="s">
        <v>67</v>
      </c>
      <c r="C54" s="21"/>
      <c r="D54" s="523"/>
      <c r="E54" s="57">
        <f>E52-E53</f>
        <v>1983792.6295339072</v>
      </c>
      <c r="F54" s="123">
        <f t="shared" ref="F54:AS54" si="16">F52-F53</f>
        <v>1920441.5369540774</v>
      </c>
      <c r="G54" s="123">
        <f t="shared" si="16"/>
        <v>1850907.4658511393</v>
      </c>
      <c r="H54" s="123">
        <f t="shared" si="16"/>
        <v>1783574.5097536945</v>
      </c>
      <c r="I54" s="123">
        <f t="shared" si="16"/>
        <v>1718277.9018954972</v>
      </c>
      <c r="J54" s="123">
        <f t="shared" si="16"/>
        <v>1654865.5498769346</v>
      </c>
      <c r="K54" s="123">
        <f t="shared" si="16"/>
        <v>1593195.9232705901</v>
      </c>
      <c r="L54" s="123">
        <f t="shared" si="16"/>
        <v>1533138.0536212432</v>
      </c>
      <c r="M54" s="123">
        <f t="shared" si="16"/>
        <v>1473980.0640029327</v>
      </c>
      <c r="N54" s="123">
        <f t="shared" si="16"/>
        <v>1414950.9304454045</v>
      </c>
      <c r="O54" s="123">
        <f t="shared" si="16"/>
        <v>1355921.7968878762</v>
      </c>
      <c r="P54" s="123">
        <f t="shared" si="16"/>
        <v>1296892.663330348</v>
      </c>
      <c r="Q54" s="123">
        <f t="shared" si="16"/>
        <v>1237863.5297728197</v>
      </c>
      <c r="R54" s="123">
        <f t="shared" si="16"/>
        <v>1178834.3962152915</v>
      </c>
      <c r="S54" s="123">
        <f t="shared" si="16"/>
        <v>1119805.2626577632</v>
      </c>
      <c r="T54" s="123">
        <f t="shared" si="16"/>
        <v>1060776.1291002347</v>
      </c>
      <c r="U54" s="123">
        <f t="shared" si="16"/>
        <v>1001746.9955427065</v>
      </c>
      <c r="V54" s="123">
        <f t="shared" si="16"/>
        <v>942717.8619851782</v>
      </c>
      <c r="W54" s="123">
        <f t="shared" si="16"/>
        <v>883688.72842764994</v>
      </c>
      <c r="X54" s="123">
        <f t="shared" si="16"/>
        <v>824659.59487012145</v>
      </c>
      <c r="Y54" s="123">
        <f t="shared" si="16"/>
        <v>770343.21330612001</v>
      </c>
      <c r="Z54" s="123">
        <f t="shared" si="16"/>
        <v>725450.2233347327</v>
      </c>
      <c r="AA54" s="123">
        <f t="shared" si="16"/>
        <v>685269.98535687197</v>
      </c>
      <c r="AB54" s="123">
        <f t="shared" si="16"/>
        <v>645089.74737901147</v>
      </c>
      <c r="AC54" s="123">
        <f t="shared" si="16"/>
        <v>604909.50940115086</v>
      </c>
      <c r="AD54" s="123">
        <f t="shared" si="16"/>
        <v>564729.27142329025</v>
      </c>
      <c r="AE54" s="123">
        <f t="shared" si="16"/>
        <v>524549.03344542964</v>
      </c>
      <c r="AF54" s="123">
        <f t="shared" si="16"/>
        <v>484368.79546756903</v>
      </c>
      <c r="AG54" s="123">
        <f t="shared" si="16"/>
        <v>444188.55748970842</v>
      </c>
      <c r="AH54" s="123">
        <f t="shared" si="16"/>
        <v>404008.3195118478</v>
      </c>
      <c r="AI54" s="123">
        <f t="shared" si="16"/>
        <v>363828.08153398719</v>
      </c>
      <c r="AJ54" s="123">
        <f t="shared" si="16"/>
        <v>323647.84355612658</v>
      </c>
      <c r="AK54" s="123">
        <f t="shared" si="16"/>
        <v>283467.60557826597</v>
      </c>
      <c r="AL54" s="123">
        <f t="shared" si="16"/>
        <v>243287.36760040536</v>
      </c>
      <c r="AM54" s="123">
        <f t="shared" si="16"/>
        <v>203107.12962254474</v>
      </c>
      <c r="AN54" s="123">
        <f t="shared" si="16"/>
        <v>162926.89164468413</v>
      </c>
      <c r="AO54" s="123">
        <f t="shared" si="16"/>
        <v>122746.65366682355</v>
      </c>
      <c r="AP54" s="123">
        <f t="shared" si="16"/>
        <v>82566.415688962967</v>
      </c>
      <c r="AQ54" s="123">
        <f t="shared" si="16"/>
        <v>42386.177711102348</v>
      </c>
      <c r="AR54" s="123">
        <f t="shared" si="16"/>
        <v>3391.2914412417445</v>
      </c>
      <c r="AS54" s="123">
        <f t="shared" si="16"/>
        <v>-15513.475839688559</v>
      </c>
      <c r="AT54" s="126">
        <f t="shared" si="13"/>
        <v>35498780.162315585</v>
      </c>
    </row>
    <row r="55" spans="1:46" x14ac:dyDescent="0.2">
      <c r="A55" s="486">
        <f t="shared" si="10"/>
        <v>25</v>
      </c>
      <c r="B55" s="21"/>
      <c r="C55" s="21"/>
      <c r="D55" s="523"/>
      <c r="E55" s="526"/>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126">
        <f t="shared" si="13"/>
        <v>0</v>
      </c>
    </row>
    <row r="56" spans="1:46" x14ac:dyDescent="0.2">
      <c r="A56" s="486">
        <f t="shared" si="10"/>
        <v>26</v>
      </c>
      <c r="B56" s="21"/>
      <c r="C56" s="21"/>
      <c r="D56" s="523"/>
      <c r="E56" s="108"/>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126">
        <f t="shared" si="13"/>
        <v>0</v>
      </c>
    </row>
    <row r="57" spans="1:46" x14ac:dyDescent="0.2">
      <c r="A57" s="486">
        <f t="shared" si="10"/>
        <v>27</v>
      </c>
      <c r="B57" s="21" t="s">
        <v>68</v>
      </c>
      <c r="C57" s="21"/>
      <c r="D57" s="523"/>
      <c r="E57" s="526">
        <f>E27+E28</f>
        <v>1115374.1388480058</v>
      </c>
      <c r="F57" s="123">
        <f>F27</f>
        <v>1115374.1388480058</v>
      </c>
      <c r="G57" s="123">
        <f>G27</f>
        <v>1115374.1388480058</v>
      </c>
      <c r="H57" s="123">
        <f t="shared" ref="H57:AS57" si="17">H27</f>
        <v>1115374.1388480058</v>
      </c>
      <c r="I57" s="123">
        <f t="shared" si="17"/>
        <v>1115374.1388480058</v>
      </c>
      <c r="J57" s="123">
        <f t="shared" si="17"/>
        <v>1115374.1388480058</v>
      </c>
      <c r="K57" s="123">
        <f t="shared" si="17"/>
        <v>1115374.1388480058</v>
      </c>
      <c r="L57" s="123">
        <f t="shared" si="17"/>
        <v>1115374.1388480058</v>
      </c>
      <c r="M57" s="123">
        <f t="shared" si="17"/>
        <v>1115374.1388480058</v>
      </c>
      <c r="N57" s="123">
        <f t="shared" si="17"/>
        <v>1115374.1388480058</v>
      </c>
      <c r="O57" s="123">
        <f t="shared" si="17"/>
        <v>1115374.1388480058</v>
      </c>
      <c r="P57" s="123">
        <f t="shared" si="17"/>
        <v>1115374.1388480058</v>
      </c>
      <c r="Q57" s="123">
        <f t="shared" si="17"/>
        <v>1115374.1388480058</v>
      </c>
      <c r="R57" s="123">
        <f t="shared" si="17"/>
        <v>1115374.1388480058</v>
      </c>
      <c r="S57" s="123">
        <f t="shared" si="17"/>
        <v>1115374.1388480058</v>
      </c>
      <c r="T57" s="123">
        <f t="shared" si="17"/>
        <v>1115374.1388480058</v>
      </c>
      <c r="U57" s="123">
        <f t="shared" si="17"/>
        <v>1115374.1388480058</v>
      </c>
      <c r="V57" s="123">
        <f t="shared" si="17"/>
        <v>1115374.1388480058</v>
      </c>
      <c r="W57" s="123">
        <f t="shared" si="17"/>
        <v>1115374.1388480058</v>
      </c>
      <c r="X57" s="123">
        <f t="shared" si="17"/>
        <v>1115374.1388480058</v>
      </c>
      <c r="Y57" s="123">
        <f t="shared" si="17"/>
        <v>1115374.1388480058</v>
      </c>
      <c r="Z57" s="123">
        <f t="shared" si="17"/>
        <v>1115374.1388480058</v>
      </c>
      <c r="AA57" s="123">
        <f t="shared" si="17"/>
        <v>1115374.1388480058</v>
      </c>
      <c r="AB57" s="123">
        <f t="shared" si="17"/>
        <v>1115374.1388480058</v>
      </c>
      <c r="AC57" s="123">
        <f t="shared" si="17"/>
        <v>1115374.1388480058</v>
      </c>
      <c r="AD57" s="123">
        <f t="shared" si="17"/>
        <v>1115374.1388480058</v>
      </c>
      <c r="AE57" s="123">
        <f t="shared" si="17"/>
        <v>1115374.1388480058</v>
      </c>
      <c r="AF57" s="123">
        <f t="shared" si="17"/>
        <v>1115374.1388480058</v>
      </c>
      <c r="AG57" s="123">
        <f t="shared" si="17"/>
        <v>1115374.1388480058</v>
      </c>
      <c r="AH57" s="123">
        <f t="shared" si="17"/>
        <v>1115374.1388480058</v>
      </c>
      <c r="AI57" s="123">
        <f t="shared" si="17"/>
        <v>1115374.1388480058</v>
      </c>
      <c r="AJ57" s="123">
        <f t="shared" si="17"/>
        <v>1115374.1388480058</v>
      </c>
      <c r="AK57" s="123">
        <f t="shared" si="17"/>
        <v>1115374.1388480058</v>
      </c>
      <c r="AL57" s="123">
        <f t="shared" si="17"/>
        <v>1115374.1388480058</v>
      </c>
      <c r="AM57" s="123">
        <f t="shared" si="17"/>
        <v>1115374.1388480058</v>
      </c>
      <c r="AN57" s="123">
        <f t="shared" si="17"/>
        <v>1115374.1388480058</v>
      </c>
      <c r="AO57" s="123">
        <f t="shared" si="17"/>
        <v>1115374.1388480058</v>
      </c>
      <c r="AP57" s="123">
        <f t="shared" si="17"/>
        <v>1115374.1388480058</v>
      </c>
      <c r="AQ57" s="123">
        <f t="shared" si="17"/>
        <v>1115374.1388480058</v>
      </c>
      <c r="AR57" s="123">
        <f t="shared" si="17"/>
        <v>1049565.1388480058</v>
      </c>
      <c r="AS57" s="123">
        <f t="shared" si="17"/>
        <v>0</v>
      </c>
      <c r="AT57" s="126">
        <f t="shared" si="13"/>
        <v>44549156.553920262</v>
      </c>
    </row>
    <row r="58" spans="1:46" x14ac:dyDescent="0.2">
      <c r="A58" s="486">
        <f t="shared" si="10"/>
        <v>28</v>
      </c>
      <c r="B58" s="21" t="s">
        <v>69</v>
      </c>
      <c r="C58" s="21"/>
      <c r="D58" s="523"/>
      <c r="E58" s="57">
        <f>$F22*E62</f>
        <v>1654444.2661753991</v>
      </c>
      <c r="F58" s="123">
        <f t="shared" ref="F58:AS58" si="18">$F22*F62</f>
        <v>3184915.5086720549</v>
      </c>
      <c r="G58" s="123">
        <f t="shared" si="18"/>
        <v>2945793.1640675035</v>
      </c>
      <c r="H58" s="123">
        <f t="shared" si="18"/>
        <v>2725200.5952441171</v>
      </c>
      <c r="I58" s="123">
        <f t="shared" si="18"/>
        <v>2520490.6913760146</v>
      </c>
      <c r="J58" s="123">
        <f t="shared" si="18"/>
        <v>2331663.4524631957</v>
      </c>
      <c r="K58" s="123">
        <f t="shared" si="18"/>
        <v>2156512.952817427</v>
      </c>
      <c r="L58" s="123">
        <f t="shared" si="18"/>
        <v>1995039.1924387079</v>
      </c>
      <c r="M58" s="123">
        <f t="shared" si="18"/>
        <v>1968568.0841799015</v>
      </c>
      <c r="N58" s="123">
        <f t="shared" si="18"/>
        <v>1968126.899042255</v>
      </c>
      <c r="O58" s="123">
        <f t="shared" si="18"/>
        <v>1968568.0841799015</v>
      </c>
      <c r="P58" s="123">
        <f t="shared" si="18"/>
        <v>1968126.899042255</v>
      </c>
      <c r="Q58" s="123">
        <f t="shared" si="18"/>
        <v>1968568.0841799015</v>
      </c>
      <c r="R58" s="123">
        <f t="shared" si="18"/>
        <v>1968126.899042255</v>
      </c>
      <c r="S58" s="123">
        <f t="shared" si="18"/>
        <v>1968568.0841799015</v>
      </c>
      <c r="T58" s="123">
        <f t="shared" si="18"/>
        <v>1968126.899042255</v>
      </c>
      <c r="U58" s="123">
        <f t="shared" si="18"/>
        <v>1968568.0841799015</v>
      </c>
      <c r="V58" s="123">
        <f t="shared" si="18"/>
        <v>1968126.899042255</v>
      </c>
      <c r="W58" s="123">
        <f t="shared" si="18"/>
        <v>1968568.0841799015</v>
      </c>
      <c r="X58" s="123">
        <f t="shared" si="18"/>
        <v>1968126.899042255</v>
      </c>
      <c r="Y58" s="123">
        <f t="shared" si="18"/>
        <v>984284.04208995076</v>
      </c>
      <c r="Z58" s="123">
        <f t="shared" si="18"/>
        <v>0</v>
      </c>
      <c r="AA58" s="123">
        <f t="shared" si="18"/>
        <v>0</v>
      </c>
      <c r="AB58" s="123">
        <f t="shared" si="18"/>
        <v>0</v>
      </c>
      <c r="AC58" s="123">
        <f t="shared" si="18"/>
        <v>0</v>
      </c>
      <c r="AD58" s="123">
        <f t="shared" si="18"/>
        <v>0</v>
      </c>
      <c r="AE58" s="123">
        <f t="shared" si="18"/>
        <v>0</v>
      </c>
      <c r="AF58" s="123">
        <f t="shared" si="18"/>
        <v>0</v>
      </c>
      <c r="AG58" s="123">
        <f t="shared" si="18"/>
        <v>0</v>
      </c>
      <c r="AH58" s="123">
        <f t="shared" si="18"/>
        <v>0</v>
      </c>
      <c r="AI58" s="123">
        <f t="shared" si="18"/>
        <v>0</v>
      </c>
      <c r="AJ58" s="123">
        <f t="shared" si="18"/>
        <v>0</v>
      </c>
      <c r="AK58" s="123">
        <f t="shared" si="18"/>
        <v>0</v>
      </c>
      <c r="AL58" s="123">
        <f t="shared" si="18"/>
        <v>0</v>
      </c>
      <c r="AM58" s="123">
        <f t="shared" si="18"/>
        <v>0</v>
      </c>
      <c r="AN58" s="123">
        <f t="shared" si="18"/>
        <v>0</v>
      </c>
      <c r="AO58" s="123">
        <f t="shared" si="18"/>
        <v>0</v>
      </c>
      <c r="AP58" s="123">
        <f t="shared" si="18"/>
        <v>0</v>
      </c>
      <c r="AQ58" s="123">
        <f t="shared" si="18"/>
        <v>0</v>
      </c>
      <c r="AR58" s="123">
        <f t="shared" si="18"/>
        <v>0</v>
      </c>
      <c r="AS58" s="123">
        <f t="shared" si="18"/>
        <v>0</v>
      </c>
      <c r="AT58" s="126">
        <f t="shared" si="13"/>
        <v>44118513.764677308</v>
      </c>
    </row>
    <row r="59" spans="1:46" x14ac:dyDescent="0.2">
      <c r="A59" s="486">
        <f t="shared" si="10"/>
        <v>29</v>
      </c>
      <c r="B59" s="21" t="s">
        <v>70</v>
      </c>
      <c r="C59" s="21"/>
      <c r="D59" s="523"/>
      <c r="E59" s="57">
        <f>E58-E57</f>
        <v>539070.12732739327</v>
      </c>
      <c r="F59" s="123">
        <f>F58-F57</f>
        <v>2069541.3698240491</v>
      </c>
      <c r="G59" s="123">
        <f>G58-G57</f>
        <v>1830419.0252194977</v>
      </c>
      <c r="H59" s="123">
        <f t="shared" ref="H59:AS59" si="19">H58-H57</f>
        <v>1609826.4563961113</v>
      </c>
      <c r="I59" s="123">
        <f t="shared" si="19"/>
        <v>1405116.5525280088</v>
      </c>
      <c r="J59" s="123">
        <f t="shared" si="19"/>
        <v>1216289.3136151899</v>
      </c>
      <c r="K59" s="123">
        <f t="shared" si="19"/>
        <v>1041138.8139694212</v>
      </c>
      <c r="L59" s="123">
        <f t="shared" si="19"/>
        <v>879665.05359070213</v>
      </c>
      <c r="M59" s="123">
        <f t="shared" si="19"/>
        <v>853193.94533189572</v>
      </c>
      <c r="N59" s="123">
        <f t="shared" si="19"/>
        <v>852752.76019424922</v>
      </c>
      <c r="O59" s="123">
        <f t="shared" si="19"/>
        <v>853193.94533189572</v>
      </c>
      <c r="P59" s="123">
        <f t="shared" si="19"/>
        <v>852752.76019424922</v>
      </c>
      <c r="Q59" s="123">
        <f t="shared" si="19"/>
        <v>853193.94533189572</v>
      </c>
      <c r="R59" s="123">
        <f t="shared" si="19"/>
        <v>852752.76019424922</v>
      </c>
      <c r="S59" s="123">
        <f t="shared" si="19"/>
        <v>853193.94533189572</v>
      </c>
      <c r="T59" s="123">
        <f t="shared" si="19"/>
        <v>852752.76019424922</v>
      </c>
      <c r="U59" s="123">
        <f t="shared" si="19"/>
        <v>853193.94533189572</v>
      </c>
      <c r="V59" s="123">
        <f t="shared" si="19"/>
        <v>852752.76019424922</v>
      </c>
      <c r="W59" s="123">
        <f t="shared" si="19"/>
        <v>853193.94533189572</v>
      </c>
      <c r="X59" s="123">
        <f t="shared" si="19"/>
        <v>852752.76019424922</v>
      </c>
      <c r="Y59" s="123">
        <f t="shared" si="19"/>
        <v>-131090.09675805504</v>
      </c>
      <c r="Z59" s="123">
        <f t="shared" si="19"/>
        <v>-1115374.1388480058</v>
      </c>
      <c r="AA59" s="123">
        <f t="shared" si="19"/>
        <v>-1115374.1388480058</v>
      </c>
      <c r="AB59" s="123">
        <f t="shared" si="19"/>
        <v>-1115374.1388480058</v>
      </c>
      <c r="AC59" s="123">
        <f t="shared" si="19"/>
        <v>-1115374.1388480058</v>
      </c>
      <c r="AD59" s="123">
        <f t="shared" si="19"/>
        <v>-1115374.1388480058</v>
      </c>
      <c r="AE59" s="123">
        <f t="shared" si="19"/>
        <v>-1115374.1388480058</v>
      </c>
      <c r="AF59" s="123">
        <f t="shared" si="19"/>
        <v>-1115374.1388480058</v>
      </c>
      <c r="AG59" s="123">
        <f t="shared" si="19"/>
        <v>-1115374.1388480058</v>
      </c>
      <c r="AH59" s="123">
        <f t="shared" si="19"/>
        <v>-1115374.1388480058</v>
      </c>
      <c r="AI59" s="123">
        <f t="shared" si="19"/>
        <v>-1115374.1388480058</v>
      </c>
      <c r="AJ59" s="123">
        <f t="shared" si="19"/>
        <v>-1115374.1388480058</v>
      </c>
      <c r="AK59" s="123">
        <f t="shared" si="19"/>
        <v>-1115374.1388480058</v>
      </c>
      <c r="AL59" s="123">
        <f t="shared" si="19"/>
        <v>-1115374.1388480058</v>
      </c>
      <c r="AM59" s="123">
        <f t="shared" si="19"/>
        <v>-1115374.1388480058</v>
      </c>
      <c r="AN59" s="123">
        <f t="shared" si="19"/>
        <v>-1115374.1388480058</v>
      </c>
      <c r="AO59" s="123">
        <f t="shared" si="19"/>
        <v>-1115374.1388480058</v>
      </c>
      <c r="AP59" s="123">
        <f t="shared" si="19"/>
        <v>-1115374.1388480058</v>
      </c>
      <c r="AQ59" s="123">
        <f t="shared" si="19"/>
        <v>-1115374.1388480058</v>
      </c>
      <c r="AR59" s="123">
        <f t="shared" si="19"/>
        <v>-1049565.1388480058</v>
      </c>
      <c r="AS59" s="123">
        <f t="shared" si="19"/>
        <v>0</v>
      </c>
      <c r="AT59" s="126">
        <f t="shared" si="13"/>
        <v>-430642.78924293444</v>
      </c>
    </row>
    <row r="60" spans="1:46" x14ac:dyDescent="0.2">
      <c r="A60" s="486">
        <f t="shared" si="10"/>
        <v>30</v>
      </c>
      <c r="B60" s="21" t="s">
        <v>71</v>
      </c>
      <c r="C60" s="21"/>
      <c r="D60" s="523"/>
      <c r="E60" s="57">
        <f>E59*F15</f>
        <v>113204.72673875258</v>
      </c>
      <c r="F60" s="123">
        <f t="shared" ref="F60:AS60" si="20">F59*$F$15</f>
        <v>434603.68766305031</v>
      </c>
      <c r="G60" s="123">
        <f t="shared" si="20"/>
        <v>384387.99529609451</v>
      </c>
      <c r="H60" s="123">
        <f t="shared" si="20"/>
        <v>338063.55584318336</v>
      </c>
      <c r="I60" s="123">
        <f t="shared" si="20"/>
        <v>295074.47603088187</v>
      </c>
      <c r="J60" s="123">
        <f t="shared" si="20"/>
        <v>255420.75585918987</v>
      </c>
      <c r="K60" s="123">
        <f t="shared" si="20"/>
        <v>218639.15093357844</v>
      </c>
      <c r="L60" s="123">
        <f t="shared" si="20"/>
        <v>184729.66125404745</v>
      </c>
      <c r="M60" s="123">
        <f t="shared" si="20"/>
        <v>179170.72851969808</v>
      </c>
      <c r="N60" s="123">
        <f t="shared" si="20"/>
        <v>179078.07964079233</v>
      </c>
      <c r="O60" s="123">
        <f t="shared" si="20"/>
        <v>179170.72851969808</v>
      </c>
      <c r="P60" s="123">
        <f t="shared" si="20"/>
        <v>179078.07964079233</v>
      </c>
      <c r="Q60" s="123">
        <f t="shared" si="20"/>
        <v>179170.72851969808</v>
      </c>
      <c r="R60" s="123">
        <f t="shared" si="20"/>
        <v>179078.07964079233</v>
      </c>
      <c r="S60" s="123">
        <f t="shared" si="20"/>
        <v>179170.72851969808</v>
      </c>
      <c r="T60" s="123">
        <f t="shared" si="20"/>
        <v>179078.07964079233</v>
      </c>
      <c r="U60" s="123">
        <f t="shared" si="20"/>
        <v>179170.72851969808</v>
      </c>
      <c r="V60" s="123">
        <f t="shared" si="20"/>
        <v>179078.07964079233</v>
      </c>
      <c r="W60" s="123">
        <f t="shared" si="20"/>
        <v>179170.72851969808</v>
      </c>
      <c r="X60" s="123">
        <f t="shared" si="20"/>
        <v>179078.07964079233</v>
      </c>
      <c r="Y60" s="123">
        <f t="shared" si="20"/>
        <v>-27528.920319191555</v>
      </c>
      <c r="Z60" s="123">
        <f t="shared" si="20"/>
        <v>-234228.5691580812</v>
      </c>
      <c r="AA60" s="123">
        <f t="shared" si="20"/>
        <v>-234228.5691580812</v>
      </c>
      <c r="AB60" s="123">
        <f t="shared" si="20"/>
        <v>-234228.5691580812</v>
      </c>
      <c r="AC60" s="123">
        <f t="shared" si="20"/>
        <v>-234228.5691580812</v>
      </c>
      <c r="AD60" s="123">
        <f t="shared" si="20"/>
        <v>-234228.5691580812</v>
      </c>
      <c r="AE60" s="123">
        <f t="shared" si="20"/>
        <v>-234228.5691580812</v>
      </c>
      <c r="AF60" s="123">
        <f t="shared" si="20"/>
        <v>-234228.5691580812</v>
      </c>
      <c r="AG60" s="123">
        <f t="shared" si="20"/>
        <v>-234228.5691580812</v>
      </c>
      <c r="AH60" s="123">
        <f t="shared" si="20"/>
        <v>-234228.5691580812</v>
      </c>
      <c r="AI60" s="123">
        <f t="shared" si="20"/>
        <v>-234228.5691580812</v>
      </c>
      <c r="AJ60" s="123">
        <f t="shared" si="20"/>
        <v>-234228.5691580812</v>
      </c>
      <c r="AK60" s="123">
        <f t="shared" si="20"/>
        <v>-234228.5691580812</v>
      </c>
      <c r="AL60" s="123">
        <f t="shared" si="20"/>
        <v>-234228.5691580812</v>
      </c>
      <c r="AM60" s="123">
        <f t="shared" si="20"/>
        <v>-234228.5691580812</v>
      </c>
      <c r="AN60" s="123">
        <f t="shared" si="20"/>
        <v>-234228.5691580812</v>
      </c>
      <c r="AO60" s="123">
        <f t="shared" si="20"/>
        <v>-234228.5691580812</v>
      </c>
      <c r="AP60" s="123">
        <f t="shared" si="20"/>
        <v>-234228.5691580812</v>
      </c>
      <c r="AQ60" s="123">
        <f t="shared" si="20"/>
        <v>-234228.5691580812</v>
      </c>
      <c r="AR60" s="123">
        <f t="shared" si="20"/>
        <v>-220408.67915808121</v>
      </c>
      <c r="AS60" s="123">
        <f t="shared" si="20"/>
        <v>0</v>
      </c>
      <c r="AT60" s="126">
        <f t="shared" si="13"/>
        <v>-90434.985741011013</v>
      </c>
    </row>
    <row r="61" spans="1:46" x14ac:dyDescent="0.2">
      <c r="A61" s="486">
        <f t="shared" si="10"/>
        <v>31</v>
      </c>
      <c r="B61" s="21"/>
      <c r="C61" s="21"/>
      <c r="D61" s="523"/>
      <c r="E61" s="108"/>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523"/>
    </row>
    <row r="62" spans="1:46" s="69" customFormat="1" x14ac:dyDescent="0.2">
      <c r="A62" s="486">
        <f t="shared" si="10"/>
        <v>32</v>
      </c>
      <c r="B62" s="21" t="str">
        <f t="shared" ref="B62" si="21">IF($F$18=1,B66,B65)</f>
        <v>MACRS Depreciation - 20</v>
      </c>
      <c r="C62" s="21"/>
      <c r="D62" s="66"/>
      <c r="E62" s="81">
        <f t="shared" ref="E62:Y62" si="22">IF($F$18=1,E66,E65)</f>
        <v>3.7499999999999999E-2</v>
      </c>
      <c r="F62" s="77">
        <f t="shared" si="22"/>
        <v>7.2190000000000004E-2</v>
      </c>
      <c r="G62" s="77">
        <f t="shared" si="22"/>
        <v>6.6769999999999996E-2</v>
      </c>
      <c r="H62" s="80">
        <f t="shared" si="22"/>
        <v>6.1769999999999999E-2</v>
      </c>
      <c r="I62" s="80">
        <f t="shared" si="22"/>
        <v>5.713E-2</v>
      </c>
      <c r="J62" s="80">
        <f t="shared" si="22"/>
        <v>5.2850000000000001E-2</v>
      </c>
      <c r="K62" s="80">
        <f t="shared" si="22"/>
        <v>4.888E-2</v>
      </c>
      <c r="L62" s="80">
        <f t="shared" si="22"/>
        <v>4.5220000000000003E-2</v>
      </c>
      <c r="M62" s="80">
        <f t="shared" si="22"/>
        <v>4.462E-2</v>
      </c>
      <c r="N62" s="80">
        <f t="shared" si="22"/>
        <v>4.4610000000000004E-2</v>
      </c>
      <c r="O62" s="80">
        <f t="shared" si="22"/>
        <v>4.462E-2</v>
      </c>
      <c r="P62" s="80">
        <f t="shared" si="22"/>
        <v>4.4610000000000004E-2</v>
      </c>
      <c r="Q62" s="80">
        <f t="shared" si="22"/>
        <v>4.462E-2</v>
      </c>
      <c r="R62" s="80">
        <f t="shared" si="22"/>
        <v>4.4610000000000004E-2</v>
      </c>
      <c r="S62" s="80">
        <f t="shared" si="22"/>
        <v>4.462E-2</v>
      </c>
      <c r="T62" s="80">
        <f t="shared" si="22"/>
        <v>4.4610000000000004E-2</v>
      </c>
      <c r="U62" s="80">
        <f t="shared" si="22"/>
        <v>4.462E-2</v>
      </c>
      <c r="V62" s="80">
        <f t="shared" si="22"/>
        <v>4.4610000000000004E-2</v>
      </c>
      <c r="W62" s="80">
        <f t="shared" si="22"/>
        <v>4.462E-2</v>
      </c>
      <c r="X62" s="80">
        <f t="shared" si="22"/>
        <v>4.4610000000000004E-2</v>
      </c>
      <c r="Y62" s="80">
        <f t="shared" si="22"/>
        <v>2.231E-2</v>
      </c>
      <c r="Z62" s="67"/>
      <c r="AA62" s="67"/>
      <c r="AB62" s="67"/>
      <c r="AC62" s="67"/>
      <c r="AD62" s="67"/>
      <c r="AE62" s="67"/>
      <c r="AF62" s="67"/>
      <c r="AG62" s="67"/>
      <c r="AH62" s="67"/>
      <c r="AI62" s="67"/>
      <c r="AJ62" s="67"/>
      <c r="AK62" s="67"/>
      <c r="AL62" s="67"/>
      <c r="AM62" s="67"/>
      <c r="AN62" s="67"/>
      <c r="AO62" s="67"/>
      <c r="AP62" s="66"/>
    </row>
    <row r="63" spans="1:46" outlineLevel="1" x14ac:dyDescent="0.25">
      <c r="A63" s="486">
        <f t="shared" si="10"/>
        <v>33</v>
      </c>
      <c r="B63" s="21"/>
      <c r="C63" s="527"/>
      <c r="E63" s="528"/>
      <c r="F63" s="529"/>
      <c r="G63" s="529"/>
      <c r="H63" s="529"/>
      <c r="I63" s="529"/>
      <c r="J63" s="529"/>
      <c r="K63" s="529"/>
      <c r="L63" s="529"/>
      <c r="M63" s="530"/>
      <c r="N63" s="530"/>
      <c r="O63" s="530"/>
      <c r="P63" s="530"/>
      <c r="Q63" s="530"/>
      <c r="R63" s="530"/>
      <c r="S63" s="530"/>
      <c r="T63" s="530"/>
      <c r="U63" s="530"/>
      <c r="V63" s="530"/>
      <c r="W63" s="530"/>
      <c r="X63" s="530"/>
      <c r="Y63" s="530"/>
      <c r="Z63" s="523"/>
      <c r="AA63" s="523"/>
      <c r="AB63" s="523"/>
      <c r="AC63" s="523"/>
      <c r="AD63" s="523"/>
      <c r="AE63" s="523"/>
      <c r="AF63" s="523"/>
      <c r="AG63" s="523"/>
      <c r="AH63" s="523"/>
      <c r="AI63" s="523"/>
      <c r="AJ63" s="523"/>
      <c r="AK63" s="523"/>
      <c r="AL63" s="523"/>
      <c r="AM63" s="523"/>
      <c r="AN63" s="523"/>
      <c r="AO63" s="22"/>
    </row>
    <row r="64" spans="1:46" outlineLevel="1" x14ac:dyDescent="0.25">
      <c r="A64" s="486">
        <f t="shared" si="10"/>
        <v>34</v>
      </c>
      <c r="B64" s="21"/>
      <c r="C64" s="527"/>
      <c r="E64" s="528"/>
      <c r="F64" s="529"/>
      <c r="G64" s="529"/>
      <c r="H64" s="529"/>
      <c r="I64" s="529"/>
      <c r="J64" s="529"/>
      <c r="K64" s="529"/>
      <c r="L64" s="529"/>
      <c r="M64" s="530"/>
      <c r="N64" s="530"/>
      <c r="O64" s="530"/>
      <c r="P64" s="530"/>
      <c r="Q64" s="530"/>
      <c r="R64" s="530"/>
      <c r="S64" s="530"/>
      <c r="T64" s="530"/>
      <c r="U64" s="530"/>
      <c r="V64" s="530"/>
      <c r="W64" s="530"/>
      <c r="X64" s="530"/>
      <c r="Y64" s="530"/>
      <c r="Z64" s="523"/>
      <c r="AA64" s="523"/>
      <c r="AB64" s="523"/>
      <c r="AC64" s="523"/>
      <c r="AD64" s="523"/>
      <c r="AE64" s="523"/>
      <c r="AF64" s="523"/>
      <c r="AG64" s="523"/>
      <c r="AH64" s="523"/>
      <c r="AI64" s="523"/>
      <c r="AJ64" s="523"/>
      <c r="AK64" s="523"/>
      <c r="AL64" s="523"/>
      <c r="AM64" s="523"/>
      <c r="AN64" s="523"/>
      <c r="AO64" s="22"/>
    </row>
    <row r="65" spans="1:42" s="69" customFormat="1" x14ac:dyDescent="0.25">
      <c r="A65" s="486">
        <f t="shared" si="10"/>
        <v>35</v>
      </c>
      <c r="B65" s="21" t="s">
        <v>72</v>
      </c>
      <c r="C65" s="21"/>
      <c r="D65" s="70">
        <v>0</v>
      </c>
      <c r="E65" s="78">
        <f>'MACRS 20'!B5</f>
        <v>3.7499999999999999E-2</v>
      </c>
      <c r="F65" s="77">
        <f>'MACRS 20'!C5</f>
        <v>7.2190000000000004E-2</v>
      </c>
      <c r="G65" s="77">
        <f>'MACRS 20'!D5</f>
        <v>6.6769999999999996E-2</v>
      </c>
      <c r="H65" s="79">
        <f>'MACRS 20'!E5</f>
        <v>6.1769999999999999E-2</v>
      </c>
      <c r="I65" s="79">
        <f>'MACRS 20'!F5</f>
        <v>5.713E-2</v>
      </c>
      <c r="J65" s="79">
        <f>'MACRS 20'!G5</f>
        <v>5.2850000000000001E-2</v>
      </c>
      <c r="K65" s="79">
        <f>'MACRS 20'!H5</f>
        <v>4.888E-2</v>
      </c>
      <c r="L65" s="79">
        <f>'MACRS 20'!I5</f>
        <v>4.5220000000000003E-2</v>
      </c>
      <c r="M65" s="79">
        <f>'MACRS 20'!J5</f>
        <v>4.462E-2</v>
      </c>
      <c r="N65" s="79">
        <f>'MACRS 20'!K5</f>
        <v>4.4610000000000004E-2</v>
      </c>
      <c r="O65" s="79">
        <f>'MACRS 20'!L5</f>
        <v>4.462E-2</v>
      </c>
      <c r="P65" s="79">
        <f>'MACRS 20'!M5</f>
        <v>4.4610000000000004E-2</v>
      </c>
      <c r="Q65" s="79">
        <f>'MACRS 20'!N5</f>
        <v>4.462E-2</v>
      </c>
      <c r="R65" s="79">
        <f>'MACRS 20'!O5</f>
        <v>4.4610000000000004E-2</v>
      </c>
      <c r="S65" s="79">
        <f>'MACRS 20'!P5</f>
        <v>4.462E-2</v>
      </c>
      <c r="T65" s="79">
        <f>'MACRS 20'!Q5</f>
        <v>4.4610000000000004E-2</v>
      </c>
      <c r="U65" s="79">
        <f>'MACRS 20'!R5</f>
        <v>4.462E-2</v>
      </c>
      <c r="V65" s="79">
        <f>'MACRS 20'!S5</f>
        <v>4.4610000000000004E-2</v>
      </c>
      <c r="W65" s="79">
        <f>'MACRS 20'!T5</f>
        <v>4.462E-2</v>
      </c>
      <c r="X65" s="79">
        <f>'MACRS 20'!U5</f>
        <v>4.4610000000000004E-2</v>
      </c>
      <c r="Y65" s="79">
        <f>'MACRS 20'!V5</f>
        <v>2.231E-2</v>
      </c>
      <c r="Z65" s="71"/>
      <c r="AA65" s="67"/>
      <c r="AB65" s="67"/>
      <c r="AC65" s="67"/>
      <c r="AD65" s="67"/>
      <c r="AE65" s="67"/>
      <c r="AF65" s="67"/>
      <c r="AG65" s="67"/>
      <c r="AH65" s="67"/>
      <c r="AI65" s="67"/>
      <c r="AJ65" s="67"/>
      <c r="AK65" s="67"/>
      <c r="AL65" s="67"/>
      <c r="AM65" s="67"/>
      <c r="AN65" s="66"/>
      <c r="AP65" s="72"/>
    </row>
    <row r="66" spans="1:42" x14ac:dyDescent="0.2">
      <c r="A66" s="486">
        <f t="shared" si="10"/>
        <v>36</v>
      </c>
      <c r="B66" s="21" t="s">
        <v>73</v>
      </c>
      <c r="C66" s="21"/>
      <c r="D66" s="70">
        <v>0</v>
      </c>
      <c r="E66" s="78">
        <f>'MACRS 20'!B6</f>
        <v>0.51875000000000004</v>
      </c>
      <c r="F66" s="77">
        <f>'MACRS 20'!C6</f>
        <v>3.6095000000000002E-2</v>
      </c>
      <c r="G66" s="77">
        <f>'MACRS 20'!D6</f>
        <v>3.3384999999999998E-2</v>
      </c>
      <c r="H66" s="80">
        <f>'MACRS 20'!E6</f>
        <v>3.0884999999999999E-2</v>
      </c>
      <c r="I66" s="80">
        <f>'MACRS 20'!F6</f>
        <v>2.8565E-2</v>
      </c>
      <c r="J66" s="80">
        <f>'MACRS 20'!G6</f>
        <v>2.6425000000000001E-2</v>
      </c>
      <c r="K66" s="80">
        <f>'MACRS 20'!H6</f>
        <v>2.444E-2</v>
      </c>
      <c r="L66" s="80">
        <f>'MACRS 20'!I6</f>
        <v>2.2610000000000002E-2</v>
      </c>
      <c r="M66" s="80">
        <f>'MACRS 20'!J6</f>
        <v>2.231E-2</v>
      </c>
      <c r="N66" s="80">
        <f>'MACRS 20'!K6</f>
        <v>2.2305000000000002E-2</v>
      </c>
      <c r="O66" s="80">
        <f>'MACRS 20'!L6</f>
        <v>2.231E-2</v>
      </c>
      <c r="P66" s="80">
        <f>'MACRS 20'!M6</f>
        <v>2.2305000000000002E-2</v>
      </c>
      <c r="Q66" s="80">
        <f>'MACRS 20'!N6</f>
        <v>2.231E-2</v>
      </c>
      <c r="R66" s="80">
        <f>'MACRS 20'!O6</f>
        <v>2.2305000000000002E-2</v>
      </c>
      <c r="S66" s="80">
        <f>'MACRS 20'!P6</f>
        <v>2.231E-2</v>
      </c>
      <c r="T66" s="80">
        <f>'MACRS 20'!Q6</f>
        <v>2.2305000000000002E-2</v>
      </c>
      <c r="U66" s="80">
        <f>'MACRS 20'!R6</f>
        <v>2.231E-2</v>
      </c>
      <c r="V66" s="80">
        <f>'MACRS 20'!S6</f>
        <v>2.2305000000000002E-2</v>
      </c>
      <c r="W66" s="80">
        <f>'MACRS 20'!T6</f>
        <v>2.231E-2</v>
      </c>
      <c r="X66" s="80">
        <f>'MACRS 20'!U6</f>
        <v>2.2305000000000002E-2</v>
      </c>
      <c r="Y66" s="80">
        <f>'MACRS 20'!V6</f>
        <v>1.1155E-2</v>
      </c>
      <c r="Z66" s="68"/>
      <c r="AA66" s="68"/>
      <c r="AB66" s="73"/>
      <c r="AC66" s="73"/>
      <c r="AD66" s="73"/>
      <c r="AE66" s="73"/>
      <c r="AF66" s="73"/>
      <c r="AG66" s="73"/>
      <c r="AH66" s="73"/>
      <c r="AI66" s="73"/>
      <c r="AJ66" s="73"/>
      <c r="AK66" s="73"/>
      <c r="AL66" s="73"/>
      <c r="AM66" s="73"/>
      <c r="AN66" s="523"/>
      <c r="AO66" s="22"/>
      <c r="AP66" s="72">
        <f>SUM(D66:AO66)</f>
        <v>1.0000000000000004</v>
      </c>
    </row>
    <row r="69" spans="1:42" x14ac:dyDescent="0.25">
      <c r="B69" s="74"/>
    </row>
  </sheetData>
  <mergeCells count="1">
    <mergeCell ref="E1:F1"/>
  </mergeCells>
  <printOptions horizontalCentered="1"/>
  <pageMargins left="0.25" right="0.25" top="0.75" bottom="0.75" header="0.3" footer="0.3"/>
  <pageSetup scale="44" fitToWidth="2" orientation="landscape" blackAndWhite="1" r:id="rId1"/>
  <headerFooter alignWithMargins="0">
    <oddFooter>&amp;L&amp;A
&amp;F&amp;RPage &amp;P of &amp;N</oddFooter>
  </headerFooter>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29" activePane="bottomRight" state="frozen"/>
      <selection activeCell="S42" sqref="S42"/>
      <selection pane="topRight" activeCell="S42" sqref="S42"/>
      <selection pane="bottomLeft" activeCell="S42" sqref="S42"/>
      <selection pane="bottomRight" activeCell="I54" sqref="I54"/>
    </sheetView>
  </sheetViews>
  <sheetFormatPr defaultColWidth="10.28515625" defaultRowHeight="15" outlineLevelRow="1" outlineLevelCol="1" x14ac:dyDescent="0.2"/>
  <cols>
    <col min="1" max="1" width="5.7109375" style="53" customWidth="1"/>
    <col min="2" max="2" width="7.42578125" style="53" customWidth="1"/>
    <col min="3" max="3" width="26.42578125" style="53" customWidth="1"/>
    <col min="4" max="4" width="15.5703125" style="22" customWidth="1"/>
    <col min="5" max="5" width="13.5703125" style="75" customWidth="1"/>
    <col min="6" max="6" width="13.42578125" style="75" customWidth="1"/>
    <col min="7" max="7" width="17.28515625" style="75" customWidth="1"/>
    <col min="8" max="8" width="12.5703125" style="75" customWidth="1"/>
    <col min="9" max="25" width="12.7109375" style="75" bestFit="1" customWidth="1"/>
    <col min="26" max="35" width="13" style="75" bestFit="1" customWidth="1"/>
    <col min="36" max="38" width="12.28515625" style="75" bestFit="1" customWidth="1"/>
    <col min="39" max="39" width="17" style="75" customWidth="1" outlineLevel="1"/>
    <col min="40" max="40" width="13" style="75" customWidth="1" outlineLevel="1"/>
    <col min="41" max="41" width="14.28515625" style="75" customWidth="1" outlineLevel="1"/>
    <col min="42" max="42" width="12.7109375" style="22" bestFit="1" customWidth="1"/>
    <col min="43" max="43" width="12.28515625" style="22" customWidth="1"/>
    <col min="44" max="45" width="14" style="22" customWidth="1"/>
    <col min="46" max="46" width="14.28515625" style="22" bestFit="1" customWidth="1"/>
    <col min="47" max="47" width="16.5703125" style="22" customWidth="1"/>
    <col min="48" max="48" width="15" style="22" bestFit="1" customWidth="1"/>
    <col min="49" max="16384" width="10.28515625" style="22"/>
  </cols>
  <sheetData>
    <row r="1" spans="1:41" ht="17.25" customHeight="1" x14ac:dyDescent="0.25">
      <c r="A1" s="20" t="s">
        <v>0</v>
      </c>
      <c r="B1" s="21"/>
      <c r="C1" s="21"/>
      <c r="E1" s="831"/>
      <c r="F1" s="831"/>
      <c r="G1" s="22"/>
      <c r="H1" s="23"/>
      <c r="I1" s="24"/>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ht="12.75" customHeight="1" x14ac:dyDescent="0.25">
      <c r="A2" s="25" t="s">
        <v>1</v>
      </c>
      <c r="B2" s="21"/>
      <c r="C2" s="21"/>
      <c r="E2" s="22"/>
      <c r="F2" s="24"/>
      <c r="G2" s="2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x14ac:dyDescent="0.25">
      <c r="A3" s="25" t="s">
        <v>2</v>
      </c>
      <c r="B3" s="21"/>
      <c r="C3" s="486" t="s">
        <v>206</v>
      </c>
      <c r="D3" s="523" t="s">
        <v>3</v>
      </c>
      <c r="E3" s="22"/>
      <c r="F3" s="24"/>
      <c r="G3" s="24"/>
      <c r="H3" s="171"/>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ht="7.5" customHeight="1" thickBot="1" x14ac:dyDescent="0.25">
      <c r="A4" s="21"/>
      <c r="B4" s="21"/>
      <c r="C4" s="21"/>
      <c r="E4" s="22"/>
      <c r="F4" s="24"/>
      <c r="G4" s="24"/>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41" x14ac:dyDescent="0.2">
      <c r="A5" s="26" t="s">
        <v>4</v>
      </c>
      <c r="B5" s="27"/>
      <c r="C5" s="27"/>
      <c r="D5" s="169" t="s">
        <v>231</v>
      </c>
      <c r="E5" s="28"/>
      <c r="F5" s="29"/>
      <c r="G5" s="29"/>
      <c r="H5" s="22"/>
      <c r="I5" s="22"/>
      <c r="J5" s="22"/>
      <c r="K5" s="22"/>
      <c r="L5" s="22"/>
      <c r="M5" s="22"/>
      <c r="N5" s="4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x14ac:dyDescent="0.2">
      <c r="A6" s="31"/>
      <c r="B6" s="32"/>
      <c r="C6" s="32"/>
      <c r="D6" s="134" t="s">
        <v>196</v>
      </c>
      <c r="E6" s="134"/>
      <c r="F6" s="135"/>
      <c r="G6" s="135" t="s">
        <v>329</v>
      </c>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x14ac:dyDescent="0.2">
      <c r="A7" s="31"/>
      <c r="B7" s="32"/>
      <c r="C7" s="32"/>
      <c r="D7" s="35"/>
      <c r="E7" s="35"/>
      <c r="F7" s="36" t="s">
        <v>5</v>
      </c>
      <c r="G7" s="36" t="s">
        <v>5</v>
      </c>
      <c r="H7" s="22"/>
      <c r="I7" s="22"/>
      <c r="J7" s="22"/>
      <c r="K7" s="22"/>
      <c r="L7" s="22"/>
      <c r="M7" s="136"/>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spans="1:41" x14ac:dyDescent="0.2">
      <c r="A8" s="31" t="s">
        <v>6</v>
      </c>
      <c r="B8" s="32"/>
      <c r="C8" s="32"/>
      <c r="D8" s="38" t="s">
        <v>7</v>
      </c>
      <c r="E8" s="38" t="s">
        <v>8</v>
      </c>
      <c r="F8" s="39" t="s">
        <v>8</v>
      </c>
      <c r="G8" s="39" t="s">
        <v>8</v>
      </c>
      <c r="H8" s="22"/>
      <c r="I8" s="22"/>
      <c r="J8" s="22"/>
      <c r="K8" s="22"/>
      <c r="L8" s="22"/>
      <c r="M8" s="127"/>
      <c r="N8" s="4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spans="1:41" x14ac:dyDescent="0.2">
      <c r="A9" s="31"/>
      <c r="B9" s="32"/>
      <c r="C9" s="32"/>
      <c r="D9" s="33"/>
      <c r="E9" s="33"/>
      <c r="F9" s="40"/>
      <c r="G9" s="40"/>
      <c r="H9" s="22"/>
      <c r="I9" s="22"/>
      <c r="J9" s="22"/>
      <c r="K9" s="22"/>
      <c r="L9" s="22"/>
      <c r="M9" s="127"/>
      <c r="N9" s="41"/>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spans="1:41" x14ac:dyDescent="0.2">
      <c r="A10" s="31"/>
      <c r="B10" s="32"/>
      <c r="C10" s="32"/>
      <c r="D10" s="42"/>
      <c r="E10" s="42"/>
      <c r="F10" s="43"/>
      <c r="G10" s="43"/>
      <c r="H10" s="22"/>
      <c r="I10" s="22"/>
      <c r="J10" s="22"/>
      <c r="K10" s="22"/>
      <c r="L10" s="22"/>
      <c r="M10" s="127"/>
      <c r="N10" s="41"/>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x14ac:dyDescent="0.2">
      <c r="A11" s="31" t="s">
        <v>173</v>
      </c>
      <c r="B11" s="32"/>
      <c r="C11" s="32"/>
      <c r="D11" s="42">
        <f>'2019 GRC'!C12</f>
        <v>0.51500000000000001</v>
      </c>
      <c r="E11" s="42">
        <f>'2019 GRC'!D12</f>
        <v>5.4951456310679617E-2</v>
      </c>
      <c r="F11" s="43">
        <f>'2019 GRC'!E12</f>
        <v>2.8299999999999999E-2</v>
      </c>
      <c r="G11" s="43">
        <f>+F11</f>
        <v>2.8299999999999999E-2</v>
      </c>
      <c r="H11" s="22"/>
      <c r="I11" s="22"/>
      <c r="J11" s="22"/>
      <c r="K11" s="22"/>
      <c r="L11" s="22"/>
      <c r="M11" s="127"/>
      <c r="N11" s="41"/>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1" x14ac:dyDescent="0.2">
      <c r="A12" s="31" t="s">
        <v>9</v>
      </c>
      <c r="B12" s="32"/>
      <c r="C12" s="32"/>
      <c r="D12" s="44">
        <f>'2019 GRC'!C13</f>
        <v>0.48499999999999999</v>
      </c>
      <c r="E12" s="44">
        <f>'2019 GRC'!D13</f>
        <v>9.4E-2</v>
      </c>
      <c r="F12" s="45">
        <f>'2019 GRC'!E13</f>
        <v>4.5600000000000002E-2</v>
      </c>
      <c r="G12" s="43">
        <f>+F12</f>
        <v>4.5600000000000002E-2</v>
      </c>
      <c r="H12" s="22"/>
      <c r="I12" s="22"/>
      <c r="J12" s="22"/>
      <c r="K12" s="22"/>
      <c r="L12" s="22"/>
      <c r="M12" s="127"/>
      <c r="N12" s="4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15.75" thickBot="1" x14ac:dyDescent="0.25">
      <c r="A13" s="31" t="s">
        <v>10</v>
      </c>
      <c r="B13" s="32"/>
      <c r="C13" s="32"/>
      <c r="D13" s="46">
        <f>D10+D11+D12</f>
        <v>1</v>
      </c>
      <c r="E13" s="47"/>
      <c r="F13" s="170">
        <f>F10+F11+F12</f>
        <v>7.3899999999999993E-2</v>
      </c>
      <c r="G13" s="170">
        <f>G10+G11+G12</f>
        <v>7.3899999999999993E-2</v>
      </c>
      <c r="H13" s="22"/>
      <c r="I13" s="22"/>
      <c r="J13" s="22"/>
      <c r="K13" s="22"/>
      <c r="L13" s="22"/>
      <c r="M13" s="127"/>
      <c r="N13" s="4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ht="15.75" thickTop="1" x14ac:dyDescent="0.2">
      <c r="A14" s="31"/>
      <c r="B14" s="32"/>
      <c r="C14" s="32"/>
      <c r="D14" s="33"/>
      <c r="E14" s="33"/>
      <c r="F14" s="40"/>
      <c r="G14" s="40"/>
      <c r="H14" s="22"/>
      <c r="I14" s="22"/>
      <c r="J14" s="22"/>
      <c r="K14" s="22"/>
      <c r="L14" s="22"/>
      <c r="M14" s="127"/>
      <c r="N14" s="41"/>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1:41" x14ac:dyDescent="0.2">
      <c r="A15" s="31" t="s">
        <v>11</v>
      </c>
      <c r="B15" s="32"/>
      <c r="C15" s="32"/>
      <c r="D15" s="33"/>
      <c r="E15" s="33"/>
      <c r="F15" s="43">
        <f>'2019 GRC'!I19</f>
        <v>0.21</v>
      </c>
      <c r="G15" s="43">
        <f>+F15</f>
        <v>0.21</v>
      </c>
      <c r="H15" s="22"/>
      <c r="I15" s="22"/>
      <c r="J15" s="22"/>
      <c r="K15" s="22"/>
      <c r="L15" s="22"/>
      <c r="M15" s="127"/>
      <c r="N15" s="41"/>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spans="1:41" x14ac:dyDescent="0.2">
      <c r="A16" s="31" t="s">
        <v>12</v>
      </c>
      <c r="B16" s="32"/>
      <c r="C16" s="32"/>
      <c r="D16" s="33"/>
      <c r="E16" s="33"/>
      <c r="F16" s="43">
        <f>'2019 GRC'!J16</f>
        <v>4.5447000000000001E-2</v>
      </c>
      <c r="G16" s="43">
        <f>'2019 GRC'!$J$38</f>
        <v>4.7447000000000003E-2</v>
      </c>
      <c r="H16" s="22"/>
      <c r="I16" s="22"/>
      <c r="J16" s="22"/>
      <c r="K16" s="22"/>
      <c r="L16" s="22"/>
      <c r="M16" s="127"/>
      <c r="N16" s="41"/>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8" x14ac:dyDescent="0.2">
      <c r="A17" s="31" t="s">
        <v>13</v>
      </c>
      <c r="B17" s="32"/>
      <c r="C17" s="32"/>
      <c r="D17" s="33"/>
      <c r="E17" s="33"/>
      <c r="F17" s="43">
        <v>2.4950006804408419E-2</v>
      </c>
      <c r="G17" s="43">
        <f>+F17</f>
        <v>2.4950006804408419E-2</v>
      </c>
      <c r="H17" s="22"/>
      <c r="I17" s="22"/>
      <c r="J17" s="22"/>
      <c r="K17" s="22"/>
      <c r="L17" s="22"/>
      <c r="M17" s="127"/>
      <c r="N17" s="41"/>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8" x14ac:dyDescent="0.2">
      <c r="A18" s="31" t="s">
        <v>14</v>
      </c>
      <c r="B18" s="32"/>
      <c r="C18" s="32"/>
      <c r="D18" s="33"/>
      <c r="E18" s="33"/>
      <c r="F18" s="49">
        <v>2</v>
      </c>
      <c r="G18" s="49">
        <v>2</v>
      </c>
      <c r="H18" s="22"/>
      <c r="I18" s="22"/>
      <c r="J18" s="22"/>
      <c r="K18" s="22"/>
      <c r="L18" s="22"/>
      <c r="M18" s="127"/>
      <c r="N18" s="41"/>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8" x14ac:dyDescent="0.2">
      <c r="A19" s="31"/>
      <c r="B19" s="32"/>
      <c r="C19" s="32"/>
      <c r="D19" s="33"/>
      <c r="E19" s="33"/>
      <c r="F19" s="34"/>
      <c r="G19" s="34"/>
      <c r="H19" s="22"/>
      <c r="I19" s="22"/>
      <c r="J19" s="22"/>
      <c r="K19" s="22"/>
      <c r="L19" s="22"/>
      <c r="M19" s="127"/>
      <c r="N19" s="41"/>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spans="1:48" x14ac:dyDescent="0.2">
      <c r="A20" s="31" t="s">
        <v>15</v>
      </c>
      <c r="B20" s="32"/>
      <c r="C20" s="32"/>
      <c r="D20" s="33"/>
      <c r="E20" s="33"/>
      <c r="F20" s="34"/>
      <c r="G20" s="34"/>
      <c r="H20" s="22"/>
      <c r="I20" s="22"/>
      <c r="J20" s="22"/>
      <c r="K20" s="22"/>
      <c r="L20" s="22"/>
      <c r="N20" s="137"/>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8" x14ac:dyDescent="0.2">
      <c r="A21" s="31" t="s">
        <v>16</v>
      </c>
      <c r="B21" s="32"/>
      <c r="C21" s="32"/>
      <c r="D21" s="33"/>
      <c r="E21" s="33"/>
      <c r="F21" s="34"/>
      <c r="G21" s="34"/>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spans="1:48" ht="15.75" thickBot="1" x14ac:dyDescent="0.25">
      <c r="A22" s="50" t="s">
        <v>17</v>
      </c>
      <c r="B22" s="51"/>
      <c r="C22" s="51"/>
      <c r="D22" s="51"/>
      <c r="E22" s="52"/>
      <c r="F22" s="76">
        <v>53473094.060000032</v>
      </c>
      <c r="G22" s="76">
        <v>53473094.060000032</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8" ht="6" customHeight="1" x14ac:dyDescent="0.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spans="1:48" ht="6" customHeight="1" x14ac:dyDescent="0.2">
      <c r="B24" s="22"/>
      <c r="C24" s="22"/>
      <c r="D24" s="12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48" x14ac:dyDescent="0.2">
      <c r="A25" s="21"/>
      <c r="B25" s="21"/>
      <c r="C25" s="21"/>
      <c r="D25" s="523"/>
      <c r="E25" s="55" t="s">
        <v>18</v>
      </c>
      <c r="F25" s="116" t="s">
        <v>19</v>
      </c>
      <c r="G25" s="56" t="s">
        <v>20</v>
      </c>
      <c r="H25" s="56" t="s">
        <v>21</v>
      </c>
      <c r="I25" s="56" t="s">
        <v>22</v>
      </c>
      <c r="J25" s="56" t="s">
        <v>23</v>
      </c>
      <c r="K25" s="56" t="s">
        <v>24</v>
      </c>
      <c r="L25" s="56" t="s">
        <v>25</v>
      </c>
      <c r="M25" s="56" t="s">
        <v>26</v>
      </c>
      <c r="N25" s="56" t="s">
        <v>27</v>
      </c>
      <c r="O25" s="56" t="s">
        <v>28</v>
      </c>
      <c r="P25" s="56" t="s">
        <v>29</v>
      </c>
      <c r="Q25" s="56" t="s">
        <v>30</v>
      </c>
      <c r="R25" s="56" t="s">
        <v>31</v>
      </c>
      <c r="S25" s="56" t="s">
        <v>32</v>
      </c>
      <c r="T25" s="56" t="s">
        <v>33</v>
      </c>
      <c r="U25" s="56" t="s">
        <v>34</v>
      </c>
      <c r="V25" s="56" t="s">
        <v>35</v>
      </c>
      <c r="W25" s="56" t="s">
        <v>36</v>
      </c>
      <c r="X25" s="56" t="s">
        <v>37</v>
      </c>
      <c r="Y25" s="56" t="s">
        <v>38</v>
      </c>
      <c r="Z25" s="56" t="s">
        <v>39</v>
      </c>
      <c r="AA25" s="56" t="s">
        <v>40</v>
      </c>
      <c r="AB25" s="56" t="s">
        <v>41</v>
      </c>
      <c r="AC25" s="56" t="s">
        <v>42</v>
      </c>
      <c r="AD25" s="56" t="s">
        <v>43</v>
      </c>
      <c r="AE25" s="56" t="s">
        <v>44</v>
      </c>
      <c r="AF25" s="56" t="s">
        <v>45</v>
      </c>
      <c r="AG25" s="56" t="s">
        <v>46</v>
      </c>
      <c r="AH25" s="56" t="s">
        <v>47</v>
      </c>
      <c r="AI25" s="56" t="s">
        <v>48</v>
      </c>
      <c r="AJ25" s="56" t="s">
        <v>49</v>
      </c>
      <c r="AK25" s="56" t="s">
        <v>50</v>
      </c>
      <c r="AL25" s="56" t="s">
        <v>51</v>
      </c>
      <c r="AM25" s="56" t="s">
        <v>52</v>
      </c>
      <c r="AN25" s="56" t="s">
        <v>74</v>
      </c>
      <c r="AO25" s="56" t="s">
        <v>75</v>
      </c>
      <c r="AP25" s="56" t="s">
        <v>174</v>
      </c>
      <c r="AQ25" s="56" t="s">
        <v>175</v>
      </c>
      <c r="AR25" s="56" t="s">
        <v>176</v>
      </c>
      <c r="AS25" s="22" t="s">
        <v>177</v>
      </c>
    </row>
    <row r="26" spans="1:48" x14ac:dyDescent="0.2">
      <c r="A26" s="21"/>
      <c r="B26" s="21"/>
      <c r="C26" s="21"/>
      <c r="D26" s="523"/>
      <c r="E26" s="106">
        <v>2020</v>
      </c>
      <c r="F26" s="106">
        <v>2021</v>
      </c>
      <c r="G26" s="106">
        <v>2022</v>
      </c>
      <c r="H26" s="106">
        <v>2023</v>
      </c>
      <c r="I26" s="106">
        <v>2024</v>
      </c>
      <c r="J26" s="106">
        <v>2025</v>
      </c>
      <c r="K26" s="106">
        <v>2026</v>
      </c>
      <c r="L26" s="106">
        <v>2027</v>
      </c>
      <c r="M26" s="106">
        <v>2028</v>
      </c>
      <c r="N26" s="106">
        <v>2029</v>
      </c>
      <c r="O26" s="106">
        <v>2030</v>
      </c>
      <c r="P26" s="106">
        <v>2031</v>
      </c>
      <c r="Q26" s="106">
        <v>2032</v>
      </c>
      <c r="R26" s="106">
        <v>2033</v>
      </c>
      <c r="S26" s="106">
        <v>2034</v>
      </c>
      <c r="T26" s="106">
        <v>2035</v>
      </c>
      <c r="U26" s="106">
        <v>2036</v>
      </c>
      <c r="V26" s="106">
        <v>2037</v>
      </c>
      <c r="W26" s="106">
        <v>2038</v>
      </c>
      <c r="X26" s="106">
        <v>2039</v>
      </c>
      <c r="Y26" s="106">
        <v>2040</v>
      </c>
      <c r="Z26" s="106">
        <v>2041</v>
      </c>
      <c r="AA26" s="106">
        <v>2042</v>
      </c>
      <c r="AB26" s="106">
        <v>2043</v>
      </c>
      <c r="AC26" s="106">
        <v>2044</v>
      </c>
      <c r="AD26" s="106">
        <v>2045</v>
      </c>
      <c r="AE26" s="106">
        <v>2046</v>
      </c>
      <c r="AF26" s="106">
        <v>2047</v>
      </c>
      <c r="AG26" s="106">
        <v>2048</v>
      </c>
      <c r="AH26" s="106">
        <v>2049</v>
      </c>
      <c r="AI26" s="106">
        <v>2050</v>
      </c>
      <c r="AJ26" s="106">
        <v>2051</v>
      </c>
      <c r="AK26" s="106">
        <v>2052</v>
      </c>
      <c r="AL26" s="106">
        <v>2053</v>
      </c>
      <c r="AM26" s="106">
        <v>2054</v>
      </c>
      <c r="AN26" s="106">
        <v>2055</v>
      </c>
      <c r="AO26" s="106">
        <v>2056</v>
      </c>
      <c r="AP26" s="106">
        <v>2057</v>
      </c>
      <c r="AQ26" s="106">
        <v>2058</v>
      </c>
      <c r="AR26" s="106">
        <v>2059</v>
      </c>
      <c r="AS26" s="106">
        <v>2060</v>
      </c>
    </row>
    <row r="27" spans="1:48" x14ac:dyDescent="0.2">
      <c r="A27" s="486">
        <v>1</v>
      </c>
      <c r="B27" s="21" t="s">
        <v>207</v>
      </c>
      <c r="C27" s="21"/>
      <c r="D27" s="523"/>
      <c r="E27" s="57">
        <f>$F22*$F17</f>
        <v>1334154.0606497722</v>
      </c>
      <c r="F27" s="123">
        <f>$F22*$F17</f>
        <v>1334154.0606497722</v>
      </c>
      <c r="G27" s="123">
        <f>$F22*$F17</f>
        <v>1334154.0606497722</v>
      </c>
      <c r="H27" s="123">
        <f t="shared" ref="H27:AR27" si="0">$F22*$F17</f>
        <v>1334154.0606497722</v>
      </c>
      <c r="I27" s="123">
        <f t="shared" si="0"/>
        <v>1334154.0606497722</v>
      </c>
      <c r="J27" s="123">
        <f t="shared" si="0"/>
        <v>1334154.0606497722</v>
      </c>
      <c r="K27" s="123">
        <f t="shared" si="0"/>
        <v>1334154.0606497722</v>
      </c>
      <c r="L27" s="123">
        <f t="shared" si="0"/>
        <v>1334154.0606497722</v>
      </c>
      <c r="M27" s="123">
        <f t="shared" si="0"/>
        <v>1334154.0606497722</v>
      </c>
      <c r="N27" s="123">
        <f t="shared" si="0"/>
        <v>1334154.0606497722</v>
      </c>
      <c r="O27" s="123">
        <f t="shared" si="0"/>
        <v>1334154.0606497722</v>
      </c>
      <c r="P27" s="123">
        <f t="shared" si="0"/>
        <v>1334154.0606497722</v>
      </c>
      <c r="Q27" s="123">
        <f t="shared" si="0"/>
        <v>1334154.0606497722</v>
      </c>
      <c r="R27" s="123">
        <f t="shared" si="0"/>
        <v>1334154.0606497722</v>
      </c>
      <c r="S27" s="123">
        <f t="shared" si="0"/>
        <v>1334154.0606497722</v>
      </c>
      <c r="T27" s="123">
        <f t="shared" si="0"/>
        <v>1334154.0606497722</v>
      </c>
      <c r="U27" s="123">
        <f t="shared" si="0"/>
        <v>1334154.0606497722</v>
      </c>
      <c r="V27" s="123">
        <f t="shared" si="0"/>
        <v>1334154.0606497722</v>
      </c>
      <c r="W27" s="123">
        <f t="shared" si="0"/>
        <v>1334154.0606497722</v>
      </c>
      <c r="X27" s="123">
        <f t="shared" si="0"/>
        <v>1334154.0606497722</v>
      </c>
      <c r="Y27" s="123">
        <f t="shared" si="0"/>
        <v>1334154.0606497722</v>
      </c>
      <c r="Z27" s="123">
        <f t="shared" si="0"/>
        <v>1334154.0606497722</v>
      </c>
      <c r="AA27" s="123">
        <f t="shared" si="0"/>
        <v>1334154.0606497722</v>
      </c>
      <c r="AB27" s="123">
        <f t="shared" si="0"/>
        <v>1334154.0606497722</v>
      </c>
      <c r="AC27" s="123">
        <f t="shared" si="0"/>
        <v>1334154.0606497722</v>
      </c>
      <c r="AD27" s="123">
        <f t="shared" si="0"/>
        <v>1334154.0606497722</v>
      </c>
      <c r="AE27" s="123">
        <f t="shared" si="0"/>
        <v>1334154.0606497722</v>
      </c>
      <c r="AF27" s="123">
        <f t="shared" si="0"/>
        <v>1334154.0606497722</v>
      </c>
      <c r="AG27" s="123">
        <f t="shared" si="0"/>
        <v>1334154.0606497722</v>
      </c>
      <c r="AH27" s="123">
        <f t="shared" si="0"/>
        <v>1334154.0606497722</v>
      </c>
      <c r="AI27" s="123">
        <f t="shared" si="0"/>
        <v>1334154.0606497722</v>
      </c>
      <c r="AJ27" s="123">
        <f t="shared" si="0"/>
        <v>1334154.0606497722</v>
      </c>
      <c r="AK27" s="123">
        <f t="shared" si="0"/>
        <v>1334154.0606497722</v>
      </c>
      <c r="AL27" s="123">
        <f t="shared" si="0"/>
        <v>1334154.0606497722</v>
      </c>
      <c r="AM27" s="123">
        <f t="shared" si="0"/>
        <v>1334154.0606497722</v>
      </c>
      <c r="AN27" s="123">
        <f t="shared" si="0"/>
        <v>1334154.0606497722</v>
      </c>
      <c r="AO27" s="123">
        <f t="shared" si="0"/>
        <v>1334154.0606497722</v>
      </c>
      <c r="AP27" s="123">
        <f t="shared" si="0"/>
        <v>1334154.0606497722</v>
      </c>
      <c r="AQ27" s="123">
        <f t="shared" si="0"/>
        <v>1334154.0606497722</v>
      </c>
      <c r="AR27" s="123">
        <f t="shared" si="0"/>
        <v>1334154.0606497722</v>
      </c>
      <c r="AS27" s="123">
        <v>39492.93</v>
      </c>
      <c r="AT27" s="123"/>
      <c r="AU27" s="126">
        <f>SUM(D27:AT27)</f>
        <v>53405655.355990909</v>
      </c>
      <c r="AV27" s="41">
        <f>F22</f>
        <v>53473094.060000032</v>
      </c>
    </row>
    <row r="28" spans="1:48" x14ac:dyDescent="0.2">
      <c r="A28" s="21"/>
      <c r="B28" s="21"/>
      <c r="C28" s="21"/>
      <c r="D28" s="523"/>
      <c r="E28" s="57"/>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58"/>
      <c r="AN28" s="123"/>
      <c r="AO28" s="123"/>
      <c r="AP28" s="525"/>
      <c r="AU28" s="212">
        <f>+AU27-AV27</f>
        <v>-67438.704009123147</v>
      </c>
    </row>
    <row r="29" spans="1:48" x14ac:dyDescent="0.2">
      <c r="A29" s="486">
        <f>A27+1</f>
        <v>2</v>
      </c>
      <c r="B29" s="21" t="s">
        <v>54</v>
      </c>
      <c r="C29" s="21"/>
      <c r="D29" s="523"/>
      <c r="E29" s="57">
        <f>E53</f>
        <v>639235.00576328114</v>
      </c>
      <c r="F29" s="123">
        <f t="shared" ref="F29:AS29" si="1">F53</f>
        <v>618993.82188552583</v>
      </c>
      <c r="G29" s="123">
        <f t="shared" si="1"/>
        <v>596760.56898747431</v>
      </c>
      <c r="H29" s="123">
        <f t="shared" si="1"/>
        <v>575236.48449364165</v>
      </c>
      <c r="I29" s="123">
        <f t="shared" si="1"/>
        <v>554368.48286129383</v>
      </c>
      <c r="J29" s="123">
        <f t="shared" si="1"/>
        <v>534107.56205098378</v>
      </c>
      <c r="K29" s="123">
        <f t="shared" si="1"/>
        <v>514408.12294267042</v>
      </c>
      <c r="L29" s="123">
        <f t="shared" si="1"/>
        <v>495227.96933571895</v>
      </c>
      <c r="M29" s="123">
        <f t="shared" si="1"/>
        <v>476337.7444621622</v>
      </c>
      <c r="N29" s="123">
        <f t="shared" si="1"/>
        <v>457489.03520535899</v>
      </c>
      <c r="O29" s="123">
        <f t="shared" si="1"/>
        <v>438640.32594855595</v>
      </c>
      <c r="P29" s="123">
        <f t="shared" si="1"/>
        <v>419791.6166917528</v>
      </c>
      <c r="Q29" s="123">
        <f t="shared" si="1"/>
        <v>400942.90743494971</v>
      </c>
      <c r="R29" s="123">
        <f t="shared" si="1"/>
        <v>382094.19817814656</v>
      </c>
      <c r="S29" s="123">
        <f t="shared" si="1"/>
        <v>363245.48892134341</v>
      </c>
      <c r="T29" s="123">
        <f t="shared" si="1"/>
        <v>344396.77966454043</v>
      </c>
      <c r="U29" s="123">
        <f t="shared" si="1"/>
        <v>325548.07040773728</v>
      </c>
      <c r="V29" s="123">
        <f t="shared" si="1"/>
        <v>306699.36115093419</v>
      </c>
      <c r="W29" s="123">
        <f t="shared" si="1"/>
        <v>287850.65189413115</v>
      </c>
      <c r="X29" s="123">
        <f t="shared" si="1"/>
        <v>269001.94263732806</v>
      </c>
      <c r="Y29" s="123">
        <f t="shared" si="1"/>
        <v>251671.61601950051</v>
      </c>
      <c r="Z29" s="123">
        <f t="shared" si="1"/>
        <v>237377.37409574271</v>
      </c>
      <c r="AA29" s="123">
        <f t="shared" si="1"/>
        <v>224601.51481096051</v>
      </c>
      <c r="AB29" s="123">
        <f t="shared" si="1"/>
        <v>211825.65552617831</v>
      </c>
      <c r="AC29" s="123">
        <f t="shared" si="1"/>
        <v>199049.79624139611</v>
      </c>
      <c r="AD29" s="123">
        <f t="shared" si="1"/>
        <v>186273.93695661391</v>
      </c>
      <c r="AE29" s="123">
        <f t="shared" si="1"/>
        <v>173498.07767183174</v>
      </c>
      <c r="AF29" s="123">
        <f t="shared" si="1"/>
        <v>160722.21838704951</v>
      </c>
      <c r="AG29" s="123">
        <f t="shared" si="1"/>
        <v>147946.35910226725</v>
      </c>
      <c r="AH29" s="123">
        <f t="shared" si="1"/>
        <v>135170.49981748499</v>
      </c>
      <c r="AI29" s="123">
        <f t="shared" si="1"/>
        <v>122394.64053270275</v>
      </c>
      <c r="AJ29" s="123">
        <f t="shared" si="1"/>
        <v>109618.78124792049</v>
      </c>
      <c r="AK29" s="123">
        <f t="shared" si="1"/>
        <v>96842.921963138229</v>
      </c>
      <c r="AL29" s="123">
        <f t="shared" si="1"/>
        <v>84067.062678355971</v>
      </c>
      <c r="AM29" s="123">
        <f t="shared" si="1"/>
        <v>71291.203393573727</v>
      </c>
      <c r="AN29" s="123">
        <f t="shared" si="1"/>
        <v>58515.344108791483</v>
      </c>
      <c r="AO29" s="123">
        <f t="shared" si="1"/>
        <v>45739.484824009218</v>
      </c>
      <c r="AP29" s="123">
        <f t="shared" si="1"/>
        <v>32963.625539226974</v>
      </c>
      <c r="AQ29" s="123">
        <f t="shared" si="1"/>
        <v>20187.766254444719</v>
      </c>
      <c r="AR29" s="123">
        <f t="shared" si="1"/>
        <v>7411.9069696624674</v>
      </c>
      <c r="AS29" s="123">
        <f t="shared" si="1"/>
        <v>834.88517843125214</v>
      </c>
      <c r="AT29" s="123"/>
      <c r="AU29" s="126">
        <f>SUM(D29:AT29)</f>
        <v>11578380.812236814</v>
      </c>
    </row>
    <row r="30" spans="1:48" x14ac:dyDescent="0.2">
      <c r="A30" s="21"/>
      <c r="B30" s="21"/>
      <c r="C30" s="21"/>
      <c r="D30" s="523"/>
      <c r="E30" s="57"/>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row>
    <row r="31" spans="1:48" x14ac:dyDescent="0.2">
      <c r="A31" s="21"/>
      <c r="B31" s="21" t="s">
        <v>55</v>
      </c>
      <c r="C31" s="21"/>
      <c r="D31" s="523"/>
      <c r="E31" s="57">
        <f>+E30/0.79</f>
        <v>0</v>
      </c>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row>
    <row r="32" spans="1:48" x14ac:dyDescent="0.2">
      <c r="A32" s="486">
        <f>A29+1</f>
        <v>3</v>
      </c>
      <c r="B32" s="21"/>
      <c r="C32" s="21"/>
      <c r="D32" s="523"/>
      <c r="E32" s="57">
        <f>E49*$F10</f>
        <v>0</v>
      </c>
      <c r="F32" s="123">
        <f t="shared" ref="F32:AS32" si="2">F49*$F10</f>
        <v>0</v>
      </c>
      <c r="G32" s="123">
        <f t="shared" si="2"/>
        <v>0</v>
      </c>
      <c r="H32" s="123">
        <f t="shared" si="2"/>
        <v>0</v>
      </c>
      <c r="I32" s="123">
        <f t="shared" si="2"/>
        <v>0</v>
      </c>
      <c r="J32" s="123">
        <f t="shared" si="2"/>
        <v>0</v>
      </c>
      <c r="K32" s="123">
        <f t="shared" si="2"/>
        <v>0</v>
      </c>
      <c r="L32" s="123">
        <f t="shared" si="2"/>
        <v>0</v>
      </c>
      <c r="M32" s="123">
        <f t="shared" si="2"/>
        <v>0</v>
      </c>
      <c r="N32" s="123">
        <f t="shared" si="2"/>
        <v>0</v>
      </c>
      <c r="O32" s="123">
        <f t="shared" si="2"/>
        <v>0</v>
      </c>
      <c r="P32" s="123">
        <f t="shared" si="2"/>
        <v>0</v>
      </c>
      <c r="Q32" s="123">
        <f t="shared" si="2"/>
        <v>0</v>
      </c>
      <c r="R32" s="123">
        <f t="shared" si="2"/>
        <v>0</v>
      </c>
      <c r="S32" s="123">
        <f t="shared" si="2"/>
        <v>0</v>
      </c>
      <c r="T32" s="123">
        <f t="shared" si="2"/>
        <v>0</v>
      </c>
      <c r="U32" s="123">
        <f t="shared" si="2"/>
        <v>0</v>
      </c>
      <c r="V32" s="123">
        <f t="shared" si="2"/>
        <v>0</v>
      </c>
      <c r="W32" s="123">
        <f t="shared" si="2"/>
        <v>0</v>
      </c>
      <c r="X32" s="123">
        <f t="shared" si="2"/>
        <v>0</v>
      </c>
      <c r="Y32" s="123">
        <f t="shared" si="2"/>
        <v>0</v>
      </c>
      <c r="Z32" s="123">
        <f t="shared" si="2"/>
        <v>0</v>
      </c>
      <c r="AA32" s="123">
        <f t="shared" si="2"/>
        <v>0</v>
      </c>
      <c r="AB32" s="123">
        <f t="shared" si="2"/>
        <v>0</v>
      </c>
      <c r="AC32" s="123">
        <f t="shared" si="2"/>
        <v>0</v>
      </c>
      <c r="AD32" s="123">
        <f t="shared" si="2"/>
        <v>0</v>
      </c>
      <c r="AE32" s="123">
        <f t="shared" si="2"/>
        <v>0</v>
      </c>
      <c r="AF32" s="123">
        <f t="shared" si="2"/>
        <v>0</v>
      </c>
      <c r="AG32" s="123">
        <f t="shared" si="2"/>
        <v>0</v>
      </c>
      <c r="AH32" s="123">
        <f t="shared" si="2"/>
        <v>0</v>
      </c>
      <c r="AI32" s="123">
        <f t="shared" si="2"/>
        <v>0</v>
      </c>
      <c r="AJ32" s="123">
        <f t="shared" si="2"/>
        <v>0</v>
      </c>
      <c r="AK32" s="123">
        <f t="shared" si="2"/>
        <v>0</v>
      </c>
      <c r="AL32" s="123">
        <f t="shared" si="2"/>
        <v>0</v>
      </c>
      <c r="AM32" s="123">
        <f t="shared" si="2"/>
        <v>0</v>
      </c>
      <c r="AN32" s="123">
        <f t="shared" si="2"/>
        <v>0</v>
      </c>
      <c r="AO32" s="123">
        <f t="shared" si="2"/>
        <v>0</v>
      </c>
      <c r="AP32" s="123">
        <f t="shared" si="2"/>
        <v>0</v>
      </c>
      <c r="AQ32" s="123">
        <f t="shared" si="2"/>
        <v>0</v>
      </c>
      <c r="AR32" s="123">
        <f t="shared" si="2"/>
        <v>0</v>
      </c>
      <c r="AS32" s="123">
        <f t="shared" si="2"/>
        <v>0</v>
      </c>
      <c r="AT32" s="123"/>
      <c r="AU32" s="126">
        <f t="shared" ref="AU32:AU42" si="3">SUM(D32:AT32)</f>
        <v>0</v>
      </c>
    </row>
    <row r="33" spans="1:47" x14ac:dyDescent="0.2">
      <c r="A33" s="486">
        <f>A32+1</f>
        <v>4</v>
      </c>
      <c r="B33" s="32"/>
      <c r="C33" s="32" t="s">
        <v>173</v>
      </c>
      <c r="D33" s="523"/>
      <c r="E33" s="57">
        <f>E49*$F11</f>
        <v>1492416.1470185542</v>
      </c>
      <c r="F33" s="123">
        <f t="shared" ref="F33:AS33" si="4">F49*$F11</f>
        <v>1445159.2393373749</v>
      </c>
      <c r="G33" s="123">
        <f t="shared" si="4"/>
        <v>1393251.4662544865</v>
      </c>
      <c r="H33" s="123">
        <f t="shared" si="4"/>
        <v>1342999.3821871709</v>
      </c>
      <c r="I33" s="123">
        <f t="shared" si="4"/>
        <v>1294279.0488022084</v>
      </c>
      <c r="J33" s="123">
        <f t="shared" si="4"/>
        <v>1246976.0614843196</v>
      </c>
      <c r="K33" s="123">
        <f t="shared" si="4"/>
        <v>1200983.9603831747</v>
      </c>
      <c r="L33" s="123">
        <f t="shared" si="4"/>
        <v>1156204.2304133945</v>
      </c>
      <c r="M33" s="123">
        <f t="shared" si="4"/>
        <v>1112101.3944173516</v>
      </c>
      <c r="N33" s="123">
        <f t="shared" si="4"/>
        <v>1068095.4845536978</v>
      </c>
      <c r="O33" s="123">
        <f t="shared" si="4"/>
        <v>1024089.5746900444</v>
      </c>
      <c r="P33" s="123">
        <f t="shared" si="4"/>
        <v>980083.66482639068</v>
      </c>
      <c r="Q33" s="123">
        <f t="shared" si="4"/>
        <v>936077.75496273709</v>
      </c>
      <c r="R33" s="123">
        <f t="shared" si="4"/>
        <v>892071.84509908338</v>
      </c>
      <c r="S33" s="123">
        <f t="shared" si="4"/>
        <v>848065.93523542979</v>
      </c>
      <c r="T33" s="123">
        <f t="shared" si="4"/>
        <v>804060.02537177631</v>
      </c>
      <c r="U33" s="123">
        <f t="shared" si="4"/>
        <v>760054.11550812272</v>
      </c>
      <c r="V33" s="123">
        <f t="shared" si="4"/>
        <v>716048.20564446913</v>
      </c>
      <c r="W33" s="123">
        <f t="shared" si="4"/>
        <v>672042.29578081553</v>
      </c>
      <c r="X33" s="123">
        <f t="shared" si="4"/>
        <v>628036.38591716194</v>
      </c>
      <c r="Y33" s="123">
        <f t="shared" si="4"/>
        <v>587575.43017418252</v>
      </c>
      <c r="Z33" s="123">
        <f t="shared" si="4"/>
        <v>554202.79371956142</v>
      </c>
      <c r="AA33" s="123">
        <f t="shared" si="4"/>
        <v>524375.11138561449</v>
      </c>
      <c r="AB33" s="123">
        <f t="shared" si="4"/>
        <v>494547.42905166757</v>
      </c>
      <c r="AC33" s="123">
        <f t="shared" si="4"/>
        <v>464719.74671772058</v>
      </c>
      <c r="AD33" s="123">
        <f t="shared" si="4"/>
        <v>434892.06438377372</v>
      </c>
      <c r="AE33" s="123">
        <f t="shared" si="4"/>
        <v>405064.38204982691</v>
      </c>
      <c r="AF33" s="123">
        <f t="shared" si="4"/>
        <v>375236.69971587986</v>
      </c>
      <c r="AG33" s="123">
        <f t="shared" si="4"/>
        <v>345409.01738193282</v>
      </c>
      <c r="AH33" s="123">
        <f t="shared" si="4"/>
        <v>315581.33504798578</v>
      </c>
      <c r="AI33" s="123">
        <f t="shared" si="4"/>
        <v>285753.65271403873</v>
      </c>
      <c r="AJ33" s="123">
        <f t="shared" si="4"/>
        <v>255925.97038009172</v>
      </c>
      <c r="AK33" s="123">
        <f t="shared" si="4"/>
        <v>226098.28804614468</v>
      </c>
      <c r="AL33" s="123">
        <f t="shared" si="4"/>
        <v>196270.60571219763</v>
      </c>
      <c r="AM33" s="123">
        <f t="shared" si="4"/>
        <v>166442.92337825059</v>
      </c>
      <c r="AN33" s="123">
        <f t="shared" si="4"/>
        <v>136615.24104430358</v>
      </c>
      <c r="AO33" s="123">
        <f t="shared" si="4"/>
        <v>106787.55871035653</v>
      </c>
      <c r="AP33" s="123">
        <f t="shared" si="4"/>
        <v>76959.876376409506</v>
      </c>
      <c r="AQ33" s="123">
        <f t="shared" si="4"/>
        <v>47132.194042462463</v>
      </c>
      <c r="AR33" s="123">
        <f t="shared" si="4"/>
        <v>17304.511708515431</v>
      </c>
      <c r="AS33" s="123">
        <f t="shared" si="4"/>
        <v>1949.1988235367069</v>
      </c>
      <c r="AT33" s="123"/>
      <c r="AU33" s="126">
        <f t="shared" si="3"/>
        <v>27031940.24845222</v>
      </c>
    </row>
    <row r="34" spans="1:47" x14ac:dyDescent="0.2">
      <c r="A34" s="486">
        <f>A33+1</f>
        <v>5</v>
      </c>
      <c r="B34" s="21"/>
      <c r="C34" s="21" t="s">
        <v>9</v>
      </c>
      <c r="D34" s="523"/>
      <c r="E34" s="59">
        <f>E49*$F12</f>
        <v>2404741.2121571051</v>
      </c>
      <c r="F34" s="121">
        <f t="shared" ref="F34:AS34" si="5">F49*$F12</f>
        <v>2328595.8061407879</v>
      </c>
      <c r="G34" s="121">
        <f t="shared" si="5"/>
        <v>2244956.4261909751</v>
      </c>
      <c r="H34" s="121">
        <f t="shared" si="5"/>
        <v>2163984.8702379856</v>
      </c>
      <c r="I34" s="121">
        <f t="shared" si="5"/>
        <v>2085481.4355258199</v>
      </c>
      <c r="J34" s="121">
        <f t="shared" si="5"/>
        <v>2009261.7810489393</v>
      </c>
      <c r="K34" s="121">
        <f t="shared" si="5"/>
        <v>1935154.367260522</v>
      </c>
      <c r="L34" s="121">
        <f t="shared" si="5"/>
        <v>1863000.4560724664</v>
      </c>
      <c r="M34" s="121">
        <f t="shared" si="5"/>
        <v>1791937.2291671815</v>
      </c>
      <c r="N34" s="121">
        <f t="shared" si="5"/>
        <v>1721030.1800582553</v>
      </c>
      <c r="O34" s="121">
        <f t="shared" si="5"/>
        <v>1650123.1309493296</v>
      </c>
      <c r="P34" s="121">
        <f t="shared" si="5"/>
        <v>1579216.0818404036</v>
      </c>
      <c r="Q34" s="121">
        <f t="shared" si="5"/>
        <v>1508309.0327314776</v>
      </c>
      <c r="R34" s="121">
        <f t="shared" si="5"/>
        <v>1437401.9836225514</v>
      </c>
      <c r="S34" s="121">
        <f t="shared" si="5"/>
        <v>1366494.9345136255</v>
      </c>
      <c r="T34" s="121">
        <f t="shared" si="5"/>
        <v>1295587.8854046997</v>
      </c>
      <c r="U34" s="121">
        <f t="shared" si="5"/>
        <v>1224680.8362957737</v>
      </c>
      <c r="V34" s="121">
        <f t="shared" si="5"/>
        <v>1153773.7871868478</v>
      </c>
      <c r="W34" s="121">
        <f t="shared" si="5"/>
        <v>1082866.738077922</v>
      </c>
      <c r="X34" s="121">
        <f t="shared" si="5"/>
        <v>1011959.6889689961</v>
      </c>
      <c r="Y34" s="121">
        <f t="shared" si="5"/>
        <v>946764.65074002568</v>
      </c>
      <c r="Z34" s="121">
        <f t="shared" si="5"/>
        <v>892991.07397922268</v>
      </c>
      <c r="AA34" s="121">
        <f t="shared" si="5"/>
        <v>844929.50809837529</v>
      </c>
      <c r="AB34" s="121">
        <f t="shared" si="5"/>
        <v>796867.94221752801</v>
      </c>
      <c r="AC34" s="121">
        <f t="shared" si="5"/>
        <v>748806.37633668061</v>
      </c>
      <c r="AD34" s="121">
        <f t="shared" si="5"/>
        <v>700744.81045583333</v>
      </c>
      <c r="AE34" s="121">
        <f t="shared" si="5"/>
        <v>652683.24457498617</v>
      </c>
      <c r="AF34" s="121">
        <f t="shared" si="5"/>
        <v>604621.67869413865</v>
      </c>
      <c r="AG34" s="121">
        <f t="shared" si="5"/>
        <v>556560.11281329114</v>
      </c>
      <c r="AH34" s="121">
        <f t="shared" si="5"/>
        <v>508498.54693244351</v>
      </c>
      <c r="AI34" s="121">
        <f t="shared" si="5"/>
        <v>460436.98105159606</v>
      </c>
      <c r="AJ34" s="121">
        <f t="shared" si="5"/>
        <v>412375.41517074854</v>
      </c>
      <c r="AK34" s="121">
        <f t="shared" si="5"/>
        <v>364313.84928990097</v>
      </c>
      <c r="AL34" s="121">
        <f t="shared" si="5"/>
        <v>316252.28340905346</v>
      </c>
      <c r="AM34" s="121">
        <f t="shared" si="5"/>
        <v>268190.71752820595</v>
      </c>
      <c r="AN34" s="121">
        <f t="shared" si="5"/>
        <v>220129.15164735843</v>
      </c>
      <c r="AO34" s="121">
        <f t="shared" si="5"/>
        <v>172067.58576651089</v>
      </c>
      <c r="AP34" s="121">
        <f t="shared" si="5"/>
        <v>124006.01988566338</v>
      </c>
      <c r="AQ34" s="121">
        <f t="shared" si="5"/>
        <v>75944.454004815852</v>
      </c>
      <c r="AR34" s="121">
        <f t="shared" si="5"/>
        <v>27882.888123968329</v>
      </c>
      <c r="AS34" s="121">
        <f t="shared" si="5"/>
        <v>3140.7585283842345</v>
      </c>
      <c r="AT34" s="121"/>
      <c r="AU34" s="126">
        <f t="shared" si="3"/>
        <v>43556765.9127004</v>
      </c>
    </row>
    <row r="35" spans="1:47" x14ac:dyDescent="0.2">
      <c r="A35" s="486">
        <f>A34+1</f>
        <v>6</v>
      </c>
      <c r="B35" s="21"/>
      <c r="C35" s="21" t="s">
        <v>58</v>
      </c>
      <c r="D35" s="523"/>
      <c r="E35" s="57">
        <f>E32+E33+E34</f>
        <v>3897157.3591756593</v>
      </c>
      <c r="F35" s="123">
        <f>F32+F33+F34</f>
        <v>3773755.0454781628</v>
      </c>
      <c r="G35" s="123">
        <f>G32+G33+G34</f>
        <v>3638207.8924454618</v>
      </c>
      <c r="H35" s="123">
        <f t="shared" ref="H35:AS35" si="6">H32+H33+H34</f>
        <v>3506984.2524251565</v>
      </c>
      <c r="I35" s="123">
        <f t="shared" si="6"/>
        <v>3379760.4843280283</v>
      </c>
      <c r="J35" s="123">
        <f t="shared" si="6"/>
        <v>3256237.8425332587</v>
      </c>
      <c r="K35" s="123">
        <f t="shared" si="6"/>
        <v>3136138.3276436967</v>
      </c>
      <c r="L35" s="123">
        <f t="shared" si="6"/>
        <v>3019204.686485861</v>
      </c>
      <c r="M35" s="123">
        <f t="shared" si="6"/>
        <v>2904038.6235845331</v>
      </c>
      <c r="N35" s="123">
        <f t="shared" si="6"/>
        <v>2789125.6646119533</v>
      </c>
      <c r="O35" s="123">
        <f t="shared" si="6"/>
        <v>2674212.705639374</v>
      </c>
      <c r="P35" s="123">
        <f t="shared" si="6"/>
        <v>2559299.7466667942</v>
      </c>
      <c r="Q35" s="123">
        <f t="shared" si="6"/>
        <v>2444386.7876942148</v>
      </c>
      <c r="R35" s="123">
        <f t="shared" si="6"/>
        <v>2329473.828721635</v>
      </c>
      <c r="S35" s="123">
        <f t="shared" si="6"/>
        <v>2214560.8697490552</v>
      </c>
      <c r="T35" s="123">
        <f t="shared" si="6"/>
        <v>2099647.9107764759</v>
      </c>
      <c r="U35" s="123">
        <f t="shared" si="6"/>
        <v>1984734.9518038966</v>
      </c>
      <c r="V35" s="123">
        <f t="shared" si="6"/>
        <v>1869821.9928313168</v>
      </c>
      <c r="W35" s="123">
        <f t="shared" si="6"/>
        <v>1754909.0338587374</v>
      </c>
      <c r="X35" s="123">
        <f t="shared" si="6"/>
        <v>1639996.0748861581</v>
      </c>
      <c r="Y35" s="123">
        <f t="shared" si="6"/>
        <v>1534340.0809142082</v>
      </c>
      <c r="Z35" s="123">
        <f t="shared" si="6"/>
        <v>1447193.867698784</v>
      </c>
      <c r="AA35" s="123">
        <f t="shared" si="6"/>
        <v>1369304.6194839897</v>
      </c>
      <c r="AB35" s="123">
        <f t="shared" si="6"/>
        <v>1291415.3712691956</v>
      </c>
      <c r="AC35" s="123">
        <f t="shared" si="6"/>
        <v>1213526.1230544013</v>
      </c>
      <c r="AD35" s="123">
        <f t="shared" si="6"/>
        <v>1135636.8748396072</v>
      </c>
      <c r="AE35" s="123">
        <f t="shared" si="6"/>
        <v>1057747.6266248131</v>
      </c>
      <c r="AF35" s="123">
        <f t="shared" si="6"/>
        <v>979858.37841001851</v>
      </c>
      <c r="AG35" s="123">
        <f t="shared" si="6"/>
        <v>901969.13019522396</v>
      </c>
      <c r="AH35" s="123">
        <f t="shared" si="6"/>
        <v>824079.88198042929</v>
      </c>
      <c r="AI35" s="123">
        <f t="shared" si="6"/>
        <v>746190.63376563485</v>
      </c>
      <c r="AJ35" s="123">
        <f t="shared" si="6"/>
        <v>668301.38555084029</v>
      </c>
      <c r="AK35" s="123">
        <f t="shared" si="6"/>
        <v>590412.13733604562</v>
      </c>
      <c r="AL35" s="123">
        <f t="shared" si="6"/>
        <v>512522.88912125106</v>
      </c>
      <c r="AM35" s="123">
        <f t="shared" si="6"/>
        <v>434633.64090645651</v>
      </c>
      <c r="AN35" s="123">
        <f t="shared" si="6"/>
        <v>356744.39269166201</v>
      </c>
      <c r="AO35" s="123">
        <f t="shared" si="6"/>
        <v>278855.1444768674</v>
      </c>
      <c r="AP35" s="123">
        <f t="shared" si="6"/>
        <v>200965.8962620729</v>
      </c>
      <c r="AQ35" s="123">
        <f t="shared" si="6"/>
        <v>123076.64804727832</v>
      </c>
      <c r="AR35" s="123">
        <f t="shared" si="6"/>
        <v>45187.399832483759</v>
      </c>
      <c r="AS35" s="123">
        <f t="shared" si="6"/>
        <v>5089.9573519209416</v>
      </c>
      <c r="AT35" s="123"/>
      <c r="AU35" s="126">
        <f t="shared" si="3"/>
        <v>70588706.161152601</v>
      </c>
    </row>
    <row r="36" spans="1:47" x14ac:dyDescent="0.2">
      <c r="A36" s="21"/>
      <c r="B36" s="21"/>
      <c r="C36" s="21"/>
      <c r="D36" s="523"/>
      <c r="E36" s="5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6">
        <f t="shared" si="3"/>
        <v>0</v>
      </c>
    </row>
    <row r="37" spans="1:47" x14ac:dyDescent="0.2">
      <c r="A37" s="486">
        <f>A35+1</f>
        <v>7</v>
      </c>
      <c r="B37" s="21" t="s">
        <v>59</v>
      </c>
      <c r="C37" s="21"/>
      <c r="D37" s="523"/>
      <c r="E37" s="60">
        <f>E27+E29+E35</f>
        <v>5870546.4255887121</v>
      </c>
      <c r="F37" s="120">
        <f>F27+F29+F35</f>
        <v>5726902.9280134607</v>
      </c>
      <c r="G37" s="120">
        <f t="shared" ref="G37:AS37" si="7">G27+G29+G35</f>
        <v>5569122.5220827088</v>
      </c>
      <c r="H37" s="120">
        <f t="shared" si="7"/>
        <v>5416374.7975685708</v>
      </c>
      <c r="I37" s="120">
        <f t="shared" si="7"/>
        <v>5268283.0278390944</v>
      </c>
      <c r="J37" s="120">
        <f t="shared" si="7"/>
        <v>5124499.4652340151</v>
      </c>
      <c r="K37" s="120">
        <f t="shared" si="7"/>
        <v>4984700.5112361396</v>
      </c>
      <c r="L37" s="120">
        <f t="shared" si="7"/>
        <v>4848586.7164713517</v>
      </c>
      <c r="M37" s="120">
        <f t="shared" si="7"/>
        <v>4714530.4286964675</v>
      </c>
      <c r="N37" s="120">
        <f t="shared" si="7"/>
        <v>4580768.7604670841</v>
      </c>
      <c r="O37" s="120">
        <f t="shared" si="7"/>
        <v>4447007.0922377016</v>
      </c>
      <c r="P37" s="120">
        <f t="shared" si="7"/>
        <v>4313245.4240083192</v>
      </c>
      <c r="Q37" s="120">
        <f t="shared" si="7"/>
        <v>4179483.7557789367</v>
      </c>
      <c r="R37" s="120">
        <f t="shared" si="7"/>
        <v>4045722.0875495537</v>
      </c>
      <c r="S37" s="120">
        <f t="shared" si="7"/>
        <v>3911960.4193201708</v>
      </c>
      <c r="T37" s="120">
        <f t="shared" si="7"/>
        <v>3778198.7510907883</v>
      </c>
      <c r="U37" s="120">
        <f t="shared" si="7"/>
        <v>3644437.0828614058</v>
      </c>
      <c r="V37" s="120">
        <f t="shared" si="7"/>
        <v>3510675.4146320233</v>
      </c>
      <c r="W37" s="120">
        <f t="shared" si="7"/>
        <v>3376913.7464026408</v>
      </c>
      <c r="X37" s="120">
        <f t="shared" si="7"/>
        <v>3243152.0781732583</v>
      </c>
      <c r="Y37" s="120">
        <f t="shared" si="7"/>
        <v>3120165.7575834808</v>
      </c>
      <c r="Z37" s="120">
        <f t="shared" si="7"/>
        <v>3018725.3024442988</v>
      </c>
      <c r="AA37" s="120">
        <f t="shared" si="7"/>
        <v>2928060.1949447226</v>
      </c>
      <c r="AB37" s="120">
        <f t="shared" si="7"/>
        <v>2837395.0874451464</v>
      </c>
      <c r="AC37" s="120">
        <f t="shared" si="7"/>
        <v>2746729.9799455693</v>
      </c>
      <c r="AD37" s="120">
        <f t="shared" si="7"/>
        <v>2656064.8724459931</v>
      </c>
      <c r="AE37" s="120">
        <f t="shared" si="7"/>
        <v>2565399.764946417</v>
      </c>
      <c r="AF37" s="120">
        <f t="shared" si="7"/>
        <v>2474734.6574468403</v>
      </c>
      <c r="AG37" s="120">
        <f t="shared" si="7"/>
        <v>2384069.5499472637</v>
      </c>
      <c r="AH37" s="120">
        <f t="shared" si="7"/>
        <v>2293404.4424476866</v>
      </c>
      <c r="AI37" s="120">
        <f t="shared" si="7"/>
        <v>2202739.3349481095</v>
      </c>
      <c r="AJ37" s="120">
        <f t="shared" si="7"/>
        <v>2112074.2274485333</v>
      </c>
      <c r="AK37" s="120">
        <f t="shared" si="7"/>
        <v>2021409.1199489562</v>
      </c>
      <c r="AL37" s="120">
        <f t="shared" si="7"/>
        <v>1930744.0124493791</v>
      </c>
      <c r="AM37" s="120">
        <f t="shared" si="7"/>
        <v>1840078.9049498024</v>
      </c>
      <c r="AN37" s="120">
        <f t="shared" si="7"/>
        <v>1749413.7974502258</v>
      </c>
      <c r="AO37" s="120">
        <f t="shared" si="7"/>
        <v>1658748.6899506487</v>
      </c>
      <c r="AP37" s="120">
        <f t="shared" si="7"/>
        <v>1568083.5824510721</v>
      </c>
      <c r="AQ37" s="120">
        <f t="shared" si="7"/>
        <v>1477418.4749514952</v>
      </c>
      <c r="AR37" s="120">
        <f t="shared" si="7"/>
        <v>1386753.3674519185</v>
      </c>
      <c r="AS37" s="120">
        <f t="shared" si="7"/>
        <v>45417.772530352195</v>
      </c>
      <c r="AT37" s="120"/>
      <c r="AU37" s="126">
        <f t="shared" si="3"/>
        <v>135572742.32938033</v>
      </c>
    </row>
    <row r="38" spans="1:47" x14ac:dyDescent="0.2">
      <c r="A38" s="486">
        <f>A37+1</f>
        <v>8</v>
      </c>
      <c r="B38" s="21" t="s">
        <v>60</v>
      </c>
      <c r="C38" s="21"/>
      <c r="D38" s="523"/>
      <c r="E38" s="59">
        <f>E37/(1-$F16)-E37</f>
        <v>279501.21512763575</v>
      </c>
      <c r="F38" s="121">
        <f t="shared" ref="F38:AS38" si="8">F37/(1-$F16)-F37</f>
        <v>272662.238104566</v>
      </c>
      <c r="G38" s="451">
        <f>G37/(1-$G16)-G37</f>
        <v>277399.95181922521</v>
      </c>
      <c r="H38" s="451">
        <f t="shared" ref="H38:AR38" si="9">H37/(1-$G16)-H37</f>
        <v>269791.53393064346</v>
      </c>
      <c r="I38" s="451">
        <f t="shared" si="9"/>
        <v>262415.03078766353</v>
      </c>
      <c r="J38" s="451">
        <f t="shared" si="9"/>
        <v>255253.12095700577</v>
      </c>
      <c r="K38" s="451">
        <f t="shared" si="9"/>
        <v>248289.68588269781</v>
      </c>
      <c r="L38" s="451">
        <f t="shared" si="9"/>
        <v>241509.80988608114</v>
      </c>
      <c r="M38" s="451">
        <f t="shared" si="9"/>
        <v>234832.41903638095</v>
      </c>
      <c r="N38" s="451">
        <f t="shared" si="9"/>
        <v>228169.70328987669</v>
      </c>
      <c r="O38" s="451">
        <f t="shared" si="9"/>
        <v>221506.98754337244</v>
      </c>
      <c r="P38" s="451">
        <f t="shared" si="9"/>
        <v>214844.27179686911</v>
      </c>
      <c r="Q38" s="451">
        <f t="shared" si="9"/>
        <v>208181.55605036486</v>
      </c>
      <c r="R38" s="451">
        <f t="shared" si="9"/>
        <v>201518.84030386107</v>
      </c>
      <c r="S38" s="451">
        <f t="shared" si="9"/>
        <v>194856.12455735728</v>
      </c>
      <c r="T38" s="451">
        <f t="shared" si="9"/>
        <v>188193.40881085303</v>
      </c>
      <c r="U38" s="451">
        <f t="shared" si="9"/>
        <v>181530.69306434924</v>
      </c>
      <c r="V38" s="451">
        <f t="shared" si="9"/>
        <v>174867.97731784545</v>
      </c>
      <c r="W38" s="451">
        <f t="shared" si="9"/>
        <v>168205.26157134166</v>
      </c>
      <c r="X38" s="451">
        <f t="shared" si="9"/>
        <v>161542.54582483787</v>
      </c>
      <c r="Y38" s="451">
        <f t="shared" si="9"/>
        <v>155416.55393459834</v>
      </c>
      <c r="Z38" s="451">
        <f t="shared" si="9"/>
        <v>150363.76918142568</v>
      </c>
      <c r="AA38" s="451">
        <f t="shared" si="9"/>
        <v>145847.70828451775</v>
      </c>
      <c r="AB38" s="451">
        <f t="shared" si="9"/>
        <v>141331.64738760982</v>
      </c>
      <c r="AC38" s="451">
        <f t="shared" si="9"/>
        <v>136815.58649070188</v>
      </c>
      <c r="AD38" s="451">
        <f t="shared" si="9"/>
        <v>132299.52559379395</v>
      </c>
      <c r="AE38" s="451">
        <f t="shared" si="9"/>
        <v>127783.46469688602</v>
      </c>
      <c r="AF38" s="451">
        <f t="shared" si="9"/>
        <v>123267.40379997762</v>
      </c>
      <c r="AG38" s="451">
        <f t="shared" si="9"/>
        <v>118751.34290306969</v>
      </c>
      <c r="AH38" s="451">
        <f t="shared" si="9"/>
        <v>114235.28200616175</v>
      </c>
      <c r="AI38" s="451">
        <f t="shared" si="9"/>
        <v>109719.22110925382</v>
      </c>
      <c r="AJ38" s="451">
        <f t="shared" si="9"/>
        <v>105203.16021234589</v>
      </c>
      <c r="AK38" s="451">
        <f t="shared" si="9"/>
        <v>100687.09931543795</v>
      </c>
      <c r="AL38" s="451">
        <f t="shared" si="9"/>
        <v>96171.038418529788</v>
      </c>
      <c r="AM38" s="451">
        <f t="shared" si="9"/>
        <v>91654.977521621622</v>
      </c>
      <c r="AN38" s="451">
        <f t="shared" si="9"/>
        <v>87138.916624713689</v>
      </c>
      <c r="AO38" s="451">
        <f t="shared" si="9"/>
        <v>82622.855727805756</v>
      </c>
      <c r="AP38" s="451">
        <f t="shared" si="9"/>
        <v>78106.79483089759</v>
      </c>
      <c r="AQ38" s="451">
        <f t="shared" si="9"/>
        <v>73590.733933989657</v>
      </c>
      <c r="AR38" s="451">
        <f t="shared" si="9"/>
        <v>69074.673037081724</v>
      </c>
      <c r="AS38" s="121">
        <f t="shared" si="8"/>
        <v>2162.3749631365863</v>
      </c>
      <c r="AT38" s="121"/>
      <c r="AU38" s="126">
        <f t="shared" si="3"/>
        <v>6727316.5056363856</v>
      </c>
    </row>
    <row r="39" spans="1:47" x14ac:dyDescent="0.2">
      <c r="A39" s="486">
        <f>A38+1</f>
        <v>9</v>
      </c>
      <c r="B39" s="21"/>
      <c r="C39" s="21" t="s">
        <v>61</v>
      </c>
      <c r="D39" s="523"/>
      <c r="E39" s="60">
        <f>SUM(E37:E38)</f>
        <v>6150047.6407163478</v>
      </c>
      <c r="F39" s="120">
        <f t="shared" ref="F39:AS39" si="10">SUM(F37:F38)</f>
        <v>5999565.1661180267</v>
      </c>
      <c r="G39" s="120">
        <f t="shared" si="10"/>
        <v>5846522.473901934</v>
      </c>
      <c r="H39" s="120">
        <f t="shared" si="10"/>
        <v>5686166.3314992143</v>
      </c>
      <c r="I39" s="120">
        <f t="shared" si="10"/>
        <v>5530698.0586267579</v>
      </c>
      <c r="J39" s="120">
        <f t="shared" si="10"/>
        <v>5379752.5861910209</v>
      </c>
      <c r="K39" s="120">
        <f t="shared" si="10"/>
        <v>5232990.1971188374</v>
      </c>
      <c r="L39" s="120">
        <f t="shared" si="10"/>
        <v>5090096.5263574328</v>
      </c>
      <c r="M39" s="120">
        <f t="shared" si="10"/>
        <v>4949362.8477328485</v>
      </c>
      <c r="N39" s="120">
        <f t="shared" si="10"/>
        <v>4808938.4637569608</v>
      </c>
      <c r="O39" s="120">
        <f t="shared" si="10"/>
        <v>4668514.0797810741</v>
      </c>
      <c r="P39" s="120">
        <f t="shared" si="10"/>
        <v>4528089.6958051883</v>
      </c>
      <c r="Q39" s="120">
        <f t="shared" si="10"/>
        <v>4387665.3118293015</v>
      </c>
      <c r="R39" s="120">
        <f t="shared" si="10"/>
        <v>4247240.9278534148</v>
      </c>
      <c r="S39" s="120">
        <f t="shared" si="10"/>
        <v>4106816.543877528</v>
      </c>
      <c r="T39" s="120">
        <f t="shared" si="10"/>
        <v>3966392.1599016413</v>
      </c>
      <c r="U39" s="120">
        <f t="shared" si="10"/>
        <v>3825967.775925755</v>
      </c>
      <c r="V39" s="120">
        <f t="shared" si="10"/>
        <v>3685543.3919498688</v>
      </c>
      <c r="W39" s="120">
        <f t="shared" si="10"/>
        <v>3545119.0079739825</v>
      </c>
      <c r="X39" s="120">
        <f t="shared" si="10"/>
        <v>3404694.6239980962</v>
      </c>
      <c r="Y39" s="120">
        <f t="shared" si="10"/>
        <v>3275582.3115180791</v>
      </c>
      <c r="Z39" s="120">
        <f t="shared" si="10"/>
        <v>3169089.0716257244</v>
      </c>
      <c r="AA39" s="120">
        <f t="shared" si="10"/>
        <v>3073907.9032292403</v>
      </c>
      <c r="AB39" s="120">
        <f t="shared" si="10"/>
        <v>2978726.7348327562</v>
      </c>
      <c r="AC39" s="120">
        <f t="shared" si="10"/>
        <v>2883545.5664362712</v>
      </c>
      <c r="AD39" s="120">
        <f t="shared" si="10"/>
        <v>2788364.3980397871</v>
      </c>
      <c r="AE39" s="120">
        <f t="shared" si="10"/>
        <v>2693183.229643303</v>
      </c>
      <c r="AF39" s="120">
        <f t="shared" si="10"/>
        <v>2598002.0612468179</v>
      </c>
      <c r="AG39" s="120">
        <f t="shared" si="10"/>
        <v>2502820.8928503334</v>
      </c>
      <c r="AH39" s="120">
        <f t="shared" si="10"/>
        <v>2407639.7244538483</v>
      </c>
      <c r="AI39" s="120">
        <f t="shared" si="10"/>
        <v>2312458.5560573633</v>
      </c>
      <c r="AJ39" s="120">
        <f t="shared" si="10"/>
        <v>2217277.3876608792</v>
      </c>
      <c r="AK39" s="120">
        <f t="shared" si="10"/>
        <v>2122096.2192643941</v>
      </c>
      <c r="AL39" s="120">
        <f t="shared" si="10"/>
        <v>2026915.0508679089</v>
      </c>
      <c r="AM39" s="120">
        <f t="shared" si="10"/>
        <v>1931733.8824714241</v>
      </c>
      <c r="AN39" s="120">
        <f t="shared" si="10"/>
        <v>1836552.7140749395</v>
      </c>
      <c r="AO39" s="120">
        <f t="shared" si="10"/>
        <v>1741371.5456784545</v>
      </c>
      <c r="AP39" s="120">
        <f t="shared" si="10"/>
        <v>1646190.3772819696</v>
      </c>
      <c r="AQ39" s="120">
        <f t="shared" si="10"/>
        <v>1551009.2088854848</v>
      </c>
      <c r="AR39" s="120">
        <f t="shared" si="10"/>
        <v>1455828.0404890003</v>
      </c>
      <c r="AS39" s="120">
        <f t="shared" si="10"/>
        <v>47580.147493488781</v>
      </c>
      <c r="AT39" s="120"/>
      <c r="AU39" s="126">
        <f t="shared" si="3"/>
        <v>142300058.83501667</v>
      </c>
    </row>
    <row r="40" spans="1:47" x14ac:dyDescent="0.2">
      <c r="A40" s="486">
        <f t="shared" ref="A40:A66" si="11">A39+1</f>
        <v>10</v>
      </c>
      <c r="B40" s="21"/>
      <c r="C40" s="21"/>
      <c r="D40" s="523"/>
      <c r="E40" s="6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6">
        <f t="shared" si="3"/>
        <v>0</v>
      </c>
    </row>
    <row r="41" spans="1:47" x14ac:dyDescent="0.2">
      <c r="A41" s="486">
        <f t="shared" si="11"/>
        <v>11</v>
      </c>
      <c r="B41" s="21"/>
      <c r="C41" s="21"/>
      <c r="D41" s="523"/>
      <c r="E41" s="57"/>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6">
        <f t="shared" si="3"/>
        <v>0</v>
      </c>
    </row>
    <row r="42" spans="1:47" x14ac:dyDescent="0.2">
      <c r="A42" s="486">
        <f t="shared" si="11"/>
        <v>12</v>
      </c>
      <c r="B42" s="21" t="s">
        <v>208</v>
      </c>
      <c r="C42" s="21"/>
      <c r="D42" s="523"/>
      <c r="E42" s="59">
        <f>E39</f>
        <v>6150047.6407163478</v>
      </c>
      <c r="F42" s="121">
        <f>F39</f>
        <v>5999565.1661180267</v>
      </c>
      <c r="G42" s="121">
        <f t="shared" ref="G42:AS42" si="12">G39</f>
        <v>5846522.473901934</v>
      </c>
      <c r="H42" s="121">
        <f t="shared" si="12"/>
        <v>5686166.3314992143</v>
      </c>
      <c r="I42" s="121">
        <f t="shared" si="12"/>
        <v>5530698.0586267579</v>
      </c>
      <c r="J42" s="121">
        <f t="shared" si="12"/>
        <v>5379752.5861910209</v>
      </c>
      <c r="K42" s="121">
        <f t="shared" si="12"/>
        <v>5232990.1971188374</v>
      </c>
      <c r="L42" s="121">
        <f t="shared" si="12"/>
        <v>5090096.5263574328</v>
      </c>
      <c r="M42" s="121">
        <f t="shared" si="12"/>
        <v>4949362.8477328485</v>
      </c>
      <c r="N42" s="121">
        <f t="shared" si="12"/>
        <v>4808938.4637569608</v>
      </c>
      <c r="O42" s="121">
        <f t="shared" si="12"/>
        <v>4668514.0797810741</v>
      </c>
      <c r="P42" s="121">
        <f t="shared" si="12"/>
        <v>4528089.6958051883</v>
      </c>
      <c r="Q42" s="121">
        <f t="shared" si="12"/>
        <v>4387665.3118293015</v>
      </c>
      <c r="R42" s="121">
        <f t="shared" si="12"/>
        <v>4247240.9278534148</v>
      </c>
      <c r="S42" s="121">
        <f t="shared" si="12"/>
        <v>4106816.543877528</v>
      </c>
      <c r="T42" s="121">
        <f t="shared" si="12"/>
        <v>3966392.1599016413</v>
      </c>
      <c r="U42" s="121">
        <f t="shared" si="12"/>
        <v>3825967.775925755</v>
      </c>
      <c r="V42" s="121">
        <f t="shared" si="12"/>
        <v>3685543.3919498688</v>
      </c>
      <c r="W42" s="121">
        <f t="shared" si="12"/>
        <v>3545119.0079739825</v>
      </c>
      <c r="X42" s="121">
        <f t="shared" si="12"/>
        <v>3404694.6239980962</v>
      </c>
      <c r="Y42" s="121">
        <f t="shared" si="12"/>
        <v>3275582.3115180791</v>
      </c>
      <c r="Z42" s="121">
        <f t="shared" si="12"/>
        <v>3169089.0716257244</v>
      </c>
      <c r="AA42" s="121">
        <f t="shared" si="12"/>
        <v>3073907.9032292403</v>
      </c>
      <c r="AB42" s="121">
        <f t="shared" si="12"/>
        <v>2978726.7348327562</v>
      </c>
      <c r="AC42" s="121">
        <f t="shared" si="12"/>
        <v>2883545.5664362712</v>
      </c>
      <c r="AD42" s="121">
        <f t="shared" si="12"/>
        <v>2788364.3980397871</v>
      </c>
      <c r="AE42" s="121">
        <f t="shared" si="12"/>
        <v>2693183.229643303</v>
      </c>
      <c r="AF42" s="121">
        <f t="shared" si="12"/>
        <v>2598002.0612468179</v>
      </c>
      <c r="AG42" s="121">
        <f t="shared" si="12"/>
        <v>2502820.8928503334</v>
      </c>
      <c r="AH42" s="121">
        <f t="shared" si="12"/>
        <v>2407639.7244538483</v>
      </c>
      <c r="AI42" s="121">
        <f t="shared" si="12"/>
        <v>2312458.5560573633</v>
      </c>
      <c r="AJ42" s="121">
        <f t="shared" si="12"/>
        <v>2217277.3876608792</v>
      </c>
      <c r="AK42" s="121">
        <f t="shared" si="12"/>
        <v>2122096.2192643941</v>
      </c>
      <c r="AL42" s="121">
        <f t="shared" si="12"/>
        <v>2026915.0508679089</v>
      </c>
      <c r="AM42" s="121">
        <f t="shared" si="12"/>
        <v>1931733.8824714241</v>
      </c>
      <c r="AN42" s="121">
        <f t="shared" si="12"/>
        <v>1836552.7140749395</v>
      </c>
      <c r="AO42" s="121">
        <f t="shared" si="12"/>
        <v>1741371.5456784545</v>
      </c>
      <c r="AP42" s="121">
        <f t="shared" si="12"/>
        <v>1646190.3772819696</v>
      </c>
      <c r="AQ42" s="121">
        <f t="shared" si="12"/>
        <v>1551009.2088854848</v>
      </c>
      <c r="AR42" s="121">
        <f t="shared" si="12"/>
        <v>1455828.0404890003</v>
      </c>
      <c r="AS42" s="121">
        <f t="shared" si="12"/>
        <v>47580.147493488781</v>
      </c>
      <c r="AT42" s="121"/>
      <c r="AU42" s="126">
        <f t="shared" si="3"/>
        <v>142300058.83501667</v>
      </c>
    </row>
    <row r="43" spans="1:47" x14ac:dyDescent="0.2">
      <c r="A43" s="486">
        <f t="shared" si="11"/>
        <v>13</v>
      </c>
      <c r="B43" s="21"/>
      <c r="C43" s="21"/>
      <c r="D43" s="523"/>
      <c r="E43" s="10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row>
    <row r="44" spans="1:47" outlineLevel="1" x14ac:dyDescent="0.2">
      <c r="A44" s="486">
        <f t="shared" si="11"/>
        <v>14</v>
      </c>
      <c r="B44" s="21"/>
      <c r="C44" s="21"/>
      <c r="D44" s="523"/>
      <c r="E44" s="62"/>
      <c r="F44" s="52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row>
    <row r="45" spans="1:47" outlineLevel="1" x14ac:dyDescent="0.2">
      <c r="A45" s="486">
        <f t="shared" si="11"/>
        <v>15</v>
      </c>
      <c r="B45" s="21" t="s">
        <v>63</v>
      </c>
      <c r="C45" s="523"/>
      <c r="D45" s="523"/>
      <c r="E45" s="64">
        <f>+E42/$F$22</f>
        <v>0.11501200274320435</v>
      </c>
      <c r="F45" s="122">
        <f t="shared" ref="F45:AS45" si="13">+F42/$F$22</f>
        <v>0.11219783092009139</v>
      </c>
      <c r="G45" s="122">
        <f t="shared" si="13"/>
        <v>0.10933578048320494</v>
      </c>
      <c r="H45" s="122">
        <f t="shared" si="13"/>
        <v>0.10633696125978784</v>
      </c>
      <c r="I45" s="122">
        <f t="shared" si="13"/>
        <v>0.10342955005410724</v>
      </c>
      <c r="J45" s="122">
        <f t="shared" si="13"/>
        <v>0.10060671971131153</v>
      </c>
      <c r="K45" s="122">
        <f t="shared" si="13"/>
        <v>9.7862117184524755E-2</v>
      </c>
      <c r="L45" s="122">
        <f t="shared" si="13"/>
        <v>9.5189863534846847E-2</v>
      </c>
      <c r="M45" s="122">
        <f t="shared" si="13"/>
        <v>9.2558003884708168E-2</v>
      </c>
      <c r="N45" s="122">
        <f t="shared" si="13"/>
        <v>8.9931928351874357E-2</v>
      </c>
      <c r="O45" s="122">
        <f t="shared" si="13"/>
        <v>8.7305852819040547E-2</v>
      </c>
      <c r="P45" s="122">
        <f t="shared" si="13"/>
        <v>8.4679777286206764E-2</v>
      </c>
      <c r="Q45" s="122">
        <f t="shared" si="13"/>
        <v>8.2053701753372954E-2</v>
      </c>
      <c r="R45" s="122">
        <f t="shared" si="13"/>
        <v>7.9427626220539144E-2</v>
      </c>
      <c r="S45" s="122">
        <f t="shared" si="13"/>
        <v>7.6801550687705347E-2</v>
      </c>
      <c r="T45" s="122">
        <f t="shared" si="13"/>
        <v>7.4175475154871537E-2</v>
      </c>
      <c r="U45" s="122">
        <f t="shared" si="13"/>
        <v>7.154939962203774E-2</v>
      </c>
      <c r="V45" s="122">
        <f t="shared" si="13"/>
        <v>6.8923324089203944E-2</v>
      </c>
      <c r="W45" s="122">
        <f t="shared" si="13"/>
        <v>6.6297248556370147E-2</v>
      </c>
      <c r="X45" s="122">
        <f t="shared" si="13"/>
        <v>6.3671173023536351E-2</v>
      </c>
      <c r="Y45" s="122">
        <f t="shared" si="13"/>
        <v>6.1256644469509819E-2</v>
      </c>
      <c r="Z45" s="122">
        <f t="shared" si="13"/>
        <v>5.9265115051502643E-2</v>
      </c>
      <c r="AA45" s="122">
        <f t="shared" si="13"/>
        <v>5.7485132612302751E-2</v>
      </c>
      <c r="AB45" s="122">
        <f t="shared" si="13"/>
        <v>5.570515017310286E-2</v>
      </c>
      <c r="AC45" s="122">
        <f t="shared" si="13"/>
        <v>5.3925167733902948E-2</v>
      </c>
      <c r="AD45" s="122">
        <f t="shared" si="13"/>
        <v>5.2145185294703057E-2</v>
      </c>
      <c r="AE45" s="122">
        <f t="shared" si="13"/>
        <v>5.0365202855503166E-2</v>
      </c>
      <c r="AF45" s="122">
        <f t="shared" si="13"/>
        <v>4.8585220416303254E-2</v>
      </c>
      <c r="AG45" s="122">
        <f t="shared" si="13"/>
        <v>4.6805237977103356E-2</v>
      </c>
      <c r="AH45" s="122">
        <f t="shared" si="13"/>
        <v>4.5025255537903444E-2</v>
      </c>
      <c r="AI45" s="122">
        <f t="shared" si="13"/>
        <v>4.3245273098703539E-2</v>
      </c>
      <c r="AJ45" s="122">
        <f t="shared" si="13"/>
        <v>4.1465290659503648E-2</v>
      </c>
      <c r="AK45" s="122">
        <f t="shared" si="13"/>
        <v>3.9685308220303736E-2</v>
      </c>
      <c r="AL45" s="122">
        <f t="shared" si="13"/>
        <v>3.7905325781103824E-2</v>
      </c>
      <c r="AM45" s="122">
        <f t="shared" si="13"/>
        <v>3.6125343341903919E-2</v>
      </c>
      <c r="AN45" s="122">
        <f t="shared" si="13"/>
        <v>3.4345360902704014E-2</v>
      </c>
      <c r="AO45" s="122">
        <f t="shared" si="13"/>
        <v>3.2565378463504109E-2</v>
      </c>
      <c r="AP45" s="122">
        <f t="shared" si="13"/>
        <v>3.0785396024304201E-2</v>
      </c>
      <c r="AQ45" s="122">
        <f t="shared" si="13"/>
        <v>2.9005413585104299E-2</v>
      </c>
      <c r="AR45" s="122">
        <f t="shared" si="13"/>
        <v>2.7225431145904398E-2</v>
      </c>
      <c r="AS45" s="122">
        <f t="shared" si="13"/>
        <v>8.8979604284915683E-4</v>
      </c>
      <c r="AT45" s="122"/>
    </row>
    <row r="46" spans="1:47" outlineLevel="1" x14ac:dyDescent="0.2">
      <c r="A46" s="486">
        <f t="shared" si="11"/>
        <v>16</v>
      </c>
      <c r="B46" s="21"/>
      <c r="C46" s="21"/>
      <c r="D46" s="523"/>
      <c r="E46" s="62"/>
      <c r="F46" s="52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row>
    <row r="47" spans="1:47" outlineLevel="1" x14ac:dyDescent="0.2">
      <c r="A47" s="486">
        <f t="shared" si="11"/>
        <v>17</v>
      </c>
      <c r="B47" s="21"/>
      <c r="C47" s="21"/>
      <c r="D47" s="523"/>
      <c r="E47" s="62">
        <f>+E27/2</f>
        <v>667077.03032488609</v>
      </c>
      <c r="F47" s="120"/>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row>
    <row r="48" spans="1:47" outlineLevel="1" x14ac:dyDescent="0.2">
      <c r="A48" s="486">
        <f t="shared" si="11"/>
        <v>18</v>
      </c>
      <c r="B48" s="21"/>
      <c r="C48" s="21"/>
      <c r="D48" s="523"/>
      <c r="E48" s="62">
        <f>+E60/2</f>
        <v>70464.131493024048</v>
      </c>
      <c r="F48" s="120"/>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row>
    <row r="49" spans="1:47" x14ac:dyDescent="0.2">
      <c r="A49" s="486">
        <f t="shared" si="11"/>
        <v>19</v>
      </c>
      <c r="B49" s="65" t="s">
        <v>64</v>
      </c>
      <c r="C49" s="21"/>
      <c r="D49" s="523"/>
      <c r="E49" s="60">
        <f>F22-E27/2-E60/2</f>
        <v>52735552.898182124</v>
      </c>
      <c r="F49" s="138">
        <f>$F$22-(SUM($E$27:E27)+F27/2)-(SUM($E$60:E60)+F60/2)</f>
        <v>51065697.503087454</v>
      </c>
      <c r="G49" s="138">
        <f>$F$22-(SUM($E$27:F27)+G27/2)-(SUM($E$60:F60)+G60/2)</f>
        <v>49231500.574363485</v>
      </c>
      <c r="H49" s="138">
        <f>$F$22-(SUM($E$27:G27)+H27/2)-(SUM($E$60:G60)+H60/2)</f>
        <v>47455808.557850562</v>
      </c>
      <c r="I49" s="138">
        <f>$F$22-(SUM($E$27:H27)+I27/2)-(SUM($E$60:H60)+I60/2)</f>
        <v>45734242.007145174</v>
      </c>
      <c r="J49" s="138">
        <f>$F$22-(SUM($E$27:I27)+J27/2)-(SUM($E$60:I60)+J60/2)</f>
        <v>44062758.356336385</v>
      </c>
      <c r="K49" s="138">
        <f>$F$22-(SUM($E$27:J27)+K27/2)-(SUM($E$60:J60)+K60/2)</f>
        <v>42437595.773257062</v>
      </c>
      <c r="L49" s="138">
        <f>$F$22-(SUM($E$27:K27)+L27/2)-(SUM($E$60:K60)+L60/2)</f>
        <v>40855273.15948391</v>
      </c>
      <c r="M49" s="138">
        <f>$F$22-(SUM($E$27:L27)+M27/2)-(SUM($E$60:L60)+M60/2)</f>
        <v>39296869.060683802</v>
      </c>
      <c r="N49" s="138">
        <f>$F$22-(SUM($E$27:M27)+N27/2)-(SUM($E$60:M60)+N60/2)</f>
        <v>37741889.91355823</v>
      </c>
      <c r="O49" s="138">
        <f>$F$22-(SUM($E$27:N27)+O27/2)-(SUM($E$60:N60)+O60/2)</f>
        <v>36186910.766432665</v>
      </c>
      <c r="P49" s="138">
        <f>$F$22-(SUM($E$27:O27)+P27/2)-(SUM($E$60:O60)+P60/2)</f>
        <v>34631931.619307093</v>
      </c>
      <c r="Q49" s="138">
        <f>$F$22-(SUM($E$27:P27)+Q27/2)-(SUM($E$60:P60)+Q60/2)</f>
        <v>33076952.472181525</v>
      </c>
      <c r="R49" s="138">
        <f>$F$22-(SUM($E$27:Q27)+R27/2)-(SUM($E$60:Q60)+R60/2)</f>
        <v>31521973.325055953</v>
      </c>
      <c r="S49" s="138">
        <f>$F$22-(SUM($E$27:R27)+S27/2)-(SUM($E$60:R60)+S60/2)</f>
        <v>29966994.177930381</v>
      </c>
      <c r="T49" s="138">
        <f>$F$22-(SUM($E$27:S27)+T27/2)-(SUM($E$60:S60)+T60/2)</f>
        <v>28412015.030804817</v>
      </c>
      <c r="U49" s="138">
        <f>$F$22-(SUM($E$27:T27)+U27/2)-(SUM($E$60:T60)+U60/2)</f>
        <v>26857035.883679248</v>
      </c>
      <c r="V49" s="138">
        <f>$F$22-(SUM($E$27:U27)+V27/2)-(SUM($E$60:U60)+V60/2)</f>
        <v>25302056.73655368</v>
      </c>
      <c r="W49" s="138">
        <f>$F$22-(SUM($E$27:V27)+W27/2)-(SUM($E$60:V60)+W60/2)</f>
        <v>23747077.589428112</v>
      </c>
      <c r="X49" s="138">
        <f>$F$22-(SUM($E$27:W27)+X27/2)-(SUM($E$60:W60)+X60/2)</f>
        <v>22192098.442302544</v>
      </c>
      <c r="Y49" s="138">
        <f>$F$22-(SUM($E$27:X27)+Y27/2)-(SUM($E$60:X60)+Y60/2)</f>
        <v>20762382.691667229</v>
      </c>
      <c r="Z49" s="138">
        <f>$F$22-(SUM($E$27:Y27)+Z27/2)-(SUM($E$60:Y60)+Z60/2)</f>
        <v>19583137.587263655</v>
      </c>
      <c r="AA49" s="138">
        <f>$F$22-(SUM($E$27:Z27)+AA27/2)-(SUM($E$60:Z60)+AA60/2)</f>
        <v>18529155.879350334</v>
      </c>
      <c r="AB49" s="138">
        <f>$F$22-(SUM($E$27:AA27)+AB27/2)-(SUM($E$60:AA60)+AB60/2)</f>
        <v>17475174.171437018</v>
      </c>
      <c r="AC49" s="138">
        <f>$F$22-(SUM($E$27:AB27)+AC27/2)-(SUM($E$60:AB60)+AC60/2)</f>
        <v>16421192.463523697</v>
      </c>
      <c r="AD49" s="138">
        <f>$F$22-(SUM($E$27:AC27)+AD27/2)-(SUM($E$60:AC60)+AD60/2)</f>
        <v>15367210.75561038</v>
      </c>
      <c r="AE49" s="138">
        <f>$F$22-(SUM($E$27:AD27)+AE27/2)-(SUM($E$60:AD60)+AE60/2)</f>
        <v>14313229.047697064</v>
      </c>
      <c r="AF49" s="138">
        <f>$F$22-(SUM($E$27:AE27)+AF27/2)-(SUM($E$60:AE60)+AF60/2)</f>
        <v>13259247.339783741</v>
      </c>
      <c r="AG49" s="138">
        <f>$F$22-(SUM($E$27:AF27)+AG27/2)-(SUM($E$60:AF60)+AG60/2)</f>
        <v>12205265.631870419</v>
      </c>
      <c r="AH49" s="138">
        <f>$F$22-(SUM($E$27:AG27)+AH27/2)-(SUM($E$60:AG60)+AH60/2)</f>
        <v>11151283.923957095</v>
      </c>
      <c r="AI49" s="138">
        <f>$F$22-(SUM($E$27:AH27)+AI27/2)-(SUM($E$60:AH60)+AI60/2)</f>
        <v>10097302.216043772</v>
      </c>
      <c r="AJ49" s="138">
        <f>$F$22-(SUM($E$27:AI27)+AJ27/2)-(SUM($E$60:AI60)+AJ60/2)</f>
        <v>9043320.5081304498</v>
      </c>
      <c r="AK49" s="138">
        <f>$F$22-(SUM($E$27:AJ27)+AK27/2)-(SUM($E$60:AJ60)+AK60/2)</f>
        <v>7989338.8002171265</v>
      </c>
      <c r="AL49" s="138">
        <f>$F$22-(SUM($E$27:AK27)+AL27/2)-(SUM($E$60:AK60)+AL60/2)</f>
        <v>6935357.0923038041</v>
      </c>
      <c r="AM49" s="138">
        <f>$F$22-(SUM($E$27:AL27)+AM27/2)-(SUM($E$60:AL60)+AM60/2)</f>
        <v>5881375.3843904808</v>
      </c>
      <c r="AN49" s="138">
        <f>$F$22-(SUM($E$27:AM27)+AN27/2)-(SUM($E$60:AM60)+AN60/2)</f>
        <v>4827393.6764771584</v>
      </c>
      <c r="AO49" s="138">
        <f>$F$22-(SUM($E$27:AN27)+AO27/2)-(SUM($E$60:AN60)+AO60/2)</f>
        <v>3773411.9685638351</v>
      </c>
      <c r="AP49" s="138">
        <f>$F$22-(SUM($E$27:AO27)+AP27/2)-(SUM($E$60:AO60)+AP60/2)</f>
        <v>2719430.2606505128</v>
      </c>
      <c r="AQ49" s="138">
        <f>$F$22-(SUM($E$27:AP27)+AQ27/2)-(SUM($E$60:AP60)+AQ60/2)</f>
        <v>1665448.5527371897</v>
      </c>
      <c r="AR49" s="138">
        <f>$F$22-(SUM($E$27:AQ27)+AR27/2)-(SUM($E$60:AQ60)+AR60/2)</f>
        <v>611466.84482386685</v>
      </c>
      <c r="AS49" s="138">
        <f>$F$22-(SUM($E$27:AR27)+AS27/2)-(SUM($E$60:AR60)+AS60/2)</f>
        <v>68876.283517198128</v>
      </c>
      <c r="AT49" s="138"/>
      <c r="AU49" s="126">
        <f t="shared" ref="AU49:AU60" si="14">SUM(D49:AT49)</f>
        <v>955192234.92764044</v>
      </c>
    </row>
    <row r="50" spans="1:47" x14ac:dyDescent="0.2">
      <c r="A50" s="486">
        <f t="shared" si="11"/>
        <v>20</v>
      </c>
      <c r="B50" s="21"/>
      <c r="C50" s="21"/>
      <c r="D50" s="523"/>
      <c r="E50" s="108"/>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6">
        <f t="shared" si="14"/>
        <v>0</v>
      </c>
    </row>
    <row r="51" spans="1:47" x14ac:dyDescent="0.2">
      <c r="A51" s="486">
        <f t="shared" si="11"/>
        <v>21</v>
      </c>
      <c r="B51" s="21"/>
      <c r="C51" s="21"/>
      <c r="D51" s="523"/>
      <c r="E51" s="57"/>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6">
        <f t="shared" si="14"/>
        <v>0</v>
      </c>
    </row>
    <row r="52" spans="1:47" x14ac:dyDescent="0.2">
      <c r="A52" s="486">
        <f t="shared" si="11"/>
        <v>22</v>
      </c>
      <c r="B52" s="21" t="s">
        <v>65</v>
      </c>
      <c r="C52" s="21"/>
      <c r="D52" s="523"/>
      <c r="E52" s="57">
        <f>(E34)/(1-$F$15)</f>
        <v>3043976.2179203862</v>
      </c>
      <c r="F52" s="123">
        <f t="shared" ref="F52:AS52" si="15">(F34)/(1-$F$15)</f>
        <v>2947589.6280263136</v>
      </c>
      <c r="G52" s="123">
        <f t="shared" si="15"/>
        <v>2841716.9951784494</v>
      </c>
      <c r="H52" s="123">
        <f t="shared" si="15"/>
        <v>2739221.3547316273</v>
      </c>
      <c r="I52" s="123">
        <f t="shared" si="15"/>
        <v>2639849.9183871136</v>
      </c>
      <c r="J52" s="123">
        <f t="shared" si="15"/>
        <v>2543369.3430999229</v>
      </c>
      <c r="K52" s="123">
        <f t="shared" si="15"/>
        <v>2449562.4902031925</v>
      </c>
      <c r="L52" s="123">
        <f t="shared" si="15"/>
        <v>2358228.4254081855</v>
      </c>
      <c r="M52" s="123">
        <f t="shared" si="15"/>
        <v>2268274.9736293438</v>
      </c>
      <c r="N52" s="123">
        <f t="shared" si="15"/>
        <v>2178519.2152636144</v>
      </c>
      <c r="O52" s="123">
        <f t="shared" si="15"/>
        <v>2088763.4568978855</v>
      </c>
      <c r="P52" s="123">
        <f t="shared" si="15"/>
        <v>1999007.6985321564</v>
      </c>
      <c r="Q52" s="123">
        <f t="shared" si="15"/>
        <v>1909251.9401664273</v>
      </c>
      <c r="R52" s="123">
        <f t="shared" si="15"/>
        <v>1819496.1818006979</v>
      </c>
      <c r="S52" s="123">
        <f t="shared" si="15"/>
        <v>1729740.4234349688</v>
      </c>
      <c r="T52" s="123">
        <f t="shared" si="15"/>
        <v>1639984.6650692401</v>
      </c>
      <c r="U52" s="123">
        <f t="shared" si="15"/>
        <v>1550228.906703511</v>
      </c>
      <c r="V52" s="123">
        <f t="shared" si="15"/>
        <v>1460473.1483377819</v>
      </c>
      <c r="W52" s="123">
        <f t="shared" si="15"/>
        <v>1370717.3899720532</v>
      </c>
      <c r="X52" s="123">
        <f t="shared" si="15"/>
        <v>1280961.6316063241</v>
      </c>
      <c r="Y52" s="123">
        <f t="shared" si="15"/>
        <v>1198436.2667595262</v>
      </c>
      <c r="Z52" s="123">
        <f t="shared" si="15"/>
        <v>1130368.4480749653</v>
      </c>
      <c r="AA52" s="123">
        <f t="shared" si="15"/>
        <v>1069531.0229093358</v>
      </c>
      <c r="AB52" s="123">
        <f t="shared" si="15"/>
        <v>1008693.5977437063</v>
      </c>
      <c r="AC52" s="123">
        <f t="shared" si="15"/>
        <v>947856.17257807672</v>
      </c>
      <c r="AD52" s="123">
        <f t="shared" si="15"/>
        <v>887018.74741244724</v>
      </c>
      <c r="AE52" s="123">
        <f t="shared" si="15"/>
        <v>826181.32224681787</v>
      </c>
      <c r="AF52" s="123">
        <f t="shared" si="15"/>
        <v>765343.89708118816</v>
      </c>
      <c r="AG52" s="123">
        <f t="shared" si="15"/>
        <v>704506.47191555833</v>
      </c>
      <c r="AH52" s="123">
        <f t="shared" si="15"/>
        <v>643669.0467499285</v>
      </c>
      <c r="AI52" s="123">
        <f t="shared" si="15"/>
        <v>582831.62158429879</v>
      </c>
      <c r="AJ52" s="123">
        <f t="shared" si="15"/>
        <v>521994.19641866902</v>
      </c>
      <c r="AK52" s="123">
        <f t="shared" si="15"/>
        <v>461156.77125303919</v>
      </c>
      <c r="AL52" s="123">
        <f t="shared" si="15"/>
        <v>400319.34608740942</v>
      </c>
      <c r="AM52" s="123">
        <f t="shared" si="15"/>
        <v>339481.92092177965</v>
      </c>
      <c r="AN52" s="123">
        <f t="shared" si="15"/>
        <v>278644.49575614993</v>
      </c>
      <c r="AO52" s="123">
        <f t="shared" si="15"/>
        <v>217807.0705905201</v>
      </c>
      <c r="AP52" s="123">
        <f t="shared" si="15"/>
        <v>156969.64542489036</v>
      </c>
      <c r="AQ52" s="123">
        <f t="shared" si="15"/>
        <v>96132.220259260575</v>
      </c>
      <c r="AR52" s="123">
        <f t="shared" si="15"/>
        <v>35294.795093630797</v>
      </c>
      <c r="AS52" s="123">
        <f t="shared" si="15"/>
        <v>3975.6437068154864</v>
      </c>
      <c r="AT52" s="123"/>
      <c r="AU52" s="126">
        <f t="shared" si="14"/>
        <v>55135146.724937208</v>
      </c>
    </row>
    <row r="53" spans="1:47" x14ac:dyDescent="0.2">
      <c r="A53" s="486">
        <f t="shared" si="11"/>
        <v>23</v>
      </c>
      <c r="B53" s="21" t="s">
        <v>66</v>
      </c>
      <c r="C53" s="21"/>
      <c r="D53" s="523"/>
      <c r="E53" s="59">
        <f t="shared" ref="E53:AS53" si="16">E52*$F15</f>
        <v>639235.00576328114</v>
      </c>
      <c r="F53" s="121">
        <f t="shared" si="16"/>
        <v>618993.82188552583</v>
      </c>
      <c r="G53" s="121">
        <f t="shared" si="16"/>
        <v>596760.56898747431</v>
      </c>
      <c r="H53" s="121">
        <f t="shared" si="16"/>
        <v>575236.48449364165</v>
      </c>
      <c r="I53" s="121">
        <f t="shared" si="16"/>
        <v>554368.48286129383</v>
      </c>
      <c r="J53" s="121">
        <f t="shared" si="16"/>
        <v>534107.56205098378</v>
      </c>
      <c r="K53" s="121">
        <f t="shared" si="16"/>
        <v>514408.12294267042</v>
      </c>
      <c r="L53" s="121">
        <f t="shared" si="16"/>
        <v>495227.96933571895</v>
      </c>
      <c r="M53" s="121">
        <f t="shared" si="16"/>
        <v>476337.7444621622</v>
      </c>
      <c r="N53" s="121">
        <f t="shared" si="16"/>
        <v>457489.03520535899</v>
      </c>
      <c r="O53" s="121">
        <f t="shared" si="16"/>
        <v>438640.32594855595</v>
      </c>
      <c r="P53" s="121">
        <f t="shared" si="16"/>
        <v>419791.6166917528</v>
      </c>
      <c r="Q53" s="121">
        <f t="shared" si="16"/>
        <v>400942.90743494971</v>
      </c>
      <c r="R53" s="121">
        <f t="shared" si="16"/>
        <v>382094.19817814656</v>
      </c>
      <c r="S53" s="121">
        <f t="shared" si="16"/>
        <v>363245.48892134341</v>
      </c>
      <c r="T53" s="121">
        <f t="shared" si="16"/>
        <v>344396.77966454043</v>
      </c>
      <c r="U53" s="121">
        <f t="shared" si="16"/>
        <v>325548.07040773728</v>
      </c>
      <c r="V53" s="121">
        <f t="shared" si="16"/>
        <v>306699.36115093419</v>
      </c>
      <c r="W53" s="121">
        <f t="shared" si="16"/>
        <v>287850.65189413115</v>
      </c>
      <c r="X53" s="121">
        <f t="shared" si="16"/>
        <v>269001.94263732806</v>
      </c>
      <c r="Y53" s="121">
        <f t="shared" si="16"/>
        <v>251671.61601950051</v>
      </c>
      <c r="Z53" s="121">
        <f t="shared" si="16"/>
        <v>237377.37409574271</v>
      </c>
      <c r="AA53" s="121">
        <f t="shared" si="16"/>
        <v>224601.51481096051</v>
      </c>
      <c r="AB53" s="121">
        <f t="shared" si="16"/>
        <v>211825.65552617831</v>
      </c>
      <c r="AC53" s="121">
        <f t="shared" si="16"/>
        <v>199049.79624139611</v>
      </c>
      <c r="AD53" s="121">
        <f t="shared" si="16"/>
        <v>186273.93695661391</v>
      </c>
      <c r="AE53" s="121">
        <f t="shared" si="16"/>
        <v>173498.07767183174</v>
      </c>
      <c r="AF53" s="121">
        <f t="shared" si="16"/>
        <v>160722.21838704951</v>
      </c>
      <c r="AG53" s="121">
        <f t="shared" si="16"/>
        <v>147946.35910226725</v>
      </c>
      <c r="AH53" s="121">
        <f t="shared" si="16"/>
        <v>135170.49981748499</v>
      </c>
      <c r="AI53" s="121">
        <f t="shared" si="16"/>
        <v>122394.64053270275</v>
      </c>
      <c r="AJ53" s="121">
        <f t="shared" si="16"/>
        <v>109618.78124792049</v>
      </c>
      <c r="AK53" s="121">
        <f t="shared" si="16"/>
        <v>96842.921963138229</v>
      </c>
      <c r="AL53" s="121">
        <f t="shared" si="16"/>
        <v>84067.062678355971</v>
      </c>
      <c r="AM53" s="121">
        <f t="shared" si="16"/>
        <v>71291.203393573727</v>
      </c>
      <c r="AN53" s="121">
        <f t="shared" si="16"/>
        <v>58515.344108791483</v>
      </c>
      <c r="AO53" s="121">
        <f t="shared" si="16"/>
        <v>45739.484824009218</v>
      </c>
      <c r="AP53" s="121">
        <f t="shared" si="16"/>
        <v>32963.625539226974</v>
      </c>
      <c r="AQ53" s="121">
        <f t="shared" si="16"/>
        <v>20187.766254444719</v>
      </c>
      <c r="AR53" s="121">
        <f t="shared" si="16"/>
        <v>7411.9069696624674</v>
      </c>
      <c r="AS53" s="121">
        <f t="shared" si="16"/>
        <v>834.88517843125214</v>
      </c>
      <c r="AT53" s="121"/>
      <c r="AU53" s="126">
        <f t="shared" si="14"/>
        <v>11578380.812236814</v>
      </c>
    </row>
    <row r="54" spans="1:47" x14ac:dyDescent="0.2">
      <c r="A54" s="486">
        <f t="shared" si="11"/>
        <v>24</v>
      </c>
      <c r="B54" s="21" t="s">
        <v>67</v>
      </c>
      <c r="C54" s="21"/>
      <c r="D54" s="523"/>
      <c r="E54" s="57">
        <f>E52-E53</f>
        <v>2404741.2121571051</v>
      </c>
      <c r="F54" s="123">
        <f t="shared" ref="F54:AS54" si="17">F52-F53</f>
        <v>2328595.8061407879</v>
      </c>
      <c r="G54" s="123">
        <f t="shared" si="17"/>
        <v>2244956.4261909751</v>
      </c>
      <c r="H54" s="123">
        <f t="shared" si="17"/>
        <v>2163984.8702379856</v>
      </c>
      <c r="I54" s="123">
        <f t="shared" si="17"/>
        <v>2085481.4355258197</v>
      </c>
      <c r="J54" s="123">
        <f t="shared" si="17"/>
        <v>2009261.7810489391</v>
      </c>
      <c r="K54" s="123">
        <f t="shared" si="17"/>
        <v>1935154.367260522</v>
      </c>
      <c r="L54" s="123">
        <f t="shared" si="17"/>
        <v>1863000.4560724664</v>
      </c>
      <c r="M54" s="123">
        <f t="shared" si="17"/>
        <v>1791937.2291671815</v>
      </c>
      <c r="N54" s="123">
        <f t="shared" si="17"/>
        <v>1721030.1800582553</v>
      </c>
      <c r="O54" s="123">
        <f t="shared" si="17"/>
        <v>1650123.1309493296</v>
      </c>
      <c r="P54" s="123">
        <f t="shared" si="17"/>
        <v>1579216.0818404036</v>
      </c>
      <c r="Q54" s="123">
        <f t="shared" si="17"/>
        <v>1508309.0327314776</v>
      </c>
      <c r="R54" s="123">
        <f t="shared" si="17"/>
        <v>1437401.9836225514</v>
      </c>
      <c r="S54" s="123">
        <f t="shared" si="17"/>
        <v>1366494.9345136255</v>
      </c>
      <c r="T54" s="123">
        <f t="shared" si="17"/>
        <v>1295587.8854046997</v>
      </c>
      <c r="U54" s="123">
        <f t="shared" si="17"/>
        <v>1224680.8362957737</v>
      </c>
      <c r="V54" s="123">
        <f t="shared" si="17"/>
        <v>1153773.7871868478</v>
      </c>
      <c r="W54" s="123">
        <f t="shared" si="17"/>
        <v>1082866.738077922</v>
      </c>
      <c r="X54" s="123">
        <f t="shared" si="17"/>
        <v>1011959.6889689961</v>
      </c>
      <c r="Y54" s="123">
        <f t="shared" si="17"/>
        <v>946764.65074002568</v>
      </c>
      <c r="Z54" s="123">
        <f t="shared" si="17"/>
        <v>892991.07397922256</v>
      </c>
      <c r="AA54" s="123">
        <f t="shared" si="17"/>
        <v>844929.50809837529</v>
      </c>
      <c r="AB54" s="123">
        <f t="shared" si="17"/>
        <v>796867.94221752801</v>
      </c>
      <c r="AC54" s="123">
        <f t="shared" si="17"/>
        <v>748806.37633668061</v>
      </c>
      <c r="AD54" s="123">
        <f t="shared" si="17"/>
        <v>700744.81045583333</v>
      </c>
      <c r="AE54" s="123">
        <f t="shared" si="17"/>
        <v>652683.24457498617</v>
      </c>
      <c r="AF54" s="123">
        <f t="shared" si="17"/>
        <v>604621.67869413865</v>
      </c>
      <c r="AG54" s="123">
        <f t="shared" si="17"/>
        <v>556560.11281329114</v>
      </c>
      <c r="AH54" s="123">
        <f t="shared" si="17"/>
        <v>508498.54693244351</v>
      </c>
      <c r="AI54" s="123">
        <f t="shared" si="17"/>
        <v>460436.98105159606</v>
      </c>
      <c r="AJ54" s="123">
        <f t="shared" si="17"/>
        <v>412375.41517074854</v>
      </c>
      <c r="AK54" s="123">
        <f t="shared" si="17"/>
        <v>364313.84928990097</v>
      </c>
      <c r="AL54" s="123">
        <f t="shared" si="17"/>
        <v>316252.28340905346</v>
      </c>
      <c r="AM54" s="123">
        <f t="shared" si="17"/>
        <v>268190.71752820595</v>
      </c>
      <c r="AN54" s="123">
        <f t="shared" si="17"/>
        <v>220129.15164735843</v>
      </c>
      <c r="AO54" s="123">
        <f t="shared" si="17"/>
        <v>172067.58576651089</v>
      </c>
      <c r="AP54" s="123">
        <f t="shared" si="17"/>
        <v>124006.01988566338</v>
      </c>
      <c r="AQ54" s="123">
        <f t="shared" si="17"/>
        <v>75944.454004815852</v>
      </c>
      <c r="AR54" s="123">
        <f t="shared" si="17"/>
        <v>27882.888123968329</v>
      </c>
      <c r="AS54" s="123">
        <f t="shared" si="17"/>
        <v>3140.7585283842345</v>
      </c>
      <c r="AT54" s="123"/>
      <c r="AU54" s="126">
        <f t="shared" si="14"/>
        <v>43556765.9127004</v>
      </c>
    </row>
    <row r="55" spans="1:47" x14ac:dyDescent="0.2">
      <c r="A55" s="486">
        <f t="shared" si="11"/>
        <v>25</v>
      </c>
      <c r="B55" s="21"/>
      <c r="C55" s="21"/>
      <c r="D55" s="523"/>
      <c r="E55" s="526"/>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525"/>
      <c r="AU55" s="126">
        <f t="shared" si="14"/>
        <v>0</v>
      </c>
    </row>
    <row r="56" spans="1:47" x14ac:dyDescent="0.2">
      <c r="A56" s="486">
        <f t="shared" si="11"/>
        <v>26</v>
      </c>
      <c r="B56" s="21"/>
      <c r="C56" s="21"/>
      <c r="D56" s="523"/>
      <c r="E56" s="108"/>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126">
        <f t="shared" si="14"/>
        <v>0</v>
      </c>
    </row>
    <row r="57" spans="1:47" x14ac:dyDescent="0.2">
      <c r="A57" s="486">
        <f t="shared" si="11"/>
        <v>27</v>
      </c>
      <c r="B57" s="21" t="s">
        <v>68</v>
      </c>
      <c r="C57" s="21"/>
      <c r="D57" s="523"/>
      <c r="E57" s="57">
        <f>E27+E28</f>
        <v>1334154.0606497722</v>
      </c>
      <c r="F57" s="123">
        <f>F27</f>
        <v>1334154.0606497722</v>
      </c>
      <c r="G57" s="123">
        <f>G27</f>
        <v>1334154.0606497722</v>
      </c>
      <c r="H57" s="123">
        <f t="shared" ref="H57:AS57" si="18">H27</f>
        <v>1334154.0606497722</v>
      </c>
      <c r="I57" s="123">
        <f t="shared" si="18"/>
        <v>1334154.0606497722</v>
      </c>
      <c r="J57" s="123">
        <f t="shared" si="18"/>
        <v>1334154.0606497722</v>
      </c>
      <c r="K57" s="123">
        <f t="shared" si="18"/>
        <v>1334154.0606497722</v>
      </c>
      <c r="L57" s="123">
        <f t="shared" si="18"/>
        <v>1334154.0606497722</v>
      </c>
      <c r="M57" s="123">
        <f t="shared" si="18"/>
        <v>1334154.0606497722</v>
      </c>
      <c r="N57" s="123">
        <f t="shared" si="18"/>
        <v>1334154.0606497722</v>
      </c>
      <c r="O57" s="123">
        <f t="shared" si="18"/>
        <v>1334154.0606497722</v>
      </c>
      <c r="P57" s="123">
        <f t="shared" si="18"/>
        <v>1334154.0606497722</v>
      </c>
      <c r="Q57" s="123">
        <f t="shared" si="18"/>
        <v>1334154.0606497722</v>
      </c>
      <c r="R57" s="123">
        <f t="shared" si="18"/>
        <v>1334154.0606497722</v>
      </c>
      <c r="S57" s="123">
        <f t="shared" si="18"/>
        <v>1334154.0606497722</v>
      </c>
      <c r="T57" s="123">
        <f t="shared" si="18"/>
        <v>1334154.0606497722</v>
      </c>
      <c r="U57" s="123">
        <f t="shared" si="18"/>
        <v>1334154.0606497722</v>
      </c>
      <c r="V57" s="123">
        <f t="shared" si="18"/>
        <v>1334154.0606497722</v>
      </c>
      <c r="W57" s="123">
        <f t="shared" si="18"/>
        <v>1334154.0606497722</v>
      </c>
      <c r="X57" s="123">
        <f t="shared" si="18"/>
        <v>1334154.0606497722</v>
      </c>
      <c r="Y57" s="123">
        <f t="shared" si="18"/>
        <v>1334154.0606497722</v>
      </c>
      <c r="Z57" s="123">
        <f t="shared" si="18"/>
        <v>1334154.0606497722</v>
      </c>
      <c r="AA57" s="123">
        <f t="shared" si="18"/>
        <v>1334154.0606497722</v>
      </c>
      <c r="AB57" s="123">
        <f t="shared" si="18"/>
        <v>1334154.0606497722</v>
      </c>
      <c r="AC57" s="123">
        <f t="shared" si="18"/>
        <v>1334154.0606497722</v>
      </c>
      <c r="AD57" s="123">
        <f t="shared" si="18"/>
        <v>1334154.0606497722</v>
      </c>
      <c r="AE57" s="123">
        <f t="shared" si="18"/>
        <v>1334154.0606497722</v>
      </c>
      <c r="AF57" s="123">
        <f t="shared" si="18"/>
        <v>1334154.0606497722</v>
      </c>
      <c r="AG57" s="123">
        <f t="shared" si="18"/>
        <v>1334154.0606497722</v>
      </c>
      <c r="AH57" s="123">
        <f t="shared" si="18"/>
        <v>1334154.0606497722</v>
      </c>
      <c r="AI57" s="123">
        <f t="shared" si="18"/>
        <v>1334154.0606497722</v>
      </c>
      <c r="AJ57" s="123">
        <f t="shared" si="18"/>
        <v>1334154.0606497722</v>
      </c>
      <c r="AK57" s="123">
        <f t="shared" si="18"/>
        <v>1334154.0606497722</v>
      </c>
      <c r="AL57" s="123">
        <f t="shared" si="18"/>
        <v>1334154.0606497722</v>
      </c>
      <c r="AM57" s="123">
        <f t="shared" si="18"/>
        <v>1334154.0606497722</v>
      </c>
      <c r="AN57" s="123">
        <f t="shared" si="18"/>
        <v>1334154.0606497722</v>
      </c>
      <c r="AO57" s="123">
        <f t="shared" si="18"/>
        <v>1334154.0606497722</v>
      </c>
      <c r="AP57" s="123">
        <f t="shared" si="18"/>
        <v>1334154.0606497722</v>
      </c>
      <c r="AQ57" s="123">
        <f t="shared" si="18"/>
        <v>1334154.0606497722</v>
      </c>
      <c r="AR57" s="123">
        <f t="shared" si="18"/>
        <v>1334154.0606497722</v>
      </c>
      <c r="AS57" s="123">
        <f t="shared" si="18"/>
        <v>39492.93</v>
      </c>
      <c r="AT57" s="123"/>
      <c r="AU57" s="126">
        <f t="shared" si="14"/>
        <v>53405655.355990909</v>
      </c>
    </row>
    <row r="58" spans="1:47" x14ac:dyDescent="0.2">
      <c r="A58" s="486">
        <f t="shared" si="11"/>
        <v>28</v>
      </c>
      <c r="B58" s="21" t="s">
        <v>69</v>
      </c>
      <c r="C58" s="21"/>
      <c r="D58" s="523"/>
      <c r="E58" s="57">
        <f>$F22*E62</f>
        <v>2005241.0272500012</v>
      </c>
      <c r="F58" s="123">
        <f t="shared" ref="F58:AS58" si="19">$F22*F62</f>
        <v>3860222.6601914028</v>
      </c>
      <c r="G58" s="123">
        <f t="shared" si="19"/>
        <v>3570398.490386202</v>
      </c>
      <c r="H58" s="123">
        <f t="shared" si="19"/>
        <v>3303033.0200862018</v>
      </c>
      <c r="I58" s="123">
        <f t="shared" si="19"/>
        <v>3054917.8636478018</v>
      </c>
      <c r="J58" s="123">
        <f t="shared" si="19"/>
        <v>2826053.0210710019</v>
      </c>
      <c r="K58" s="123">
        <f t="shared" si="19"/>
        <v>2613764.8376528015</v>
      </c>
      <c r="L58" s="123">
        <f t="shared" si="19"/>
        <v>2418053.3133932017</v>
      </c>
      <c r="M58" s="123">
        <f t="shared" si="19"/>
        <v>2385969.4569572015</v>
      </c>
      <c r="N58" s="123">
        <f t="shared" si="19"/>
        <v>2385434.7260166015</v>
      </c>
      <c r="O58" s="123">
        <f t="shared" si="19"/>
        <v>2385969.4569572015</v>
      </c>
      <c r="P58" s="123">
        <f t="shared" si="19"/>
        <v>2385434.7260166015</v>
      </c>
      <c r="Q58" s="123">
        <f t="shared" si="19"/>
        <v>2385969.4569572015</v>
      </c>
      <c r="R58" s="123">
        <f t="shared" si="19"/>
        <v>2385434.7260166015</v>
      </c>
      <c r="S58" s="123">
        <f t="shared" si="19"/>
        <v>2385969.4569572015</v>
      </c>
      <c r="T58" s="123">
        <f t="shared" si="19"/>
        <v>2385434.7260166015</v>
      </c>
      <c r="U58" s="123">
        <f t="shared" si="19"/>
        <v>2385969.4569572015</v>
      </c>
      <c r="V58" s="123">
        <f t="shared" si="19"/>
        <v>2385434.7260166015</v>
      </c>
      <c r="W58" s="123">
        <f t="shared" si="19"/>
        <v>2385969.4569572015</v>
      </c>
      <c r="X58" s="123">
        <f t="shared" si="19"/>
        <v>2385434.7260166015</v>
      </c>
      <c r="Y58" s="123">
        <f t="shared" si="19"/>
        <v>1192984.7284786007</v>
      </c>
      <c r="Z58" s="123">
        <f t="shared" si="19"/>
        <v>0</v>
      </c>
      <c r="AA58" s="123">
        <f t="shared" si="19"/>
        <v>0</v>
      </c>
      <c r="AB58" s="123">
        <f t="shared" si="19"/>
        <v>0</v>
      </c>
      <c r="AC58" s="123">
        <f t="shared" si="19"/>
        <v>0</v>
      </c>
      <c r="AD58" s="123">
        <f t="shared" si="19"/>
        <v>0</v>
      </c>
      <c r="AE58" s="123">
        <f t="shared" si="19"/>
        <v>0</v>
      </c>
      <c r="AF58" s="123">
        <f t="shared" si="19"/>
        <v>0</v>
      </c>
      <c r="AG58" s="123">
        <f t="shared" si="19"/>
        <v>0</v>
      </c>
      <c r="AH58" s="123">
        <f t="shared" si="19"/>
        <v>0</v>
      </c>
      <c r="AI58" s="123">
        <f t="shared" si="19"/>
        <v>0</v>
      </c>
      <c r="AJ58" s="123">
        <f t="shared" si="19"/>
        <v>0</v>
      </c>
      <c r="AK58" s="123">
        <f t="shared" si="19"/>
        <v>0</v>
      </c>
      <c r="AL58" s="123">
        <f t="shared" si="19"/>
        <v>0</v>
      </c>
      <c r="AM58" s="123">
        <f t="shared" si="19"/>
        <v>0</v>
      </c>
      <c r="AN58" s="123">
        <f t="shared" si="19"/>
        <v>0</v>
      </c>
      <c r="AO58" s="123">
        <f t="shared" si="19"/>
        <v>0</v>
      </c>
      <c r="AP58" s="123">
        <f t="shared" si="19"/>
        <v>0</v>
      </c>
      <c r="AQ58" s="123">
        <f t="shared" si="19"/>
        <v>0</v>
      </c>
      <c r="AR58" s="123">
        <f t="shared" si="19"/>
        <v>0</v>
      </c>
      <c r="AS58" s="123">
        <f t="shared" si="19"/>
        <v>0</v>
      </c>
      <c r="AT58" s="123"/>
      <c r="AU58" s="126">
        <f t="shared" si="14"/>
        <v>53473094.060000032</v>
      </c>
    </row>
    <row r="59" spans="1:47" x14ac:dyDescent="0.2">
      <c r="A59" s="486">
        <f t="shared" si="11"/>
        <v>29</v>
      </c>
      <c r="B59" s="21" t="s">
        <v>70</v>
      </c>
      <c r="C59" s="21"/>
      <c r="D59" s="523"/>
      <c r="E59" s="57">
        <f>E58-E57</f>
        <v>671086.96660022903</v>
      </c>
      <c r="F59" s="123">
        <f>F58-F57</f>
        <v>2526068.5995416306</v>
      </c>
      <c r="G59" s="123">
        <f>G58-G57</f>
        <v>2236244.4297364298</v>
      </c>
      <c r="H59" s="123">
        <f t="shared" ref="H59:AS59" si="20">H58-H57</f>
        <v>1968878.9594364297</v>
      </c>
      <c r="I59" s="123">
        <f t="shared" si="20"/>
        <v>1720763.8029980296</v>
      </c>
      <c r="J59" s="123">
        <f t="shared" si="20"/>
        <v>1491898.9604212297</v>
      </c>
      <c r="K59" s="123">
        <f t="shared" si="20"/>
        <v>1279610.7770030294</v>
      </c>
      <c r="L59" s="123">
        <f t="shared" si="20"/>
        <v>1083899.2527434295</v>
      </c>
      <c r="M59" s="123">
        <f t="shared" si="20"/>
        <v>1051815.3963074293</v>
      </c>
      <c r="N59" s="123">
        <f t="shared" si="20"/>
        <v>1051280.6653668294</v>
      </c>
      <c r="O59" s="123">
        <f t="shared" si="20"/>
        <v>1051815.3963074293</v>
      </c>
      <c r="P59" s="123">
        <f t="shared" si="20"/>
        <v>1051280.6653668294</v>
      </c>
      <c r="Q59" s="123">
        <f t="shared" si="20"/>
        <v>1051815.3963074293</v>
      </c>
      <c r="R59" s="123">
        <f t="shared" si="20"/>
        <v>1051280.6653668294</v>
      </c>
      <c r="S59" s="123">
        <f t="shared" si="20"/>
        <v>1051815.3963074293</v>
      </c>
      <c r="T59" s="123">
        <f t="shared" si="20"/>
        <v>1051280.6653668294</v>
      </c>
      <c r="U59" s="123">
        <f t="shared" si="20"/>
        <v>1051815.3963074293</v>
      </c>
      <c r="V59" s="123">
        <f t="shared" si="20"/>
        <v>1051280.6653668294</v>
      </c>
      <c r="W59" s="123">
        <f t="shared" si="20"/>
        <v>1051815.3963074293</v>
      </c>
      <c r="X59" s="123">
        <f t="shared" si="20"/>
        <v>1051280.6653668294</v>
      </c>
      <c r="Y59" s="123">
        <f t="shared" si="20"/>
        <v>-141169.33217117144</v>
      </c>
      <c r="Z59" s="123">
        <f t="shared" si="20"/>
        <v>-1334154.0606497722</v>
      </c>
      <c r="AA59" s="123">
        <f t="shared" si="20"/>
        <v>-1334154.0606497722</v>
      </c>
      <c r="AB59" s="123">
        <f t="shared" si="20"/>
        <v>-1334154.0606497722</v>
      </c>
      <c r="AC59" s="123">
        <f t="shared" si="20"/>
        <v>-1334154.0606497722</v>
      </c>
      <c r="AD59" s="123">
        <f t="shared" si="20"/>
        <v>-1334154.0606497722</v>
      </c>
      <c r="AE59" s="123">
        <f t="shared" si="20"/>
        <v>-1334154.0606497722</v>
      </c>
      <c r="AF59" s="123">
        <f t="shared" si="20"/>
        <v>-1334154.0606497722</v>
      </c>
      <c r="AG59" s="123">
        <f t="shared" si="20"/>
        <v>-1334154.0606497722</v>
      </c>
      <c r="AH59" s="123">
        <f t="shared" si="20"/>
        <v>-1334154.0606497722</v>
      </c>
      <c r="AI59" s="123">
        <f t="shared" si="20"/>
        <v>-1334154.0606497722</v>
      </c>
      <c r="AJ59" s="123">
        <f t="shared" si="20"/>
        <v>-1334154.0606497722</v>
      </c>
      <c r="AK59" s="123">
        <f t="shared" si="20"/>
        <v>-1334154.0606497722</v>
      </c>
      <c r="AL59" s="123">
        <f t="shared" si="20"/>
        <v>-1334154.0606497722</v>
      </c>
      <c r="AM59" s="123">
        <f t="shared" si="20"/>
        <v>-1334154.0606497722</v>
      </c>
      <c r="AN59" s="123">
        <f t="shared" si="20"/>
        <v>-1334154.0606497722</v>
      </c>
      <c r="AO59" s="123">
        <f t="shared" si="20"/>
        <v>-1334154.0606497722</v>
      </c>
      <c r="AP59" s="123">
        <f t="shared" si="20"/>
        <v>-1334154.0606497722</v>
      </c>
      <c r="AQ59" s="123">
        <f t="shared" si="20"/>
        <v>-1334154.0606497722</v>
      </c>
      <c r="AR59" s="123">
        <f t="shared" si="20"/>
        <v>-1334154.0606497722</v>
      </c>
      <c r="AS59" s="123">
        <f t="shared" si="20"/>
        <v>-39492.93</v>
      </c>
      <c r="AT59" s="123"/>
      <c r="AU59" s="126">
        <f t="shared" si="14"/>
        <v>67438.704009157314</v>
      </c>
    </row>
    <row r="60" spans="1:47" x14ac:dyDescent="0.2">
      <c r="A60" s="486">
        <f t="shared" si="11"/>
        <v>30</v>
      </c>
      <c r="B60" s="21" t="s">
        <v>71</v>
      </c>
      <c r="C60" s="21"/>
      <c r="D60" s="523"/>
      <c r="E60" s="57">
        <f>E59*F15</f>
        <v>140928.2629860481</v>
      </c>
      <c r="F60" s="123">
        <f t="shared" ref="F60:AS60" si="21">F59*$F$15</f>
        <v>530474.40590374242</v>
      </c>
      <c r="G60" s="123">
        <f t="shared" si="21"/>
        <v>469611.33024465025</v>
      </c>
      <c r="H60" s="123">
        <f t="shared" si="21"/>
        <v>413464.58148165024</v>
      </c>
      <c r="I60" s="123">
        <f t="shared" si="21"/>
        <v>361360.39862958621</v>
      </c>
      <c r="J60" s="123">
        <f t="shared" si="21"/>
        <v>313298.78168845823</v>
      </c>
      <c r="K60" s="123">
        <f t="shared" si="21"/>
        <v>268718.26317063614</v>
      </c>
      <c r="L60" s="123">
        <f t="shared" si="21"/>
        <v>227618.84307612019</v>
      </c>
      <c r="M60" s="123">
        <f t="shared" si="21"/>
        <v>220881.23322456016</v>
      </c>
      <c r="N60" s="123">
        <f t="shared" si="21"/>
        <v>220768.93972703416</v>
      </c>
      <c r="O60" s="123">
        <f t="shared" si="21"/>
        <v>220881.23322456016</v>
      </c>
      <c r="P60" s="123">
        <f t="shared" si="21"/>
        <v>220768.93972703416</v>
      </c>
      <c r="Q60" s="123">
        <f t="shared" si="21"/>
        <v>220881.23322456016</v>
      </c>
      <c r="R60" s="123">
        <f t="shared" si="21"/>
        <v>220768.93972703416</v>
      </c>
      <c r="S60" s="123">
        <f t="shared" si="21"/>
        <v>220881.23322456016</v>
      </c>
      <c r="T60" s="123">
        <f t="shared" si="21"/>
        <v>220768.93972703416</v>
      </c>
      <c r="U60" s="123">
        <f t="shared" si="21"/>
        <v>220881.23322456016</v>
      </c>
      <c r="V60" s="123">
        <f t="shared" si="21"/>
        <v>220768.93972703416</v>
      </c>
      <c r="W60" s="123">
        <f t="shared" si="21"/>
        <v>220881.23322456016</v>
      </c>
      <c r="X60" s="123">
        <f t="shared" si="21"/>
        <v>220768.93972703416</v>
      </c>
      <c r="Y60" s="123">
        <f t="shared" si="21"/>
        <v>-29645.559755946</v>
      </c>
      <c r="Z60" s="123">
        <f t="shared" si="21"/>
        <v>-280172.35273645213</v>
      </c>
      <c r="AA60" s="123">
        <f t="shared" si="21"/>
        <v>-280172.35273645213</v>
      </c>
      <c r="AB60" s="123">
        <f t="shared" si="21"/>
        <v>-280172.35273645213</v>
      </c>
      <c r="AC60" s="123">
        <f t="shared" si="21"/>
        <v>-280172.35273645213</v>
      </c>
      <c r="AD60" s="123">
        <f t="shared" si="21"/>
        <v>-280172.35273645213</v>
      </c>
      <c r="AE60" s="123">
        <f t="shared" si="21"/>
        <v>-280172.35273645213</v>
      </c>
      <c r="AF60" s="123">
        <f t="shared" si="21"/>
        <v>-280172.35273645213</v>
      </c>
      <c r="AG60" s="123">
        <f t="shared" si="21"/>
        <v>-280172.35273645213</v>
      </c>
      <c r="AH60" s="123">
        <f t="shared" si="21"/>
        <v>-280172.35273645213</v>
      </c>
      <c r="AI60" s="123">
        <f t="shared" si="21"/>
        <v>-280172.35273645213</v>
      </c>
      <c r="AJ60" s="123">
        <f t="shared" si="21"/>
        <v>-280172.35273645213</v>
      </c>
      <c r="AK60" s="123">
        <f t="shared" si="21"/>
        <v>-280172.35273645213</v>
      </c>
      <c r="AL60" s="123">
        <f t="shared" si="21"/>
        <v>-280172.35273645213</v>
      </c>
      <c r="AM60" s="123">
        <f t="shared" si="21"/>
        <v>-280172.35273645213</v>
      </c>
      <c r="AN60" s="123">
        <f t="shared" si="21"/>
        <v>-280172.35273645213</v>
      </c>
      <c r="AO60" s="123">
        <f t="shared" si="21"/>
        <v>-280172.35273645213</v>
      </c>
      <c r="AP60" s="123">
        <f t="shared" si="21"/>
        <v>-280172.35273645213</v>
      </c>
      <c r="AQ60" s="123">
        <f t="shared" si="21"/>
        <v>-280172.35273645213</v>
      </c>
      <c r="AR60" s="123">
        <f t="shared" si="21"/>
        <v>-280172.35273645213</v>
      </c>
      <c r="AS60" s="123">
        <f t="shared" si="21"/>
        <v>-8293.5152999999991</v>
      </c>
      <c r="AT60" s="123"/>
      <c r="AU60" s="126">
        <f t="shared" si="14"/>
        <v>14162.127841921145</v>
      </c>
    </row>
    <row r="61" spans="1:47" x14ac:dyDescent="0.2">
      <c r="A61" s="486">
        <f t="shared" si="11"/>
        <v>31</v>
      </c>
      <c r="B61" s="21"/>
      <c r="C61" s="21"/>
      <c r="D61" s="523"/>
      <c r="E61" s="108"/>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523"/>
    </row>
    <row r="62" spans="1:47" s="69" customFormat="1" x14ac:dyDescent="0.2">
      <c r="A62" s="486">
        <f t="shared" si="11"/>
        <v>32</v>
      </c>
      <c r="B62" s="21" t="str">
        <f t="shared" ref="B62" si="22">IF($F$18=1,B66,B65)</f>
        <v>MACRS Depreciation - 20</v>
      </c>
      <c r="C62" s="21"/>
      <c r="D62" s="66"/>
      <c r="E62" s="81">
        <f t="shared" ref="E62:Y62" si="23">IF($F$18=1,E66,E65)</f>
        <v>3.7499999999999999E-2</v>
      </c>
      <c r="F62" s="77">
        <f t="shared" si="23"/>
        <v>7.2190000000000004E-2</v>
      </c>
      <c r="G62" s="77">
        <f t="shared" si="23"/>
        <v>6.6769999999999996E-2</v>
      </c>
      <c r="H62" s="80">
        <f t="shared" si="23"/>
        <v>6.1769999999999999E-2</v>
      </c>
      <c r="I62" s="80">
        <f t="shared" si="23"/>
        <v>5.713E-2</v>
      </c>
      <c r="J62" s="80">
        <f t="shared" si="23"/>
        <v>5.2850000000000001E-2</v>
      </c>
      <c r="K62" s="80">
        <f t="shared" si="23"/>
        <v>4.888E-2</v>
      </c>
      <c r="L62" s="80">
        <f t="shared" si="23"/>
        <v>4.5220000000000003E-2</v>
      </c>
      <c r="M62" s="80">
        <f t="shared" si="23"/>
        <v>4.462E-2</v>
      </c>
      <c r="N62" s="80">
        <f t="shared" si="23"/>
        <v>4.4610000000000004E-2</v>
      </c>
      <c r="O62" s="80">
        <f t="shared" si="23"/>
        <v>4.462E-2</v>
      </c>
      <c r="P62" s="80">
        <f t="shared" si="23"/>
        <v>4.4610000000000004E-2</v>
      </c>
      <c r="Q62" s="80">
        <f t="shared" si="23"/>
        <v>4.462E-2</v>
      </c>
      <c r="R62" s="80">
        <f t="shared" si="23"/>
        <v>4.4610000000000004E-2</v>
      </c>
      <c r="S62" s="80">
        <f t="shared" si="23"/>
        <v>4.462E-2</v>
      </c>
      <c r="T62" s="80">
        <f t="shared" si="23"/>
        <v>4.4610000000000004E-2</v>
      </c>
      <c r="U62" s="80">
        <f t="shared" si="23"/>
        <v>4.462E-2</v>
      </c>
      <c r="V62" s="80">
        <f t="shared" si="23"/>
        <v>4.4610000000000004E-2</v>
      </c>
      <c r="W62" s="80">
        <f t="shared" si="23"/>
        <v>4.462E-2</v>
      </c>
      <c r="X62" s="80">
        <f t="shared" si="23"/>
        <v>4.4610000000000004E-2</v>
      </c>
      <c r="Y62" s="80">
        <f t="shared" si="23"/>
        <v>2.231E-2</v>
      </c>
      <c r="Z62" s="67"/>
      <c r="AA62" s="67"/>
      <c r="AB62" s="67"/>
      <c r="AC62" s="67"/>
      <c r="AD62" s="67"/>
      <c r="AE62" s="67"/>
      <c r="AF62" s="67"/>
      <c r="AG62" s="67"/>
      <c r="AH62" s="67"/>
      <c r="AI62" s="67"/>
      <c r="AJ62" s="67"/>
      <c r="AK62" s="67"/>
      <c r="AL62" s="67"/>
      <c r="AM62" s="67"/>
      <c r="AN62" s="67"/>
      <c r="AO62" s="67"/>
      <c r="AP62" s="66"/>
    </row>
    <row r="63" spans="1:47" outlineLevel="1" x14ac:dyDescent="0.25">
      <c r="A63" s="486">
        <f t="shared" si="11"/>
        <v>33</v>
      </c>
      <c r="B63" s="21"/>
      <c r="C63" s="527"/>
      <c r="E63" s="528"/>
      <c r="F63" s="529"/>
      <c r="G63" s="529"/>
      <c r="H63" s="529"/>
      <c r="I63" s="529"/>
      <c r="J63" s="529"/>
      <c r="K63" s="529"/>
      <c r="L63" s="529"/>
      <c r="M63" s="530"/>
      <c r="N63" s="530"/>
      <c r="O63" s="530"/>
      <c r="P63" s="530"/>
      <c r="Q63" s="530"/>
      <c r="R63" s="530"/>
      <c r="S63" s="530"/>
      <c r="T63" s="530"/>
      <c r="U63" s="530"/>
      <c r="V63" s="530"/>
      <c r="W63" s="530"/>
      <c r="X63" s="530"/>
      <c r="Y63" s="530"/>
      <c r="Z63" s="523"/>
      <c r="AA63" s="523"/>
      <c r="AB63" s="523"/>
      <c r="AC63" s="523"/>
      <c r="AD63" s="523"/>
      <c r="AE63" s="523"/>
      <c r="AF63" s="523"/>
      <c r="AG63" s="523"/>
      <c r="AH63" s="523"/>
      <c r="AI63" s="523"/>
      <c r="AJ63" s="523"/>
      <c r="AK63" s="523"/>
      <c r="AL63" s="523"/>
      <c r="AM63" s="523"/>
      <c r="AN63" s="523"/>
      <c r="AO63" s="22"/>
    </row>
    <row r="64" spans="1:47" outlineLevel="1" x14ac:dyDescent="0.25">
      <c r="A64" s="486">
        <f t="shared" si="11"/>
        <v>34</v>
      </c>
      <c r="B64" s="21"/>
      <c r="C64" s="527"/>
      <c r="E64" s="528"/>
      <c r="F64" s="529"/>
      <c r="G64" s="529"/>
      <c r="H64" s="529"/>
      <c r="I64" s="529"/>
      <c r="J64" s="529"/>
      <c r="K64" s="529"/>
      <c r="L64" s="529"/>
      <c r="M64" s="530"/>
      <c r="N64" s="530"/>
      <c r="O64" s="530"/>
      <c r="P64" s="530"/>
      <c r="Q64" s="530"/>
      <c r="R64" s="530"/>
      <c r="S64" s="530"/>
      <c r="T64" s="530"/>
      <c r="U64" s="530"/>
      <c r="V64" s="530"/>
      <c r="W64" s="530"/>
      <c r="X64" s="530"/>
      <c r="Y64" s="530"/>
      <c r="Z64" s="523"/>
      <c r="AA64" s="523"/>
      <c r="AB64" s="523"/>
      <c r="AC64" s="523"/>
      <c r="AD64" s="523"/>
      <c r="AE64" s="523"/>
      <c r="AF64" s="523"/>
      <c r="AG64" s="523"/>
      <c r="AH64" s="523"/>
      <c r="AI64" s="523"/>
      <c r="AJ64" s="523"/>
      <c r="AK64" s="523"/>
      <c r="AL64" s="523"/>
      <c r="AM64" s="523"/>
      <c r="AN64" s="523"/>
      <c r="AO64" s="22"/>
    </row>
    <row r="65" spans="1:42" s="69" customFormat="1" x14ac:dyDescent="0.25">
      <c r="A65" s="486">
        <f t="shared" si="11"/>
        <v>35</v>
      </c>
      <c r="B65" s="21" t="s">
        <v>72</v>
      </c>
      <c r="C65" s="21"/>
      <c r="D65" s="70">
        <v>0</v>
      </c>
      <c r="E65" s="78">
        <f>'MACRS 20'!B5</f>
        <v>3.7499999999999999E-2</v>
      </c>
      <c r="F65" s="77">
        <f>'MACRS 20'!C5</f>
        <v>7.2190000000000004E-2</v>
      </c>
      <c r="G65" s="77">
        <f>'MACRS 20'!D5</f>
        <v>6.6769999999999996E-2</v>
      </c>
      <c r="H65" s="79">
        <f>'MACRS 20'!E5</f>
        <v>6.1769999999999999E-2</v>
      </c>
      <c r="I65" s="79">
        <f>'MACRS 20'!F5</f>
        <v>5.713E-2</v>
      </c>
      <c r="J65" s="79">
        <f>'MACRS 20'!G5</f>
        <v>5.2850000000000001E-2</v>
      </c>
      <c r="K65" s="79">
        <f>'MACRS 20'!H5</f>
        <v>4.888E-2</v>
      </c>
      <c r="L65" s="79">
        <f>'MACRS 20'!I5</f>
        <v>4.5220000000000003E-2</v>
      </c>
      <c r="M65" s="79">
        <f>'MACRS 20'!J5</f>
        <v>4.462E-2</v>
      </c>
      <c r="N65" s="79">
        <f>'MACRS 20'!K5</f>
        <v>4.4610000000000004E-2</v>
      </c>
      <c r="O65" s="79">
        <f>'MACRS 20'!L5</f>
        <v>4.462E-2</v>
      </c>
      <c r="P65" s="79">
        <f>'MACRS 20'!M5</f>
        <v>4.4610000000000004E-2</v>
      </c>
      <c r="Q65" s="79">
        <f>'MACRS 20'!N5</f>
        <v>4.462E-2</v>
      </c>
      <c r="R65" s="79">
        <f>'MACRS 20'!O5</f>
        <v>4.4610000000000004E-2</v>
      </c>
      <c r="S65" s="79">
        <f>'MACRS 20'!P5</f>
        <v>4.462E-2</v>
      </c>
      <c r="T65" s="79">
        <f>'MACRS 20'!Q5</f>
        <v>4.4610000000000004E-2</v>
      </c>
      <c r="U65" s="79">
        <f>'MACRS 20'!R5</f>
        <v>4.462E-2</v>
      </c>
      <c r="V65" s="79">
        <f>'MACRS 20'!S5</f>
        <v>4.4610000000000004E-2</v>
      </c>
      <c r="W65" s="79">
        <f>'MACRS 20'!T5</f>
        <v>4.462E-2</v>
      </c>
      <c r="X65" s="79">
        <f>'MACRS 20'!U5</f>
        <v>4.4610000000000004E-2</v>
      </c>
      <c r="Y65" s="79">
        <f>'MACRS 20'!V5</f>
        <v>2.231E-2</v>
      </c>
      <c r="Z65" s="71"/>
      <c r="AA65" s="67"/>
      <c r="AB65" s="67"/>
      <c r="AC65" s="67"/>
      <c r="AD65" s="67"/>
      <c r="AE65" s="67"/>
      <c r="AF65" s="67"/>
      <c r="AG65" s="67"/>
      <c r="AH65" s="67"/>
      <c r="AI65" s="67"/>
      <c r="AJ65" s="67"/>
      <c r="AK65" s="67"/>
      <c r="AL65" s="67"/>
      <c r="AM65" s="67"/>
      <c r="AN65" s="66"/>
      <c r="AP65" s="72"/>
    </row>
    <row r="66" spans="1:42" x14ac:dyDescent="0.2">
      <c r="A66" s="486">
        <f t="shared" si="11"/>
        <v>36</v>
      </c>
      <c r="B66" s="21" t="s">
        <v>73</v>
      </c>
      <c r="C66" s="21"/>
      <c r="D66" s="70">
        <v>0</v>
      </c>
      <c r="E66" s="78">
        <f>'MACRS 20'!B6</f>
        <v>0.51875000000000004</v>
      </c>
      <c r="F66" s="77">
        <f>'MACRS 20'!C6</f>
        <v>3.6095000000000002E-2</v>
      </c>
      <c r="G66" s="77">
        <f>'MACRS 20'!D6</f>
        <v>3.3384999999999998E-2</v>
      </c>
      <c r="H66" s="80">
        <f>'MACRS 20'!E6</f>
        <v>3.0884999999999999E-2</v>
      </c>
      <c r="I66" s="80">
        <f>'MACRS 20'!F6</f>
        <v>2.8565E-2</v>
      </c>
      <c r="J66" s="80">
        <f>'MACRS 20'!G6</f>
        <v>2.6425000000000001E-2</v>
      </c>
      <c r="K66" s="80">
        <f>'MACRS 20'!H6</f>
        <v>2.444E-2</v>
      </c>
      <c r="L66" s="80">
        <f>'MACRS 20'!I6</f>
        <v>2.2610000000000002E-2</v>
      </c>
      <c r="M66" s="80">
        <f>'MACRS 20'!J6</f>
        <v>2.231E-2</v>
      </c>
      <c r="N66" s="80">
        <f>'MACRS 20'!K6</f>
        <v>2.2305000000000002E-2</v>
      </c>
      <c r="O66" s="80">
        <f>'MACRS 20'!L6</f>
        <v>2.231E-2</v>
      </c>
      <c r="P66" s="80">
        <f>'MACRS 20'!M6</f>
        <v>2.2305000000000002E-2</v>
      </c>
      <c r="Q66" s="80">
        <f>'MACRS 20'!N6</f>
        <v>2.231E-2</v>
      </c>
      <c r="R66" s="80">
        <f>'MACRS 20'!O6</f>
        <v>2.2305000000000002E-2</v>
      </c>
      <c r="S66" s="80">
        <f>'MACRS 20'!P6</f>
        <v>2.231E-2</v>
      </c>
      <c r="T66" s="80">
        <f>'MACRS 20'!Q6</f>
        <v>2.2305000000000002E-2</v>
      </c>
      <c r="U66" s="80">
        <f>'MACRS 20'!R6</f>
        <v>2.231E-2</v>
      </c>
      <c r="V66" s="80">
        <f>'MACRS 20'!S6</f>
        <v>2.2305000000000002E-2</v>
      </c>
      <c r="W66" s="80">
        <f>'MACRS 20'!T6</f>
        <v>2.231E-2</v>
      </c>
      <c r="X66" s="80">
        <f>'MACRS 20'!U6</f>
        <v>2.2305000000000002E-2</v>
      </c>
      <c r="Y66" s="80">
        <f>'MACRS 20'!V6</f>
        <v>1.1155E-2</v>
      </c>
      <c r="Z66" s="68"/>
      <c r="AA66" s="68"/>
      <c r="AB66" s="73"/>
      <c r="AC66" s="73"/>
      <c r="AD66" s="73"/>
      <c r="AE66" s="73"/>
      <c r="AF66" s="73"/>
      <c r="AG66" s="73"/>
      <c r="AH66" s="73"/>
      <c r="AI66" s="73"/>
      <c r="AJ66" s="73"/>
      <c r="AK66" s="73"/>
      <c r="AL66" s="73"/>
      <c r="AM66" s="73"/>
      <c r="AN66" s="523"/>
      <c r="AO66" s="22"/>
      <c r="AP66" s="72">
        <f>SUM(D66:AO66)</f>
        <v>1.0000000000000004</v>
      </c>
    </row>
    <row r="69" spans="1:42" x14ac:dyDescent="0.25">
      <c r="B69" s="74"/>
    </row>
  </sheetData>
  <mergeCells count="1">
    <mergeCell ref="E1:F1"/>
  </mergeCells>
  <printOptions horizontalCentered="1"/>
  <pageMargins left="0.25" right="0.25" top="0.75" bottom="0.75" header="0.3" footer="0.3"/>
  <pageSetup scale="43" fitToWidth="2" orientation="landscape" blackAndWhite="1" r:id="rId1"/>
  <headerFooter alignWithMargins="0">
    <oddFooter>&amp;L&amp;A
&amp;F&amp;RPage &amp;P of &amp;N</oddFooter>
  </headerFooter>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4"/>
  <sheetViews>
    <sheetView topLeftCell="B1" zoomScale="90" zoomScaleNormal="90" workbookViewId="0">
      <selection activeCell="S42" sqref="S42"/>
    </sheetView>
  </sheetViews>
  <sheetFormatPr defaultColWidth="9.28515625" defaultRowHeight="15" x14ac:dyDescent="0.25"/>
  <cols>
    <col min="1" max="1" width="9.28515625" style="308"/>
    <col min="2" max="2" width="27.7109375" style="308" bestFit="1" customWidth="1"/>
    <col min="3" max="3" width="15.5703125" style="308" bestFit="1" customWidth="1"/>
    <col min="4" max="4" width="26.28515625" style="308" customWidth="1"/>
    <col min="5" max="5" width="16.7109375" style="308" customWidth="1"/>
    <col min="6" max="6" width="25.5703125" style="308" customWidth="1"/>
    <col min="7" max="7" width="1" style="309" customWidth="1"/>
    <col min="8" max="8" width="17.7109375" style="308" customWidth="1"/>
    <col min="9" max="9" width="19.5703125" style="308" customWidth="1"/>
    <col min="10" max="10" width="14.28515625" style="308" bestFit="1" customWidth="1"/>
    <col min="11" max="11" width="7.140625" style="308" customWidth="1"/>
    <col min="12" max="12" width="23.7109375" style="308" customWidth="1"/>
    <col min="13" max="13" width="9.28515625" style="308"/>
    <col min="14" max="14" width="17.5703125" style="308" customWidth="1"/>
    <col min="15" max="15" width="16.28515625" style="308" bestFit="1" customWidth="1"/>
    <col min="16" max="16384" width="9.28515625" style="308"/>
  </cols>
  <sheetData>
    <row r="2" spans="2:17" ht="16.5" thickBot="1" x14ac:dyDescent="0.3">
      <c r="B2" s="307" t="s">
        <v>258</v>
      </c>
    </row>
    <row r="3" spans="2:17" ht="15.75" thickBot="1" x14ac:dyDescent="0.3">
      <c r="B3" s="310" t="s">
        <v>259</v>
      </c>
      <c r="C3" s="311"/>
      <c r="D3" s="311"/>
      <c r="E3" s="312" t="s">
        <v>277</v>
      </c>
      <c r="F3" s="313"/>
      <c r="G3" s="314"/>
      <c r="H3" s="836" t="s">
        <v>278</v>
      </c>
      <c r="I3" s="837"/>
      <c r="J3" s="838"/>
      <c r="N3" s="217"/>
      <c r="O3" s="217"/>
    </row>
    <row r="4" spans="2:17" ht="11.25" customHeight="1" thickBot="1" x14ac:dyDescent="0.3">
      <c r="B4" s="315" t="s">
        <v>260</v>
      </c>
      <c r="C4" s="316"/>
      <c r="D4" s="316"/>
      <c r="E4" s="316"/>
      <c r="F4" s="317"/>
      <c r="G4" s="318"/>
      <c r="H4" s="319"/>
      <c r="I4" s="320"/>
      <c r="J4" s="321"/>
      <c r="N4" s="217"/>
      <c r="O4" s="217"/>
    </row>
    <row r="5" spans="2:17" ht="45" x14ac:dyDescent="0.25">
      <c r="B5" s="322" t="s">
        <v>210</v>
      </c>
      <c r="C5" s="323" t="s">
        <v>201</v>
      </c>
      <c r="D5" s="324" t="s">
        <v>261</v>
      </c>
      <c r="E5" s="324" t="s">
        <v>262</v>
      </c>
      <c r="F5" s="325" t="s">
        <v>263</v>
      </c>
      <c r="G5" s="326"/>
      <c r="H5" s="327" t="s">
        <v>279</v>
      </c>
      <c r="I5" s="328" t="s">
        <v>280</v>
      </c>
      <c r="J5" s="325" t="s">
        <v>232</v>
      </c>
      <c r="K5" s="309"/>
      <c r="L5" s="309"/>
      <c r="N5" s="329" t="s">
        <v>283</v>
      </c>
      <c r="O5" s="717" t="str">
        <f>I5</f>
        <v>Total Actual CRM Program Year 2019-2020</v>
      </c>
    </row>
    <row r="6" spans="2:17" x14ac:dyDescent="0.25">
      <c r="B6" s="330" t="s">
        <v>219</v>
      </c>
      <c r="C6" s="331" t="s">
        <v>220</v>
      </c>
      <c r="D6" s="332">
        <v>3207980.4099998274</v>
      </c>
      <c r="E6" s="333">
        <v>79500</v>
      </c>
      <c r="F6" s="334">
        <f>+E6+D6</f>
        <v>3287480.4099998274</v>
      </c>
      <c r="G6" s="335"/>
      <c r="H6" s="336">
        <v>51406.62</v>
      </c>
      <c r="I6" s="337">
        <f>+H6+D6</f>
        <v>3259387.0299998275</v>
      </c>
      <c r="J6" s="334">
        <f>+I6-F6</f>
        <v>-28093.379999999888</v>
      </c>
      <c r="K6" s="338" t="s">
        <v>289</v>
      </c>
      <c r="L6" s="338" t="s">
        <v>290</v>
      </c>
      <c r="N6" s="339" t="s">
        <v>83</v>
      </c>
      <c r="O6" s="514">
        <f>(I6+I8)/$I$9</f>
        <v>0.99149246749419484</v>
      </c>
    </row>
    <row r="7" spans="2:17" x14ac:dyDescent="0.25">
      <c r="B7" s="330" t="s">
        <v>222</v>
      </c>
      <c r="C7" s="331" t="s">
        <v>223</v>
      </c>
      <c r="D7" s="332">
        <v>27107.89</v>
      </c>
      <c r="E7" s="333">
        <v>50000</v>
      </c>
      <c r="F7" s="334">
        <f>+E7+D7</f>
        <v>77107.89</v>
      </c>
      <c r="G7" s="335"/>
      <c r="H7" s="336">
        <v>155.78</v>
      </c>
      <c r="I7" s="337">
        <f t="shared" ref="I7:I8" si="0">+H7+D7</f>
        <v>27263.67</v>
      </c>
      <c r="J7" s="334">
        <f t="shared" ref="J7:J8" si="1">+I7-F7</f>
        <v>-49844.22</v>
      </c>
      <c r="K7" s="338" t="s">
        <v>291</v>
      </c>
      <c r="L7" s="338" t="s">
        <v>270</v>
      </c>
      <c r="N7" s="339" t="s">
        <v>84</v>
      </c>
      <c r="O7" s="340">
        <f>I7/$I$9</f>
        <v>8.507532505805224E-3</v>
      </c>
    </row>
    <row r="8" spans="2:17" ht="15.75" thickBot="1" x14ac:dyDescent="0.3">
      <c r="B8" s="341" t="s">
        <v>273</v>
      </c>
      <c r="C8" s="342"/>
      <c r="D8" s="343">
        <v>0</v>
      </c>
      <c r="E8" s="343">
        <v>-82000</v>
      </c>
      <c r="F8" s="344">
        <f>D8+E8</f>
        <v>-82000</v>
      </c>
      <c r="G8" s="345"/>
      <c r="H8" s="346">
        <v>-82000</v>
      </c>
      <c r="I8" s="347">
        <f t="shared" si="0"/>
        <v>-82000</v>
      </c>
      <c r="J8" s="344">
        <f t="shared" si="1"/>
        <v>0</v>
      </c>
      <c r="K8" s="338" t="s">
        <v>289</v>
      </c>
      <c r="L8" s="338" t="s">
        <v>290</v>
      </c>
      <c r="N8" s="348"/>
      <c r="O8" s="349">
        <f>SUM(O6:O7)</f>
        <v>1</v>
      </c>
    </row>
    <row r="9" spans="2:17" x14ac:dyDescent="0.25">
      <c r="B9" s="350" t="s">
        <v>264</v>
      </c>
      <c r="C9" s="351"/>
      <c r="D9" s="352">
        <f>SUM(D6:D8)</f>
        <v>3235088.2999998275</v>
      </c>
      <c r="E9" s="353">
        <f>SUM(E6:E8)</f>
        <v>47500</v>
      </c>
      <c r="F9" s="354">
        <f>SUM(F6:F8)</f>
        <v>3282588.2999998275</v>
      </c>
      <c r="G9" s="355"/>
      <c r="H9" s="356">
        <f>SUM(H6:H8)</f>
        <v>-30437.599999999999</v>
      </c>
      <c r="I9" s="357">
        <f>SUM(I6:I8)</f>
        <v>3204650.6999998274</v>
      </c>
      <c r="J9" s="354">
        <f>+I9-F9</f>
        <v>-77937.600000000093</v>
      </c>
      <c r="K9" s="309"/>
      <c r="L9" s="309"/>
      <c r="N9" s="309"/>
      <c r="O9" s="309"/>
    </row>
    <row r="10" spans="2:17" x14ac:dyDescent="0.25">
      <c r="B10" s="358" t="s">
        <v>285</v>
      </c>
      <c r="C10" s="359">
        <f>'2019 GRC'!J16</f>
        <v>4.5447000000000001E-2</v>
      </c>
      <c r="D10" s="360"/>
      <c r="E10" s="361"/>
      <c r="F10" s="362"/>
      <c r="G10" s="363"/>
      <c r="H10" s="364"/>
      <c r="I10" s="365"/>
      <c r="J10" s="362"/>
      <c r="K10" s="309"/>
      <c r="L10" s="309"/>
      <c r="N10" s="309"/>
      <c r="O10" s="309"/>
    </row>
    <row r="11" spans="2:17" x14ac:dyDescent="0.25">
      <c r="B11" s="366" t="s">
        <v>286</v>
      </c>
      <c r="C11" s="367"/>
      <c r="D11" s="368"/>
      <c r="E11" s="369"/>
      <c r="F11" s="370"/>
      <c r="G11" s="368"/>
      <c r="H11" s="371"/>
      <c r="I11" s="368"/>
      <c r="J11" s="370">
        <f>+J9/(1-C10)</f>
        <v>-81648.268875588983</v>
      </c>
      <c r="K11" s="217"/>
      <c r="L11" s="217"/>
      <c r="M11"/>
      <c r="N11" s="217"/>
      <c r="O11" s="217"/>
      <c r="P11"/>
      <c r="Q11"/>
    </row>
    <row r="12" spans="2:17" ht="15.75" thickBot="1" x14ac:dyDescent="0.3">
      <c r="B12" s="372"/>
      <c r="C12" s="373"/>
      <c r="D12" s="373"/>
      <c r="E12" s="373"/>
      <c r="F12" s="374"/>
      <c r="G12" s="373"/>
      <c r="H12" s="372"/>
      <c r="I12" s="373"/>
      <c r="J12" s="374"/>
      <c r="N12" s="309"/>
      <c r="O12" s="309"/>
    </row>
    <row r="13" spans="2:17" ht="11.25" customHeight="1" thickBot="1" x14ac:dyDescent="0.3">
      <c r="B13" s="315" t="s">
        <v>209</v>
      </c>
      <c r="C13" s="316"/>
      <c r="D13" s="316"/>
      <c r="E13" s="316"/>
      <c r="F13" s="317"/>
      <c r="G13" s="318"/>
      <c r="H13" s="319"/>
      <c r="I13" s="320"/>
      <c r="J13" s="375"/>
      <c r="N13" s="217"/>
      <c r="O13" s="217"/>
      <c r="P13"/>
    </row>
    <row r="14" spans="2:17" ht="45" x14ac:dyDescent="0.25">
      <c r="B14" s="376" t="s">
        <v>210</v>
      </c>
      <c r="C14" s="377" t="s">
        <v>201</v>
      </c>
      <c r="D14" s="324" t="s">
        <v>261</v>
      </c>
      <c r="E14" s="378" t="s">
        <v>262</v>
      </c>
      <c r="F14" s="325" t="s">
        <v>263</v>
      </c>
      <c r="G14" s="326"/>
      <c r="H14" s="327" t="s">
        <v>279</v>
      </c>
      <c r="I14" s="328" t="s">
        <v>280</v>
      </c>
      <c r="J14" s="325"/>
      <c r="K14" s="309"/>
      <c r="N14" s="329" t="s">
        <v>283</v>
      </c>
      <c r="O14" s="717" t="str">
        <f>I14</f>
        <v>Total Actual CRM Program Year 2019-2020</v>
      </c>
    </row>
    <row r="15" spans="2:17" x14ac:dyDescent="0.25">
      <c r="B15" s="379" t="s">
        <v>265</v>
      </c>
      <c r="C15" s="380" t="s">
        <v>95</v>
      </c>
      <c r="D15" s="332">
        <v>46594045.240000039</v>
      </c>
      <c r="E15" s="381">
        <v>3721742</v>
      </c>
      <c r="F15" s="334">
        <f>SUM(D15:E15)</f>
        <v>50315787.240000039</v>
      </c>
      <c r="G15" s="335"/>
      <c r="H15" s="382">
        <v>3185181.6800000011</v>
      </c>
      <c r="I15" s="337">
        <f>+H15+D15</f>
        <v>49779226.920000039</v>
      </c>
      <c r="J15" s="334">
        <f t="shared" ref="J15:J19" si="2">+I15-F15</f>
        <v>-536560.3200000003</v>
      </c>
      <c r="K15" s="309" t="str">
        <f>H26</f>
        <v>Mains, FERC 376</v>
      </c>
      <c r="N15" s="339" t="str">
        <f>K15</f>
        <v>Mains, FERC 376</v>
      </c>
      <c r="O15" s="514">
        <f>(I15)/$I$17</f>
        <v>0.93092101355019308</v>
      </c>
    </row>
    <row r="16" spans="2:17" ht="15.75" thickBot="1" x14ac:dyDescent="0.3">
      <c r="B16" s="383" t="s">
        <v>266</v>
      </c>
      <c r="C16" s="384" t="s">
        <v>267</v>
      </c>
      <c r="D16" s="343">
        <v>3145687.3699999936</v>
      </c>
      <c r="E16" s="385">
        <v>276000</v>
      </c>
      <c r="F16" s="386">
        <f>SUM(D16:E16)</f>
        <v>3421687.3699999936</v>
      </c>
      <c r="G16" s="387"/>
      <c r="H16" s="346">
        <v>548179.7699999999</v>
      </c>
      <c r="I16" s="343">
        <f t="shared" ref="I16" si="3">+H16+D16</f>
        <v>3693867.1399999936</v>
      </c>
      <c r="J16" s="386">
        <f t="shared" si="2"/>
        <v>272179.77</v>
      </c>
      <c r="K16" s="309" t="str">
        <f>H27</f>
        <v>Services, FERC 380</v>
      </c>
      <c r="N16" s="339" t="str">
        <f>K16</f>
        <v>Services, FERC 380</v>
      </c>
      <c r="O16" s="340">
        <f>I16/$I$17</f>
        <v>6.9078986449806923E-2</v>
      </c>
    </row>
    <row r="17" spans="2:15" x14ac:dyDescent="0.25">
      <c r="B17" s="350" t="s">
        <v>268</v>
      </c>
      <c r="C17" s="388"/>
      <c r="D17" s="352">
        <f>SUM(D15:D16)</f>
        <v>49739732.610000029</v>
      </c>
      <c r="E17" s="357">
        <f>SUM(E15:E16)</f>
        <v>3997742</v>
      </c>
      <c r="F17" s="389">
        <f>SUM(F15:F16)</f>
        <v>53737474.610000029</v>
      </c>
      <c r="G17" s="355"/>
      <c r="H17" s="390">
        <f>SUM(H15:H16)</f>
        <v>3733361.4500000011</v>
      </c>
      <c r="I17" s="357">
        <f>SUM(I15:I16)</f>
        <v>53473094.060000032</v>
      </c>
      <c r="J17" s="354">
        <f t="shared" si="2"/>
        <v>-264380.54999999702</v>
      </c>
      <c r="K17" s="309"/>
      <c r="N17" s="348"/>
      <c r="O17" s="349">
        <f>SUM(O15:O16)</f>
        <v>1</v>
      </c>
    </row>
    <row r="18" spans="2:15" x14ac:dyDescent="0.25">
      <c r="B18" s="372"/>
      <c r="C18" s="391"/>
      <c r="D18" s="373"/>
      <c r="E18" s="373"/>
      <c r="F18" s="354"/>
      <c r="G18" s="373"/>
      <c r="H18" s="372"/>
      <c r="I18" s="373"/>
      <c r="J18" s="374"/>
      <c r="N18" s="309"/>
      <c r="O18" s="309"/>
    </row>
    <row r="19" spans="2:15" ht="15.75" thickBot="1" x14ac:dyDescent="0.3">
      <c r="B19" s="392" t="s">
        <v>269</v>
      </c>
      <c r="C19" s="393"/>
      <c r="D19" s="394">
        <f>D9+D17</f>
        <v>52974820.909999855</v>
      </c>
      <c r="E19" s="394">
        <f>E9+E17</f>
        <v>4045242</v>
      </c>
      <c r="F19" s="395">
        <f>F9+F17</f>
        <v>57020062.909999855</v>
      </c>
      <c r="G19" s="396"/>
      <c r="H19" s="397">
        <f>H9+H17</f>
        <v>3702923.850000001</v>
      </c>
      <c r="I19" s="398">
        <f>I9+I17</f>
        <v>56677744.759999856</v>
      </c>
      <c r="J19" s="395">
        <f t="shared" si="2"/>
        <v>-342318.14999999851</v>
      </c>
      <c r="N19" s="309"/>
      <c r="O19" s="309"/>
    </row>
    <row r="20" spans="2:15" x14ac:dyDescent="0.25">
      <c r="N20" s="309"/>
      <c r="O20" s="309"/>
    </row>
    <row r="21" spans="2:15" ht="30" x14ac:dyDescent="0.25">
      <c r="E21" s="399" t="s">
        <v>13</v>
      </c>
      <c r="F21" s="400" t="s">
        <v>211</v>
      </c>
      <c r="H21" s="399" t="s">
        <v>13</v>
      </c>
      <c r="I21" s="400" t="s">
        <v>211</v>
      </c>
    </row>
    <row r="22" spans="2:15" x14ac:dyDescent="0.25">
      <c r="D22" s="260" t="s">
        <v>91</v>
      </c>
      <c r="E22" s="485">
        <v>2.443056207967733E-2</v>
      </c>
      <c r="F22" s="401">
        <f>+F15*E22</f>
        <v>1229242.9637546574</v>
      </c>
      <c r="H22" s="275">
        <f>+E22</f>
        <v>2.443056207967733E-2</v>
      </c>
      <c r="I22" s="401">
        <f>+I15*H22</f>
        <v>1216134.4935474058</v>
      </c>
    </row>
    <row r="23" spans="2:15" x14ac:dyDescent="0.25">
      <c r="D23" s="339" t="s">
        <v>84</v>
      </c>
      <c r="E23" s="485">
        <v>3.1950138602539598E-2</v>
      </c>
      <c r="F23" s="402">
        <f>+F16*E23</f>
        <v>109323.38572605899</v>
      </c>
      <c r="H23" s="275">
        <f>+E23</f>
        <v>3.1950138602539598E-2</v>
      </c>
      <c r="I23" s="402">
        <f>+I16*H23</f>
        <v>118019.56710236633</v>
      </c>
    </row>
    <row r="24" spans="2:15" x14ac:dyDescent="0.25">
      <c r="E24" s="276"/>
      <c r="F24" s="403">
        <f>SUM(F22:F23)</f>
        <v>1338566.3494807165</v>
      </c>
      <c r="H24" s="404"/>
      <c r="I24" s="403">
        <f>SUM(I22:I23)</f>
        <v>1334154.0606497722</v>
      </c>
    </row>
    <row r="25" spans="2:15" x14ac:dyDescent="0.25">
      <c r="E25" s="405"/>
      <c r="F25" s="406">
        <f>+F24/F17</f>
        <v>2.4909364632323495E-2</v>
      </c>
      <c r="G25" s="407"/>
      <c r="H25" s="275"/>
      <c r="I25" s="406">
        <f>+I24/I17</f>
        <v>2.4950006804408419E-2</v>
      </c>
    </row>
    <row r="26" spans="2:15" x14ac:dyDescent="0.25">
      <c r="E26" s="309"/>
      <c r="G26" s="407"/>
      <c r="H26" s="407" t="s">
        <v>287</v>
      </c>
      <c r="I26" s="406">
        <f>+I22/I24</f>
        <v>0.91153977596493818</v>
      </c>
    </row>
    <row r="27" spans="2:15" x14ac:dyDescent="0.25">
      <c r="E27" s="309"/>
      <c r="G27" s="407"/>
      <c r="H27" s="407" t="s">
        <v>288</v>
      </c>
      <c r="I27" s="406">
        <f>+I23/I24</f>
        <v>8.8460224035061846E-2</v>
      </c>
    </row>
    <row r="28" spans="2:15" x14ac:dyDescent="0.25">
      <c r="I28" s="309"/>
    </row>
    <row r="34" spans="2:2" x14ac:dyDescent="0.25">
      <c r="B34" s="408"/>
    </row>
  </sheetData>
  <mergeCells count="1">
    <mergeCell ref="H3:J3"/>
  </mergeCells>
  <pageMargins left="0.25" right="0.25" top="0.75" bottom="0.75" header="0.3" footer="0.3"/>
  <pageSetup scale="55" orientation="landscape" r:id="rId1"/>
  <headerFooter>
    <oddFooter>&amp;L&amp;A
&amp;F&amp;RPage &amp;P of &amp;N</oddFooter>
  </headerFooter>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Normal="100" workbookViewId="0">
      <selection activeCell="E26" sqref="E26"/>
    </sheetView>
  </sheetViews>
  <sheetFormatPr defaultColWidth="10.28515625" defaultRowHeight="15" outlineLevelRow="1" outlineLevelCol="1" x14ac:dyDescent="0.2"/>
  <cols>
    <col min="1" max="1" width="5.7109375" style="53" customWidth="1"/>
    <col min="2" max="2" width="7.42578125" style="53" customWidth="1"/>
    <col min="3" max="3" width="26.42578125" style="53" customWidth="1"/>
    <col min="4" max="4" width="15.5703125" style="22" customWidth="1"/>
    <col min="5" max="5" width="16.7109375" style="75" customWidth="1"/>
    <col min="6" max="6" width="13.42578125" style="75" customWidth="1"/>
    <col min="7" max="7" width="14.5703125" style="75" bestFit="1" customWidth="1"/>
    <col min="8" max="8" width="12.5703125" style="75" customWidth="1"/>
    <col min="9" max="9" width="14.28515625" style="75" bestFit="1" customWidth="1"/>
    <col min="10" max="25" width="12.7109375" style="75" bestFit="1" customWidth="1"/>
    <col min="26" max="36" width="12.5703125" style="75" bestFit="1" customWidth="1"/>
    <col min="37" max="38" width="12.140625" style="75" bestFit="1" customWidth="1"/>
    <col min="39" max="41" width="12.140625" style="75" bestFit="1" customWidth="1" outlineLevel="1"/>
    <col min="42" max="43" width="12.140625" style="22" bestFit="1" customWidth="1"/>
    <col min="44" max="45" width="14" style="22" customWidth="1"/>
    <col min="46" max="46" width="14.28515625" style="22" bestFit="1" customWidth="1"/>
    <col min="47" max="47" width="16.5703125" style="22" customWidth="1"/>
    <col min="48" max="48" width="15" style="22" bestFit="1" customWidth="1"/>
    <col min="49" max="16384" width="10.28515625" style="22"/>
  </cols>
  <sheetData>
    <row r="1" spans="1:41" ht="11.65" customHeight="1" x14ac:dyDescent="0.25">
      <c r="A1" s="20" t="s">
        <v>0</v>
      </c>
      <c r="B1" s="21"/>
      <c r="C1" s="21"/>
      <c r="E1" s="831"/>
      <c r="F1" s="831"/>
      <c r="G1" s="22"/>
      <c r="H1" s="23"/>
      <c r="I1" s="24"/>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1" ht="11.65" customHeight="1" x14ac:dyDescent="0.25">
      <c r="A2" s="25" t="s">
        <v>1</v>
      </c>
      <c r="B2" s="21"/>
      <c r="C2" s="21"/>
      <c r="E2" s="22"/>
      <c r="F2" s="24"/>
      <c r="G2" s="2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ht="12.75" customHeight="1" x14ac:dyDescent="0.25">
      <c r="A3" s="25" t="s">
        <v>2</v>
      </c>
      <c r="B3" s="21"/>
      <c r="C3" s="486" t="s">
        <v>199</v>
      </c>
      <c r="D3" s="523" t="s">
        <v>3</v>
      </c>
      <c r="E3" s="22"/>
      <c r="F3" s="24"/>
      <c r="G3" s="24"/>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ht="11.65" customHeight="1" thickBot="1" x14ac:dyDescent="0.25">
      <c r="A4" s="21"/>
      <c r="B4" s="21"/>
      <c r="C4" s="21"/>
      <c r="E4" s="22"/>
      <c r="F4" s="24"/>
      <c r="G4" s="24"/>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1:41" x14ac:dyDescent="0.2">
      <c r="A5" s="26" t="s">
        <v>4</v>
      </c>
      <c r="B5" s="27"/>
      <c r="C5" s="27"/>
      <c r="D5" s="28"/>
      <c r="E5" s="28"/>
      <c r="F5" s="29"/>
      <c r="G5" s="204"/>
      <c r="H5" s="22"/>
      <c r="I5" s="22"/>
      <c r="J5" s="22"/>
      <c r="K5" s="22"/>
      <c r="L5" s="22"/>
      <c r="M5" s="22"/>
      <c r="N5" s="4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x14ac:dyDescent="0.2">
      <c r="A6" s="31"/>
      <c r="B6" s="32"/>
      <c r="C6" s="32"/>
      <c r="D6" s="205" t="s">
        <v>196</v>
      </c>
      <c r="E6" s="134"/>
      <c r="F6" s="135" t="s">
        <v>256</v>
      </c>
      <c r="G6" s="206" t="s">
        <v>257</v>
      </c>
      <c r="H6" s="135" t="s">
        <v>329</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x14ac:dyDescent="0.2">
      <c r="A7" s="31"/>
      <c r="B7" s="32"/>
      <c r="C7" s="32"/>
      <c r="D7" s="35"/>
      <c r="E7" s="35"/>
      <c r="F7" s="36" t="s">
        <v>5</v>
      </c>
      <c r="G7" s="207" t="s">
        <v>5</v>
      </c>
      <c r="H7" s="36" t="s">
        <v>5</v>
      </c>
      <c r="I7" s="22"/>
      <c r="J7" s="22"/>
      <c r="K7" s="22"/>
      <c r="L7" s="22"/>
      <c r="M7" s="136"/>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row>
    <row r="8" spans="1:41" ht="18.75" customHeight="1" x14ac:dyDescent="0.2">
      <c r="A8" s="31" t="s">
        <v>6</v>
      </c>
      <c r="B8" s="32"/>
      <c r="C8" s="32"/>
      <c r="D8" s="38" t="s">
        <v>7</v>
      </c>
      <c r="E8" s="38" t="s">
        <v>8</v>
      </c>
      <c r="F8" s="39" t="s">
        <v>8</v>
      </c>
      <c r="G8" s="208" t="s">
        <v>8</v>
      </c>
      <c r="H8" s="39" t="s">
        <v>8</v>
      </c>
      <c r="I8" s="22"/>
      <c r="J8" s="22"/>
      <c r="K8" s="22"/>
      <c r="L8" s="22"/>
      <c r="M8" s="127"/>
      <c r="N8" s="41"/>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row>
    <row r="9" spans="1:41" ht="11.65" customHeight="1" x14ac:dyDescent="0.2">
      <c r="A9" s="31"/>
      <c r="B9" s="32"/>
      <c r="C9" s="32"/>
      <c r="D9" s="33"/>
      <c r="E9" s="33"/>
      <c r="F9" s="40"/>
      <c r="G9" s="209"/>
      <c r="H9" s="40"/>
      <c r="I9" s="22"/>
      <c r="J9" s="22"/>
      <c r="K9" s="22"/>
      <c r="L9" s="22"/>
      <c r="M9" s="127"/>
      <c r="N9" s="41"/>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row>
    <row r="10" spans="1:41" ht="11.65" customHeight="1" x14ac:dyDescent="0.2">
      <c r="A10" s="31"/>
      <c r="B10" s="32"/>
      <c r="C10" s="32"/>
      <c r="D10" s="42"/>
      <c r="E10" s="42"/>
      <c r="F10" s="43"/>
      <c r="G10" s="210"/>
      <c r="H10" s="43"/>
      <c r="I10" s="22"/>
      <c r="J10" s="22"/>
      <c r="K10" s="22"/>
      <c r="L10" s="22"/>
      <c r="M10" s="127"/>
      <c r="N10" s="41"/>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row>
    <row r="11" spans="1:41" x14ac:dyDescent="0.2">
      <c r="A11" s="31" t="s">
        <v>173</v>
      </c>
      <c r="B11" s="32"/>
      <c r="C11" s="32"/>
      <c r="D11" s="42">
        <v>0.51500000000000001</v>
      </c>
      <c r="E11" s="42">
        <v>5.8058252427184473E-2</v>
      </c>
      <c r="F11" s="43">
        <v>2.9899999999999999E-2</v>
      </c>
      <c r="G11" s="210">
        <f>'2019 GRC'!E12</f>
        <v>2.8299999999999999E-2</v>
      </c>
      <c r="H11" s="43">
        <v>2.9899999999999999E-2</v>
      </c>
      <c r="I11" s="22"/>
      <c r="J11" s="22"/>
      <c r="K11" s="22"/>
      <c r="L11" s="22"/>
      <c r="M11" s="127"/>
      <c r="N11" s="41"/>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1" x14ac:dyDescent="0.2">
      <c r="A12" s="31" t="s">
        <v>9</v>
      </c>
      <c r="B12" s="32"/>
      <c r="C12" s="32"/>
      <c r="D12" s="44">
        <v>0.48499999999999999</v>
      </c>
      <c r="E12" s="42">
        <v>9.5000000000000001E-2</v>
      </c>
      <c r="F12" s="45">
        <v>4.6100000000000002E-2</v>
      </c>
      <c r="G12" s="211">
        <f>'2019 GRC'!E13</f>
        <v>4.5600000000000002E-2</v>
      </c>
      <c r="H12" s="45">
        <v>4.6100000000000002E-2</v>
      </c>
      <c r="I12" s="212"/>
      <c r="J12" s="22"/>
      <c r="K12" s="22"/>
      <c r="L12" s="22"/>
      <c r="M12" s="127"/>
      <c r="N12" s="4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15.75" thickBot="1" x14ac:dyDescent="0.25">
      <c r="A13" s="31" t="s">
        <v>10</v>
      </c>
      <c r="B13" s="32"/>
      <c r="C13" s="32"/>
      <c r="D13" s="46">
        <f>D10+D11+D12</f>
        <v>1</v>
      </c>
      <c r="E13" s="47"/>
      <c r="F13" s="48">
        <f>F10+F11+F12</f>
        <v>7.5999999999999998E-2</v>
      </c>
      <c r="G13" s="213">
        <f>G10+G11+G12</f>
        <v>7.3899999999999993E-2</v>
      </c>
      <c r="H13" s="48">
        <f>H10+H11+H12</f>
        <v>7.5999999999999998E-2</v>
      </c>
      <c r="I13" s="22"/>
      <c r="J13" s="22"/>
      <c r="K13" s="22"/>
      <c r="L13" s="22"/>
      <c r="M13" s="127"/>
      <c r="N13" s="4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ht="11.65" customHeight="1" thickTop="1" x14ac:dyDescent="0.2">
      <c r="A14" s="31"/>
      <c r="B14" s="32"/>
      <c r="C14" s="32"/>
      <c r="D14" s="33"/>
      <c r="E14" s="33"/>
      <c r="F14" s="40"/>
      <c r="G14" s="209"/>
      <c r="H14" s="40"/>
      <c r="I14" s="22"/>
      <c r="J14" s="22"/>
      <c r="K14" s="22"/>
      <c r="L14" s="22"/>
      <c r="M14" s="127"/>
      <c r="N14" s="41"/>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1:41" x14ac:dyDescent="0.2">
      <c r="A15" s="31" t="s">
        <v>11</v>
      </c>
      <c r="B15" s="32"/>
      <c r="C15" s="32"/>
      <c r="D15" s="33"/>
      <c r="E15" s="33"/>
      <c r="F15" s="43">
        <v>0.21</v>
      </c>
      <c r="G15" s="210">
        <f>'2019 GRC'!I19</f>
        <v>0.21</v>
      </c>
      <c r="H15" s="43">
        <v>0.21</v>
      </c>
      <c r="I15" s="22"/>
      <c r="J15" s="22"/>
      <c r="K15" s="22"/>
      <c r="L15" s="22"/>
      <c r="M15" s="127"/>
      <c r="N15" s="41"/>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row>
    <row r="16" spans="1:41" ht="15.75" thickBot="1" x14ac:dyDescent="0.25">
      <c r="A16" s="31" t="s">
        <v>12</v>
      </c>
      <c r="B16" s="32"/>
      <c r="C16" s="32"/>
      <c r="D16" s="33"/>
      <c r="E16" s="33"/>
      <c r="F16" s="43">
        <f>'2017 4.01 G'!F17</f>
        <v>4.5462000000000002E-2</v>
      </c>
      <c r="G16" s="214">
        <f>'2019 GRC'!J16</f>
        <v>4.5447000000000001E-2</v>
      </c>
      <c r="H16" s="43">
        <f>'2019 GRC'!$J$38</f>
        <v>4.7447000000000003E-2</v>
      </c>
      <c r="I16" s="22"/>
      <c r="J16" s="22"/>
      <c r="K16" s="22"/>
      <c r="L16" s="22"/>
      <c r="M16" s="127"/>
      <c r="N16" s="41"/>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8" x14ac:dyDescent="0.2">
      <c r="A17" s="31" t="s">
        <v>13</v>
      </c>
      <c r="B17" s="32"/>
      <c r="C17" s="32"/>
      <c r="D17" s="33"/>
      <c r="E17" s="33"/>
      <c r="F17" s="43">
        <v>2.4443933509191149E-2</v>
      </c>
      <c r="G17" s="42"/>
      <c r="H17" s="43">
        <v>2.4443933509191149E-2</v>
      </c>
      <c r="I17" s="22"/>
      <c r="J17" s="22"/>
      <c r="K17" s="22"/>
      <c r="L17" s="22"/>
      <c r="M17" s="127"/>
      <c r="N17" s="41"/>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8" ht="13.5" customHeight="1" x14ac:dyDescent="0.2">
      <c r="A18" s="31" t="s">
        <v>14</v>
      </c>
      <c r="B18" s="32"/>
      <c r="C18" s="32"/>
      <c r="D18" s="33"/>
      <c r="E18" s="33"/>
      <c r="F18" s="49">
        <v>2</v>
      </c>
      <c r="G18" s="215"/>
      <c r="H18" s="49">
        <v>2</v>
      </c>
      <c r="I18" s="22"/>
      <c r="J18" s="22"/>
      <c r="K18" s="22"/>
      <c r="L18" s="22"/>
      <c r="M18" s="127"/>
      <c r="N18" s="41"/>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8" ht="11.65" customHeight="1" x14ac:dyDescent="0.2">
      <c r="A19" s="31"/>
      <c r="B19" s="32"/>
      <c r="C19" s="32"/>
      <c r="D19" s="33"/>
      <c r="E19" s="33"/>
      <c r="F19" s="34"/>
      <c r="G19" s="30"/>
      <c r="H19" s="34"/>
      <c r="I19" s="22"/>
      <c r="J19" s="22"/>
      <c r="K19" s="22"/>
      <c r="L19" s="22"/>
      <c r="M19" s="127"/>
      <c r="N19" s="41"/>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row>
    <row r="20" spans="1:48" ht="11.65" customHeight="1" x14ac:dyDescent="0.2">
      <c r="A20" s="31" t="s">
        <v>15</v>
      </c>
      <c r="B20" s="32"/>
      <c r="C20" s="32"/>
      <c r="D20" s="33"/>
      <c r="E20" s="33"/>
      <c r="F20" s="34"/>
      <c r="G20" s="30"/>
      <c r="H20" s="34"/>
      <c r="I20" s="22"/>
      <c r="J20" s="22"/>
      <c r="K20" s="22"/>
      <c r="L20" s="22"/>
      <c r="N20" s="137"/>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row>
    <row r="21" spans="1:48" ht="11.65" customHeight="1" x14ac:dyDescent="0.2">
      <c r="A21" s="31" t="s">
        <v>16</v>
      </c>
      <c r="B21" s="32"/>
      <c r="C21" s="32"/>
      <c r="D21" s="33"/>
      <c r="E21" s="33"/>
      <c r="F21" s="34"/>
      <c r="G21" s="30"/>
      <c r="H21" s="34"/>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row>
    <row r="22" spans="1:48" ht="13.15" customHeight="1" thickBot="1" x14ac:dyDescent="0.25">
      <c r="A22" s="50" t="s">
        <v>17</v>
      </c>
      <c r="B22" s="51"/>
      <c r="C22" s="51"/>
      <c r="D22" s="51"/>
      <c r="E22" s="52"/>
      <c r="F22" s="76">
        <v>60639592.879999995</v>
      </c>
      <c r="G22" s="216"/>
      <c r="H22" s="76">
        <v>60639592.879999995</v>
      </c>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8" ht="9.6" customHeight="1" x14ac:dyDescent="0.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row>
    <row r="24" spans="1:48" ht="6" customHeight="1" x14ac:dyDescent="0.2">
      <c r="B24" s="22"/>
      <c r="C24" s="22"/>
      <c r="D24" s="12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48" x14ac:dyDescent="0.2">
      <c r="A25" s="21"/>
      <c r="B25" s="21"/>
      <c r="C25" s="21"/>
      <c r="D25" s="523"/>
      <c r="E25" s="55" t="s">
        <v>18</v>
      </c>
      <c r="F25" s="116" t="s">
        <v>19</v>
      </c>
      <c r="G25" s="56" t="s">
        <v>20</v>
      </c>
      <c r="H25" s="56" t="s">
        <v>21</v>
      </c>
      <c r="I25" s="56" t="s">
        <v>22</v>
      </c>
      <c r="J25" s="56" t="s">
        <v>23</v>
      </c>
      <c r="K25" s="56" t="s">
        <v>24</v>
      </c>
      <c r="L25" s="56" t="s">
        <v>25</v>
      </c>
      <c r="M25" s="56" t="s">
        <v>26</v>
      </c>
      <c r="N25" s="56" t="s">
        <v>27</v>
      </c>
      <c r="O25" s="56" t="s">
        <v>28</v>
      </c>
      <c r="P25" s="56" t="s">
        <v>29</v>
      </c>
      <c r="Q25" s="56" t="s">
        <v>30</v>
      </c>
      <c r="R25" s="56" t="s">
        <v>31</v>
      </c>
      <c r="S25" s="56" t="s">
        <v>32</v>
      </c>
      <c r="T25" s="56" t="s">
        <v>33</v>
      </c>
      <c r="U25" s="56" t="s">
        <v>34</v>
      </c>
      <c r="V25" s="56" t="s">
        <v>35</v>
      </c>
      <c r="W25" s="56" t="s">
        <v>36</v>
      </c>
      <c r="X25" s="56" t="s">
        <v>37</v>
      </c>
      <c r="Y25" s="56" t="s">
        <v>38</v>
      </c>
      <c r="Z25" s="56" t="s">
        <v>39</v>
      </c>
      <c r="AA25" s="56" t="s">
        <v>40</v>
      </c>
      <c r="AB25" s="56" t="s">
        <v>41</v>
      </c>
      <c r="AC25" s="56" t="s">
        <v>42</v>
      </c>
      <c r="AD25" s="56" t="s">
        <v>43</v>
      </c>
      <c r="AE25" s="56" t="s">
        <v>44</v>
      </c>
      <c r="AF25" s="56" t="s">
        <v>45</v>
      </c>
      <c r="AG25" s="56" t="s">
        <v>46</v>
      </c>
      <c r="AH25" s="56" t="s">
        <v>47</v>
      </c>
      <c r="AI25" s="56" t="s">
        <v>48</v>
      </c>
      <c r="AJ25" s="56" t="s">
        <v>49</v>
      </c>
      <c r="AK25" s="56" t="s">
        <v>50</v>
      </c>
      <c r="AL25" s="56" t="s">
        <v>51</v>
      </c>
      <c r="AM25" s="56" t="s">
        <v>52</v>
      </c>
      <c r="AN25" s="56" t="s">
        <v>74</v>
      </c>
      <c r="AO25" s="56" t="s">
        <v>75</v>
      </c>
      <c r="AP25" s="56" t="s">
        <v>174</v>
      </c>
      <c r="AQ25" s="56" t="s">
        <v>175</v>
      </c>
      <c r="AR25" s="56" t="s">
        <v>176</v>
      </c>
      <c r="AS25" s="22" t="s">
        <v>177</v>
      </c>
    </row>
    <row r="26" spans="1:48" x14ac:dyDescent="0.2">
      <c r="A26" s="21"/>
      <c r="B26" s="21"/>
      <c r="C26" s="21"/>
      <c r="D26" s="523"/>
      <c r="E26" s="106">
        <v>2019</v>
      </c>
      <c r="F26" s="106">
        <v>2020</v>
      </c>
      <c r="G26" s="106">
        <v>2021</v>
      </c>
      <c r="H26" s="106">
        <v>2022</v>
      </c>
      <c r="I26" s="106">
        <v>2023</v>
      </c>
      <c r="J26" s="106">
        <v>2024</v>
      </c>
      <c r="K26" s="106">
        <v>2025</v>
      </c>
      <c r="L26" s="106">
        <v>2026</v>
      </c>
      <c r="M26" s="106">
        <v>2027</v>
      </c>
      <c r="N26" s="106">
        <v>2028</v>
      </c>
      <c r="O26" s="106">
        <v>2029</v>
      </c>
      <c r="P26" s="106">
        <v>2030</v>
      </c>
      <c r="Q26" s="106">
        <v>2031</v>
      </c>
      <c r="R26" s="106">
        <v>2032</v>
      </c>
      <c r="S26" s="106">
        <v>2033</v>
      </c>
      <c r="T26" s="106">
        <v>2034</v>
      </c>
      <c r="U26" s="106">
        <v>2035</v>
      </c>
      <c r="V26" s="106">
        <v>2036</v>
      </c>
      <c r="W26" s="106">
        <v>2037</v>
      </c>
      <c r="X26" s="106">
        <v>2038</v>
      </c>
      <c r="Y26" s="106">
        <v>2039</v>
      </c>
      <c r="Z26" s="106">
        <v>2040</v>
      </c>
      <c r="AA26" s="106">
        <v>2041</v>
      </c>
      <c r="AB26" s="106">
        <v>2042</v>
      </c>
      <c r="AC26" s="106">
        <v>2043</v>
      </c>
      <c r="AD26" s="106">
        <v>2044</v>
      </c>
      <c r="AE26" s="106">
        <v>2045</v>
      </c>
      <c r="AF26" s="106">
        <v>2046</v>
      </c>
      <c r="AG26" s="106">
        <v>2047</v>
      </c>
      <c r="AH26" s="106">
        <v>2048</v>
      </c>
      <c r="AI26" s="106">
        <v>2049</v>
      </c>
      <c r="AJ26" s="106">
        <v>2050</v>
      </c>
      <c r="AK26" s="106">
        <v>2051</v>
      </c>
      <c r="AL26" s="106">
        <v>2052</v>
      </c>
      <c r="AM26" s="106">
        <v>2053</v>
      </c>
      <c r="AN26" s="106">
        <v>2054</v>
      </c>
      <c r="AO26" s="106">
        <v>2055</v>
      </c>
      <c r="AP26" s="106">
        <v>2056</v>
      </c>
      <c r="AQ26" s="106">
        <v>2057</v>
      </c>
      <c r="AR26" s="106">
        <v>2058</v>
      </c>
      <c r="AS26" s="106">
        <v>2059</v>
      </c>
    </row>
    <row r="27" spans="1:48" x14ac:dyDescent="0.2">
      <c r="A27" s="486">
        <v>1</v>
      </c>
      <c r="B27" s="21" t="s">
        <v>53</v>
      </c>
      <c r="C27" s="21"/>
      <c r="D27" s="523"/>
      <c r="E27" s="57">
        <f>$F22*$F17</f>
        <v>1482270.176383141</v>
      </c>
      <c r="F27" s="123">
        <f>$F22*$F17</f>
        <v>1482270.176383141</v>
      </c>
      <c r="G27" s="123">
        <f>$F22*$F17</f>
        <v>1482270.176383141</v>
      </c>
      <c r="H27" s="123">
        <f>$F22*$H17</f>
        <v>1482270.176383141</v>
      </c>
      <c r="I27" s="123">
        <f t="shared" ref="I27:AR27" si="0">$F22*$F17</f>
        <v>1482270.176383141</v>
      </c>
      <c r="J27" s="123">
        <f t="shared" si="0"/>
        <v>1482270.176383141</v>
      </c>
      <c r="K27" s="123">
        <f t="shared" si="0"/>
        <v>1482270.176383141</v>
      </c>
      <c r="L27" s="123">
        <f t="shared" si="0"/>
        <v>1482270.176383141</v>
      </c>
      <c r="M27" s="123">
        <f t="shared" si="0"/>
        <v>1482270.176383141</v>
      </c>
      <c r="N27" s="123">
        <f t="shared" si="0"/>
        <v>1482270.176383141</v>
      </c>
      <c r="O27" s="123">
        <f t="shared" si="0"/>
        <v>1482270.176383141</v>
      </c>
      <c r="P27" s="123">
        <f t="shared" si="0"/>
        <v>1482270.176383141</v>
      </c>
      <c r="Q27" s="123">
        <f t="shared" si="0"/>
        <v>1482270.176383141</v>
      </c>
      <c r="R27" s="123">
        <f t="shared" si="0"/>
        <v>1482270.176383141</v>
      </c>
      <c r="S27" s="123">
        <f t="shared" si="0"/>
        <v>1482270.176383141</v>
      </c>
      <c r="T27" s="123">
        <f t="shared" si="0"/>
        <v>1482270.176383141</v>
      </c>
      <c r="U27" s="123">
        <f t="shared" si="0"/>
        <v>1482270.176383141</v>
      </c>
      <c r="V27" s="123">
        <f t="shared" si="0"/>
        <v>1482270.176383141</v>
      </c>
      <c r="W27" s="123">
        <f t="shared" si="0"/>
        <v>1482270.176383141</v>
      </c>
      <c r="X27" s="123">
        <f t="shared" si="0"/>
        <v>1482270.176383141</v>
      </c>
      <c r="Y27" s="123">
        <f t="shared" si="0"/>
        <v>1482270.176383141</v>
      </c>
      <c r="Z27" s="123">
        <f t="shared" si="0"/>
        <v>1482270.176383141</v>
      </c>
      <c r="AA27" s="123">
        <f t="shared" si="0"/>
        <v>1482270.176383141</v>
      </c>
      <c r="AB27" s="123">
        <f t="shared" si="0"/>
        <v>1482270.176383141</v>
      </c>
      <c r="AC27" s="123">
        <f t="shared" si="0"/>
        <v>1482270.176383141</v>
      </c>
      <c r="AD27" s="123">
        <f t="shared" si="0"/>
        <v>1482270.176383141</v>
      </c>
      <c r="AE27" s="123">
        <f t="shared" si="0"/>
        <v>1482270.176383141</v>
      </c>
      <c r="AF27" s="123">
        <f t="shared" si="0"/>
        <v>1482270.176383141</v>
      </c>
      <c r="AG27" s="123">
        <f t="shared" si="0"/>
        <v>1482270.176383141</v>
      </c>
      <c r="AH27" s="123">
        <f t="shared" si="0"/>
        <v>1482270.176383141</v>
      </c>
      <c r="AI27" s="123">
        <f t="shared" si="0"/>
        <v>1482270.176383141</v>
      </c>
      <c r="AJ27" s="123">
        <f t="shared" si="0"/>
        <v>1482270.176383141</v>
      </c>
      <c r="AK27" s="123">
        <f t="shared" si="0"/>
        <v>1482270.176383141</v>
      </c>
      <c r="AL27" s="123">
        <f t="shared" si="0"/>
        <v>1482270.176383141</v>
      </c>
      <c r="AM27" s="123">
        <f t="shared" si="0"/>
        <v>1482270.176383141</v>
      </c>
      <c r="AN27" s="123">
        <f t="shared" si="0"/>
        <v>1482270.176383141</v>
      </c>
      <c r="AO27" s="123">
        <f t="shared" si="0"/>
        <v>1482270.176383141</v>
      </c>
      <c r="AP27" s="123">
        <f t="shared" si="0"/>
        <v>1482270.176383141</v>
      </c>
      <c r="AQ27" s="123">
        <f t="shared" si="0"/>
        <v>1482270.176383141</v>
      </c>
      <c r="AR27" s="123">
        <f t="shared" si="0"/>
        <v>1482270.176383141</v>
      </c>
      <c r="AS27" s="123">
        <f>$F22*$F17-133484.35</f>
        <v>1348785.8263831409</v>
      </c>
      <c r="AT27" s="123"/>
      <c r="AU27" s="126">
        <f>SUM(D27:AS27)</f>
        <v>60639592.881708734</v>
      </c>
      <c r="AV27" s="41">
        <f>F22</f>
        <v>60639592.879999995</v>
      </c>
    </row>
    <row r="28" spans="1:48" x14ac:dyDescent="0.2">
      <c r="A28" s="21"/>
      <c r="B28" s="21"/>
      <c r="C28" s="21"/>
      <c r="D28" s="523"/>
      <c r="E28" s="57"/>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58"/>
      <c r="AN28" s="123"/>
      <c r="AO28" s="123"/>
      <c r="AP28" s="525"/>
      <c r="AV28" s="126">
        <f>+AV27-AU27</f>
        <v>-1.7087385058403015E-3</v>
      </c>
    </row>
    <row r="29" spans="1:48" x14ac:dyDescent="0.2">
      <c r="A29" s="486">
        <f>A27+1</f>
        <v>2</v>
      </c>
      <c r="B29" s="21" t="s">
        <v>54</v>
      </c>
      <c r="C29" s="21"/>
      <c r="D29" s="523"/>
      <c r="E29" s="57">
        <f>E53</f>
        <v>733002.76971787796</v>
      </c>
      <c r="F29" s="123">
        <f t="shared" ref="F29:AT29" si="1">F53</f>
        <v>702392.57976173412</v>
      </c>
      <c r="G29" s="123">
        <f t="shared" si="1"/>
        <v>677473.48090067063</v>
      </c>
      <c r="H29" s="123">
        <f t="shared" si="1"/>
        <v>653358.59365427354</v>
      </c>
      <c r="I29" s="123">
        <f t="shared" si="1"/>
        <v>629987.71792086912</v>
      </c>
      <c r="J29" s="123">
        <f t="shared" si="1"/>
        <v>607305.28437583544</v>
      </c>
      <c r="K29" s="123">
        <f t="shared" si="1"/>
        <v>585259.5826754272</v>
      </c>
      <c r="L29" s="123">
        <f t="shared" si="1"/>
        <v>563802.7614567756</v>
      </c>
      <c r="M29" s="123">
        <f t="shared" si="1"/>
        <v>542674.72540880332</v>
      </c>
      <c r="N29" s="123">
        <f t="shared" si="1"/>
        <v>521593.76892752462</v>
      </c>
      <c r="O29" s="123">
        <f t="shared" si="1"/>
        <v>500512.81244624581</v>
      </c>
      <c r="P29" s="123">
        <f t="shared" si="1"/>
        <v>479431.85596496699</v>
      </c>
      <c r="Q29" s="123">
        <f t="shared" si="1"/>
        <v>458350.89948368829</v>
      </c>
      <c r="R29" s="123">
        <f t="shared" si="1"/>
        <v>437269.94300240959</v>
      </c>
      <c r="S29" s="123">
        <f t="shared" si="1"/>
        <v>416188.98652113089</v>
      </c>
      <c r="T29" s="123">
        <f t="shared" si="1"/>
        <v>395108.03003985208</v>
      </c>
      <c r="U29" s="123">
        <f t="shared" si="1"/>
        <v>374027.07355857326</v>
      </c>
      <c r="V29" s="123">
        <f t="shared" si="1"/>
        <v>352946.11707729456</v>
      </c>
      <c r="W29" s="123">
        <f t="shared" si="1"/>
        <v>331865.16059601575</v>
      </c>
      <c r="X29" s="123">
        <f t="shared" si="1"/>
        <v>310784.20411473705</v>
      </c>
      <c r="Y29" s="123">
        <f t="shared" si="1"/>
        <v>291425.12490056054</v>
      </c>
      <c r="Z29" s="123">
        <f t="shared" si="1"/>
        <v>275509.02842441335</v>
      </c>
      <c r="AA29" s="123">
        <f t="shared" si="1"/>
        <v>261314.80921536835</v>
      </c>
      <c r="AB29" s="123">
        <f t="shared" si="1"/>
        <v>247120.59000632336</v>
      </c>
      <c r="AC29" s="123">
        <f t="shared" si="1"/>
        <v>232926.37079727848</v>
      </c>
      <c r="AD29" s="123">
        <f t="shared" si="1"/>
        <v>218732.15158823351</v>
      </c>
      <c r="AE29" s="123">
        <f t="shared" si="1"/>
        <v>204537.9323791886</v>
      </c>
      <c r="AF29" s="123">
        <f t="shared" si="1"/>
        <v>190343.71317014366</v>
      </c>
      <c r="AG29" s="123">
        <f t="shared" si="1"/>
        <v>176149.49396109875</v>
      </c>
      <c r="AH29" s="123">
        <f t="shared" si="1"/>
        <v>161955.27475205384</v>
      </c>
      <c r="AI29" s="123">
        <f t="shared" si="1"/>
        <v>147761.05554300893</v>
      </c>
      <c r="AJ29" s="123">
        <f t="shared" si="1"/>
        <v>133566.83633396399</v>
      </c>
      <c r="AK29" s="123">
        <f t="shared" si="1"/>
        <v>119372.61712491907</v>
      </c>
      <c r="AL29" s="123">
        <f t="shared" si="1"/>
        <v>105178.39791587417</v>
      </c>
      <c r="AM29" s="123">
        <f t="shared" si="1"/>
        <v>90984.178706829262</v>
      </c>
      <c r="AN29" s="123">
        <f t="shared" si="1"/>
        <v>76789.959497784337</v>
      </c>
      <c r="AO29" s="123">
        <f t="shared" si="1"/>
        <v>62595.74028873942</v>
      </c>
      <c r="AP29" s="123">
        <f t="shared" si="1"/>
        <v>48401.52107969451</v>
      </c>
      <c r="AQ29" s="123">
        <f t="shared" si="1"/>
        <v>34207.301870649593</v>
      </c>
      <c r="AR29" s="123">
        <f t="shared" si="1"/>
        <v>20013.082661604672</v>
      </c>
      <c r="AS29" s="123">
        <f t="shared" si="1"/>
        <v>6457.9865203597192</v>
      </c>
      <c r="AT29" s="123">
        <f t="shared" si="1"/>
        <v>12915.973057082216</v>
      </c>
      <c r="AU29" s="126">
        <f>SUM(D29:AT29)</f>
        <v>13391595.487399878</v>
      </c>
    </row>
    <row r="30" spans="1:48" x14ac:dyDescent="0.2">
      <c r="A30" s="21"/>
      <c r="B30" s="21"/>
      <c r="C30" s="21"/>
      <c r="D30" s="523"/>
      <c r="E30" s="57"/>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row>
    <row r="31" spans="1:48" x14ac:dyDescent="0.2">
      <c r="A31" s="21"/>
      <c r="B31" s="21" t="s">
        <v>55</v>
      </c>
      <c r="C31" s="21"/>
      <c r="D31" s="523"/>
      <c r="E31" s="57"/>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row>
    <row r="32" spans="1:48" x14ac:dyDescent="0.2">
      <c r="A32" s="486">
        <f>A29+1</f>
        <v>3</v>
      </c>
      <c r="B32" s="21"/>
      <c r="C32" s="21"/>
      <c r="D32" s="523"/>
      <c r="E32" s="57">
        <f>E49*$F10</f>
        <v>0</v>
      </c>
      <c r="F32" s="123">
        <f>F49*$G10</f>
        <v>0</v>
      </c>
      <c r="G32" s="123">
        <f t="shared" ref="G32:AT32" si="2">G49*$F10</f>
        <v>0</v>
      </c>
      <c r="H32" s="123">
        <f t="shared" si="2"/>
        <v>0</v>
      </c>
      <c r="I32" s="123">
        <f t="shared" si="2"/>
        <v>0</v>
      </c>
      <c r="J32" s="123">
        <f t="shared" si="2"/>
        <v>0</v>
      </c>
      <c r="K32" s="123">
        <f t="shared" si="2"/>
        <v>0</v>
      </c>
      <c r="L32" s="123">
        <f t="shared" si="2"/>
        <v>0</v>
      </c>
      <c r="M32" s="123">
        <f t="shared" si="2"/>
        <v>0</v>
      </c>
      <c r="N32" s="123">
        <f t="shared" si="2"/>
        <v>0</v>
      </c>
      <c r="O32" s="123">
        <f t="shared" si="2"/>
        <v>0</v>
      </c>
      <c r="P32" s="123">
        <f t="shared" si="2"/>
        <v>0</v>
      </c>
      <c r="Q32" s="123">
        <f t="shared" si="2"/>
        <v>0</v>
      </c>
      <c r="R32" s="123">
        <f t="shared" si="2"/>
        <v>0</v>
      </c>
      <c r="S32" s="123">
        <f t="shared" si="2"/>
        <v>0</v>
      </c>
      <c r="T32" s="123">
        <f t="shared" si="2"/>
        <v>0</v>
      </c>
      <c r="U32" s="123">
        <f t="shared" si="2"/>
        <v>0</v>
      </c>
      <c r="V32" s="123">
        <f t="shared" si="2"/>
        <v>0</v>
      </c>
      <c r="W32" s="123">
        <f t="shared" si="2"/>
        <v>0</v>
      </c>
      <c r="X32" s="123">
        <f t="shared" si="2"/>
        <v>0</v>
      </c>
      <c r="Y32" s="123">
        <f t="shared" si="2"/>
        <v>0</v>
      </c>
      <c r="Z32" s="123">
        <f t="shared" si="2"/>
        <v>0</v>
      </c>
      <c r="AA32" s="123">
        <f t="shared" si="2"/>
        <v>0</v>
      </c>
      <c r="AB32" s="123">
        <f t="shared" si="2"/>
        <v>0</v>
      </c>
      <c r="AC32" s="123">
        <f t="shared" si="2"/>
        <v>0</v>
      </c>
      <c r="AD32" s="123">
        <f t="shared" si="2"/>
        <v>0</v>
      </c>
      <c r="AE32" s="123">
        <f t="shared" si="2"/>
        <v>0</v>
      </c>
      <c r="AF32" s="123">
        <f t="shared" si="2"/>
        <v>0</v>
      </c>
      <c r="AG32" s="123">
        <f t="shared" si="2"/>
        <v>0</v>
      </c>
      <c r="AH32" s="123">
        <f t="shared" si="2"/>
        <v>0</v>
      </c>
      <c r="AI32" s="123">
        <f t="shared" si="2"/>
        <v>0</v>
      </c>
      <c r="AJ32" s="123">
        <f t="shared" si="2"/>
        <v>0</v>
      </c>
      <c r="AK32" s="123">
        <f t="shared" si="2"/>
        <v>0</v>
      </c>
      <c r="AL32" s="123">
        <f t="shared" si="2"/>
        <v>0</v>
      </c>
      <c r="AM32" s="123">
        <f t="shared" si="2"/>
        <v>0</v>
      </c>
      <c r="AN32" s="123">
        <f t="shared" si="2"/>
        <v>0</v>
      </c>
      <c r="AO32" s="123">
        <f t="shared" si="2"/>
        <v>0</v>
      </c>
      <c r="AP32" s="123">
        <f t="shared" si="2"/>
        <v>0</v>
      </c>
      <c r="AQ32" s="123">
        <f t="shared" si="2"/>
        <v>0</v>
      </c>
      <c r="AR32" s="123">
        <f t="shared" si="2"/>
        <v>0</v>
      </c>
      <c r="AS32" s="123">
        <f t="shared" si="2"/>
        <v>0</v>
      </c>
      <c r="AT32" s="123">
        <f t="shared" si="2"/>
        <v>0</v>
      </c>
      <c r="AU32" s="126">
        <f t="shared" ref="AU32:AU42" si="3">SUM(D32:AT32)</f>
        <v>0</v>
      </c>
    </row>
    <row r="33" spans="1:47" x14ac:dyDescent="0.2">
      <c r="A33" s="486">
        <f>A32+1</f>
        <v>4</v>
      </c>
      <c r="B33" s="32"/>
      <c r="C33" s="32" t="s">
        <v>173</v>
      </c>
      <c r="D33" s="523"/>
      <c r="E33" s="57">
        <f>E49*$F11</f>
        <v>1788478.3001245733</v>
      </c>
      <c r="F33" s="123">
        <f>F49*$G11</f>
        <v>1639869.5599136476</v>
      </c>
      <c r="G33" s="123">
        <f>G49*$G11</f>
        <v>1581691.1667184934</v>
      </c>
      <c r="H33" s="123">
        <f t="shared" ref="H33:AT33" si="4">H49*$G11</f>
        <v>1525390.3590568707</v>
      </c>
      <c r="I33" s="123">
        <f t="shared" si="4"/>
        <v>1470826.5882995897</v>
      </c>
      <c r="J33" s="123">
        <f t="shared" si="4"/>
        <v>1417870.1172504753</v>
      </c>
      <c r="K33" s="123">
        <f t="shared" si="4"/>
        <v>1366400.2182408653</v>
      </c>
      <c r="L33" s="123">
        <f t="shared" si="4"/>
        <v>1316305.1731296086</v>
      </c>
      <c r="M33" s="123">
        <f t="shared" si="4"/>
        <v>1266977.7397623868</v>
      </c>
      <c r="N33" s="123">
        <f t="shared" si="4"/>
        <v>1217760.2226308133</v>
      </c>
      <c r="O33" s="123">
        <f t="shared" si="4"/>
        <v>1168542.7054992395</v>
      </c>
      <c r="P33" s="123">
        <f t="shared" si="4"/>
        <v>1119325.1883676657</v>
      </c>
      <c r="Q33" s="123">
        <f t="shared" si="4"/>
        <v>1070107.6712360922</v>
      </c>
      <c r="R33" s="123">
        <f t="shared" si="4"/>
        <v>1020890.1541045187</v>
      </c>
      <c r="S33" s="123">
        <f t="shared" si="4"/>
        <v>971672.63697294518</v>
      </c>
      <c r="T33" s="123">
        <f t="shared" si="4"/>
        <v>922455.11984137143</v>
      </c>
      <c r="U33" s="123">
        <f t="shared" si="4"/>
        <v>873237.60270979768</v>
      </c>
      <c r="V33" s="123">
        <f t="shared" si="4"/>
        <v>824020.08557822416</v>
      </c>
      <c r="W33" s="123">
        <f t="shared" si="4"/>
        <v>774802.56844665052</v>
      </c>
      <c r="X33" s="123">
        <f t="shared" si="4"/>
        <v>725585.05131507688</v>
      </c>
      <c r="Y33" s="123">
        <f t="shared" si="4"/>
        <v>680387.58535942272</v>
      </c>
      <c r="Z33" s="123">
        <f t="shared" si="4"/>
        <v>643228.4198501053</v>
      </c>
      <c r="AA33" s="123">
        <f t="shared" si="4"/>
        <v>610089.30551670736</v>
      </c>
      <c r="AB33" s="123">
        <f t="shared" si="4"/>
        <v>576950.19118330954</v>
      </c>
      <c r="AC33" s="123">
        <f t="shared" si="4"/>
        <v>543811.07684991171</v>
      </c>
      <c r="AD33" s="123">
        <f t="shared" si="4"/>
        <v>510671.96251651383</v>
      </c>
      <c r="AE33" s="123">
        <f t="shared" si="4"/>
        <v>477532.84818311606</v>
      </c>
      <c r="AF33" s="123">
        <f t="shared" si="4"/>
        <v>444393.73384971829</v>
      </c>
      <c r="AG33" s="123">
        <f t="shared" si="4"/>
        <v>411254.61951632053</v>
      </c>
      <c r="AH33" s="123">
        <f t="shared" si="4"/>
        <v>378115.5051829227</v>
      </c>
      <c r="AI33" s="123">
        <f t="shared" si="4"/>
        <v>344976.39084952493</v>
      </c>
      <c r="AJ33" s="123">
        <f t="shared" si="4"/>
        <v>311837.27651612711</v>
      </c>
      <c r="AK33" s="123">
        <f t="shared" si="4"/>
        <v>278698.16218272928</v>
      </c>
      <c r="AL33" s="123">
        <f t="shared" si="4"/>
        <v>245559.04784933155</v>
      </c>
      <c r="AM33" s="123">
        <f t="shared" si="4"/>
        <v>212419.93351593375</v>
      </c>
      <c r="AN33" s="123">
        <f t="shared" si="4"/>
        <v>179280.81918253598</v>
      </c>
      <c r="AO33" s="123">
        <f t="shared" si="4"/>
        <v>146141.70484913819</v>
      </c>
      <c r="AP33" s="123">
        <f t="shared" si="4"/>
        <v>113002.5905157404</v>
      </c>
      <c r="AQ33" s="123">
        <f t="shared" si="4"/>
        <v>79863.476182342609</v>
      </c>
      <c r="AR33" s="123">
        <f t="shared" si="4"/>
        <v>46724.361848944827</v>
      </c>
      <c r="AS33" s="123">
        <f t="shared" si="4"/>
        <v>15077.402322021957</v>
      </c>
      <c r="AT33" s="123">
        <f t="shared" si="4"/>
        <v>30154.804682245936</v>
      </c>
      <c r="AU33" s="126">
        <f t="shared" si="3"/>
        <v>31342379.44770357</v>
      </c>
    </row>
    <row r="34" spans="1:47" x14ac:dyDescent="0.2">
      <c r="A34" s="486">
        <f>A33+1</f>
        <v>5</v>
      </c>
      <c r="B34" s="21"/>
      <c r="C34" s="21" t="s">
        <v>9</v>
      </c>
      <c r="D34" s="523"/>
      <c r="E34" s="59">
        <f>E49*$F12</f>
        <v>2757486.6098910649</v>
      </c>
      <c r="F34" s="121">
        <f>F49*$G12</f>
        <v>2642333.990532238</v>
      </c>
      <c r="G34" s="121">
        <f t="shared" ref="G34:AT34" si="5">G49*$G12</f>
        <v>2548590.713864428</v>
      </c>
      <c r="H34" s="121">
        <f t="shared" si="5"/>
        <v>2457872.8046994102</v>
      </c>
      <c r="I34" s="121">
        <f t="shared" si="5"/>
        <v>2369953.7959880317</v>
      </c>
      <c r="J34" s="121">
        <f t="shared" si="5"/>
        <v>2284624.6412233813</v>
      </c>
      <c r="K34" s="121">
        <f t="shared" si="5"/>
        <v>2201690.8110170835</v>
      </c>
      <c r="L34" s="121">
        <f t="shared" si="5"/>
        <v>2120972.2930992986</v>
      </c>
      <c r="M34" s="121">
        <f t="shared" si="5"/>
        <v>2041490.6336807366</v>
      </c>
      <c r="N34" s="121">
        <f t="shared" si="5"/>
        <v>1962186.0831083071</v>
      </c>
      <c r="O34" s="121">
        <f t="shared" si="5"/>
        <v>1882881.5325358773</v>
      </c>
      <c r="P34" s="121">
        <f t="shared" si="5"/>
        <v>1803576.9819634475</v>
      </c>
      <c r="Q34" s="121">
        <f t="shared" si="5"/>
        <v>1724272.431391018</v>
      </c>
      <c r="R34" s="121">
        <f t="shared" si="5"/>
        <v>1644967.8808185887</v>
      </c>
      <c r="S34" s="121">
        <f t="shared" si="5"/>
        <v>1565663.3302461591</v>
      </c>
      <c r="T34" s="121">
        <f t="shared" si="5"/>
        <v>1486358.7796737293</v>
      </c>
      <c r="U34" s="121">
        <f t="shared" si="5"/>
        <v>1407054.2291012995</v>
      </c>
      <c r="V34" s="121">
        <f t="shared" si="5"/>
        <v>1327749.6785288702</v>
      </c>
      <c r="W34" s="121">
        <f t="shared" si="5"/>
        <v>1248445.1279564404</v>
      </c>
      <c r="X34" s="121">
        <f t="shared" si="5"/>
        <v>1169140.5773840109</v>
      </c>
      <c r="Y34" s="121">
        <f t="shared" si="5"/>
        <v>1096313.5651021088</v>
      </c>
      <c r="Z34" s="121">
        <f t="shared" si="5"/>
        <v>1036438.725977555</v>
      </c>
      <c r="AA34" s="121">
        <f t="shared" si="5"/>
        <v>983041.42514352861</v>
      </c>
      <c r="AB34" s="121">
        <f t="shared" si="5"/>
        <v>929644.12430950231</v>
      </c>
      <c r="AC34" s="121">
        <f t="shared" si="5"/>
        <v>876246.82347547624</v>
      </c>
      <c r="AD34" s="121">
        <f t="shared" si="5"/>
        <v>822849.52264144993</v>
      </c>
      <c r="AE34" s="121">
        <f t="shared" si="5"/>
        <v>769452.22180742386</v>
      </c>
      <c r="AF34" s="121">
        <f t="shared" si="5"/>
        <v>716054.92097339767</v>
      </c>
      <c r="AG34" s="121">
        <f t="shared" si="5"/>
        <v>662657.6201393716</v>
      </c>
      <c r="AH34" s="121">
        <f t="shared" si="5"/>
        <v>609260.31930534542</v>
      </c>
      <c r="AI34" s="121">
        <f t="shared" si="5"/>
        <v>555863.01847131934</v>
      </c>
      <c r="AJ34" s="121">
        <f t="shared" si="5"/>
        <v>502465.71763729322</v>
      </c>
      <c r="AK34" s="121">
        <f t="shared" si="5"/>
        <v>449068.41680326703</v>
      </c>
      <c r="AL34" s="121">
        <f t="shared" si="5"/>
        <v>395671.11596924096</v>
      </c>
      <c r="AM34" s="121">
        <f t="shared" si="5"/>
        <v>342273.81513521483</v>
      </c>
      <c r="AN34" s="121">
        <f t="shared" si="5"/>
        <v>288876.51430118876</v>
      </c>
      <c r="AO34" s="121">
        <f t="shared" si="5"/>
        <v>235479.2134671626</v>
      </c>
      <c r="AP34" s="121">
        <f t="shared" si="5"/>
        <v>182081.9126331365</v>
      </c>
      <c r="AQ34" s="121">
        <f t="shared" si="5"/>
        <v>128684.61179911037</v>
      </c>
      <c r="AR34" s="121">
        <f t="shared" si="5"/>
        <v>75287.310965084253</v>
      </c>
      <c r="AS34" s="121">
        <f t="shared" si="5"/>
        <v>24294.330243257995</v>
      </c>
      <c r="AT34" s="121">
        <f t="shared" si="5"/>
        <v>48588.660548071195</v>
      </c>
      <c r="AU34" s="126">
        <f t="shared" si="3"/>
        <v>50377906.833551936</v>
      </c>
    </row>
    <row r="35" spans="1:47" x14ac:dyDescent="0.2">
      <c r="A35" s="486">
        <f>A34+1</f>
        <v>6</v>
      </c>
      <c r="B35" s="21"/>
      <c r="C35" s="21" t="s">
        <v>58</v>
      </c>
      <c r="D35" s="523"/>
      <c r="E35" s="57">
        <f>E32+E33+E34</f>
        <v>4545964.910015638</v>
      </c>
      <c r="F35" s="123">
        <f>F32+F33+F34</f>
        <v>4282203.5504458854</v>
      </c>
      <c r="G35" s="123">
        <f>G32+G33+G34</f>
        <v>4130281.8805829212</v>
      </c>
      <c r="H35" s="123">
        <f t="shared" ref="H35:AT35" si="6">H32+H33+H34</f>
        <v>3983263.1637562811</v>
      </c>
      <c r="I35" s="123">
        <f t="shared" si="6"/>
        <v>3840780.3842876214</v>
      </c>
      <c r="J35" s="123">
        <f t="shared" si="6"/>
        <v>3702494.7584738564</v>
      </c>
      <c r="K35" s="123">
        <f t="shared" si="6"/>
        <v>3568091.0292579485</v>
      </c>
      <c r="L35" s="123">
        <f t="shared" si="6"/>
        <v>3437277.466228907</v>
      </c>
      <c r="M35" s="123">
        <f t="shared" si="6"/>
        <v>3308468.3734431234</v>
      </c>
      <c r="N35" s="123">
        <f t="shared" si="6"/>
        <v>3179946.3057391206</v>
      </c>
      <c r="O35" s="123">
        <f t="shared" si="6"/>
        <v>3051424.2380351168</v>
      </c>
      <c r="P35" s="123">
        <f t="shared" si="6"/>
        <v>2922902.170331113</v>
      </c>
      <c r="Q35" s="123">
        <f t="shared" si="6"/>
        <v>2794380.1026271102</v>
      </c>
      <c r="R35" s="123">
        <f t="shared" si="6"/>
        <v>2665858.0349231074</v>
      </c>
      <c r="S35" s="123">
        <f t="shared" si="6"/>
        <v>2537335.9672191041</v>
      </c>
      <c r="T35" s="123">
        <f t="shared" si="6"/>
        <v>2408813.8995151008</v>
      </c>
      <c r="U35" s="123">
        <f t="shared" si="6"/>
        <v>2280291.8318110975</v>
      </c>
      <c r="V35" s="123">
        <f t="shared" si="6"/>
        <v>2151769.7641070941</v>
      </c>
      <c r="W35" s="123">
        <f t="shared" si="6"/>
        <v>2023247.6964030908</v>
      </c>
      <c r="X35" s="123">
        <f t="shared" si="6"/>
        <v>1894725.6286990878</v>
      </c>
      <c r="Y35" s="123">
        <f t="shared" si="6"/>
        <v>1776701.1504615315</v>
      </c>
      <c r="Z35" s="123">
        <f t="shared" si="6"/>
        <v>1679667.1458276603</v>
      </c>
      <c r="AA35" s="123">
        <f t="shared" si="6"/>
        <v>1593130.730660236</v>
      </c>
      <c r="AB35" s="123">
        <f t="shared" si="6"/>
        <v>1506594.3154928118</v>
      </c>
      <c r="AC35" s="123">
        <f t="shared" si="6"/>
        <v>1420057.9003253879</v>
      </c>
      <c r="AD35" s="123">
        <f t="shared" si="6"/>
        <v>1333521.4851579638</v>
      </c>
      <c r="AE35" s="123">
        <f t="shared" si="6"/>
        <v>1246985.0699905399</v>
      </c>
      <c r="AF35" s="123">
        <f t="shared" si="6"/>
        <v>1160448.654823116</v>
      </c>
      <c r="AG35" s="123">
        <f t="shared" si="6"/>
        <v>1073912.2396556921</v>
      </c>
      <c r="AH35" s="123">
        <f t="shared" si="6"/>
        <v>987375.82448826812</v>
      </c>
      <c r="AI35" s="123">
        <f t="shared" si="6"/>
        <v>900839.40932084434</v>
      </c>
      <c r="AJ35" s="123">
        <f t="shared" si="6"/>
        <v>814302.99415342032</v>
      </c>
      <c r="AK35" s="123">
        <f t="shared" si="6"/>
        <v>727766.57898599631</v>
      </c>
      <c r="AL35" s="123">
        <f t="shared" si="6"/>
        <v>641230.16381857253</v>
      </c>
      <c r="AM35" s="123">
        <f t="shared" si="6"/>
        <v>554693.74865114852</v>
      </c>
      <c r="AN35" s="123">
        <f t="shared" si="6"/>
        <v>468157.33348372474</v>
      </c>
      <c r="AO35" s="123">
        <f t="shared" si="6"/>
        <v>381620.91831630078</v>
      </c>
      <c r="AP35" s="123">
        <f t="shared" si="6"/>
        <v>295084.50314887689</v>
      </c>
      <c r="AQ35" s="123">
        <f t="shared" si="6"/>
        <v>208548.08798145299</v>
      </c>
      <c r="AR35" s="123">
        <f t="shared" si="6"/>
        <v>122011.67281402908</v>
      </c>
      <c r="AS35" s="123">
        <f t="shared" si="6"/>
        <v>39371.732565279948</v>
      </c>
      <c r="AT35" s="123">
        <f t="shared" si="6"/>
        <v>78743.465230317131</v>
      </c>
      <c r="AU35" s="126">
        <f t="shared" si="3"/>
        <v>81720286.281255499</v>
      </c>
    </row>
    <row r="36" spans="1:47" x14ac:dyDescent="0.2">
      <c r="A36" s="21"/>
      <c r="B36" s="21"/>
      <c r="C36" s="21"/>
      <c r="D36" s="523"/>
      <c r="E36" s="5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6">
        <f t="shared" si="3"/>
        <v>0</v>
      </c>
    </row>
    <row r="37" spans="1:47" x14ac:dyDescent="0.2">
      <c r="A37" s="486">
        <f>A35+1</f>
        <v>7</v>
      </c>
      <c r="B37" s="21" t="s">
        <v>59</v>
      </c>
      <c r="C37" s="21"/>
      <c r="D37" s="523"/>
      <c r="E37" s="60">
        <f>E27+E29+E35</f>
        <v>6761237.8561166571</v>
      </c>
      <c r="F37" s="120">
        <f>F27+F29+F35</f>
        <v>6466866.3065907601</v>
      </c>
      <c r="G37" s="120">
        <f t="shared" ref="G37:AT37" si="7">G27+G29+G35</f>
        <v>6290025.537866733</v>
      </c>
      <c r="H37" s="120">
        <f t="shared" si="7"/>
        <v>6118891.9337936956</v>
      </c>
      <c r="I37" s="120">
        <f t="shared" si="7"/>
        <v>5953038.278591631</v>
      </c>
      <c r="J37" s="120">
        <f t="shared" si="7"/>
        <v>5792070.219232833</v>
      </c>
      <c r="K37" s="120">
        <f t="shared" si="7"/>
        <v>5635620.7883165162</v>
      </c>
      <c r="L37" s="120">
        <f t="shared" si="7"/>
        <v>5483350.4040688239</v>
      </c>
      <c r="M37" s="120">
        <f t="shared" si="7"/>
        <v>5333413.2752350681</v>
      </c>
      <c r="N37" s="120">
        <f t="shared" si="7"/>
        <v>5183810.2510497859</v>
      </c>
      <c r="O37" s="120">
        <f t="shared" si="7"/>
        <v>5034207.2268645037</v>
      </c>
      <c r="P37" s="120">
        <f t="shared" si="7"/>
        <v>4884604.2026792206</v>
      </c>
      <c r="Q37" s="120">
        <f t="shared" si="7"/>
        <v>4735001.1784939393</v>
      </c>
      <c r="R37" s="120">
        <f t="shared" si="7"/>
        <v>4585398.1543086581</v>
      </c>
      <c r="S37" s="120">
        <f t="shared" si="7"/>
        <v>4435795.1301233759</v>
      </c>
      <c r="T37" s="120">
        <f t="shared" si="7"/>
        <v>4286192.1059380937</v>
      </c>
      <c r="U37" s="120">
        <f t="shared" si="7"/>
        <v>4136589.0817528116</v>
      </c>
      <c r="V37" s="120">
        <f t="shared" si="7"/>
        <v>3986986.0575675294</v>
      </c>
      <c r="W37" s="120">
        <f t="shared" si="7"/>
        <v>3837383.0333822477</v>
      </c>
      <c r="X37" s="120">
        <f t="shared" si="7"/>
        <v>3687780.009196966</v>
      </c>
      <c r="Y37" s="120">
        <f t="shared" si="7"/>
        <v>3550396.451745233</v>
      </c>
      <c r="Z37" s="120">
        <f t="shared" si="7"/>
        <v>3437446.3506352147</v>
      </c>
      <c r="AA37" s="120">
        <f t="shared" si="7"/>
        <v>3336715.7162587452</v>
      </c>
      <c r="AB37" s="120">
        <f t="shared" si="7"/>
        <v>3235985.0818822761</v>
      </c>
      <c r="AC37" s="120">
        <f t="shared" si="7"/>
        <v>3135254.4475058075</v>
      </c>
      <c r="AD37" s="120">
        <f t="shared" si="7"/>
        <v>3034523.8131293384</v>
      </c>
      <c r="AE37" s="120">
        <f t="shared" si="7"/>
        <v>2933793.1787528694</v>
      </c>
      <c r="AF37" s="120">
        <f t="shared" si="7"/>
        <v>2833062.5443764008</v>
      </c>
      <c r="AG37" s="120">
        <f t="shared" si="7"/>
        <v>2732331.9099999322</v>
      </c>
      <c r="AH37" s="120">
        <f t="shared" si="7"/>
        <v>2631601.2756234631</v>
      </c>
      <c r="AI37" s="120">
        <f t="shared" si="7"/>
        <v>2530870.641246994</v>
      </c>
      <c r="AJ37" s="120">
        <f t="shared" si="7"/>
        <v>2430140.0068705254</v>
      </c>
      <c r="AK37" s="120">
        <f t="shared" si="7"/>
        <v>2329409.3724940564</v>
      </c>
      <c r="AL37" s="120">
        <f t="shared" si="7"/>
        <v>2228678.7381175878</v>
      </c>
      <c r="AM37" s="120">
        <f t="shared" si="7"/>
        <v>2127948.1037411187</v>
      </c>
      <c r="AN37" s="120">
        <f t="shared" si="7"/>
        <v>2027217.4693646501</v>
      </c>
      <c r="AO37" s="120">
        <f t="shared" si="7"/>
        <v>1926486.834988181</v>
      </c>
      <c r="AP37" s="120">
        <f t="shared" si="7"/>
        <v>1825756.2006117124</v>
      </c>
      <c r="AQ37" s="120">
        <f t="shared" si="7"/>
        <v>1725025.5662352436</v>
      </c>
      <c r="AR37" s="120">
        <f t="shared" si="7"/>
        <v>1624294.9318587747</v>
      </c>
      <c r="AS37" s="120">
        <f t="shared" si="7"/>
        <v>1394615.5454687807</v>
      </c>
      <c r="AT37" s="120">
        <f t="shared" si="7"/>
        <v>91659.438287399345</v>
      </c>
      <c r="AU37" s="126">
        <f t="shared" si="3"/>
        <v>155751474.65036416</v>
      </c>
    </row>
    <row r="38" spans="1:47" x14ac:dyDescent="0.2">
      <c r="A38" s="486">
        <f>A37+1</f>
        <v>8</v>
      </c>
      <c r="B38" s="21" t="s">
        <v>60</v>
      </c>
      <c r="C38" s="21"/>
      <c r="D38" s="523"/>
      <c r="E38" s="59">
        <f t="shared" ref="E38" si="8">E37/(1-$F16)-E37</f>
        <v>322019.02429738268</v>
      </c>
      <c r="F38" s="121">
        <f>F37/(1-$G16)-F37</f>
        <v>307892.46174453385</v>
      </c>
      <c r="G38" s="121">
        <f>G37/(1-$G16)-G37</f>
        <v>299472.93719618488</v>
      </c>
      <c r="H38" s="451">
        <f>H37/(1-$H16)-H37</f>
        <v>304784.15960341226</v>
      </c>
      <c r="I38" s="451">
        <f>I37/(1-$H16)-I37</f>
        <v>296522.93069712352</v>
      </c>
      <c r="J38" s="451">
        <f t="shared" ref="J38:AR38" si="9">J37/(1-$H16)-J37</f>
        <v>288505.05503834505</v>
      </c>
      <c r="K38" s="451">
        <f t="shared" si="9"/>
        <v>280712.25385175832</v>
      </c>
      <c r="L38" s="451">
        <f t="shared" si="9"/>
        <v>273127.61244975682</v>
      </c>
      <c r="M38" s="451">
        <f t="shared" si="9"/>
        <v>265659.19132066984</v>
      </c>
      <c r="N38" s="451">
        <f t="shared" si="9"/>
        <v>258207.41206164844</v>
      </c>
      <c r="O38" s="451">
        <f t="shared" si="9"/>
        <v>250755.63280262612</v>
      </c>
      <c r="P38" s="451">
        <f t="shared" si="9"/>
        <v>243303.85354360472</v>
      </c>
      <c r="Q38" s="451">
        <f t="shared" si="9"/>
        <v>235852.0742845824</v>
      </c>
      <c r="R38" s="451">
        <f t="shared" si="9"/>
        <v>228400.295025561</v>
      </c>
      <c r="S38" s="451">
        <f t="shared" si="9"/>
        <v>220948.51576653868</v>
      </c>
      <c r="T38" s="451">
        <f t="shared" si="9"/>
        <v>213496.73650751729</v>
      </c>
      <c r="U38" s="451">
        <f t="shared" si="9"/>
        <v>206044.95724849496</v>
      </c>
      <c r="V38" s="451">
        <f t="shared" si="9"/>
        <v>198593.1779894731</v>
      </c>
      <c r="W38" s="451">
        <f t="shared" si="9"/>
        <v>191141.39873045124</v>
      </c>
      <c r="X38" s="451">
        <f t="shared" si="9"/>
        <v>183689.61947142938</v>
      </c>
      <c r="Y38" s="451">
        <f t="shared" si="9"/>
        <v>176846.49614872457</v>
      </c>
      <c r="Z38" s="451">
        <f t="shared" si="9"/>
        <v>171220.41188111203</v>
      </c>
      <c r="AA38" s="451">
        <f t="shared" si="9"/>
        <v>166202.983549817</v>
      </c>
      <c r="AB38" s="451">
        <f t="shared" si="9"/>
        <v>161185.55521852151</v>
      </c>
      <c r="AC38" s="451">
        <f t="shared" si="9"/>
        <v>156168.12688722648</v>
      </c>
      <c r="AD38" s="451">
        <f t="shared" si="9"/>
        <v>151150.69855593098</v>
      </c>
      <c r="AE38" s="451">
        <f t="shared" si="9"/>
        <v>146133.27022463595</v>
      </c>
      <c r="AF38" s="451">
        <f t="shared" si="9"/>
        <v>141115.84189334046</v>
      </c>
      <c r="AG38" s="451">
        <f t="shared" si="9"/>
        <v>136098.41356204497</v>
      </c>
      <c r="AH38" s="451">
        <f t="shared" si="9"/>
        <v>131080.98523074994</v>
      </c>
      <c r="AI38" s="451">
        <f t="shared" si="9"/>
        <v>126063.55689945444</v>
      </c>
      <c r="AJ38" s="451">
        <f t="shared" si="9"/>
        <v>121046.12856815942</v>
      </c>
      <c r="AK38" s="451">
        <f t="shared" si="9"/>
        <v>116028.70023686392</v>
      </c>
      <c r="AL38" s="451">
        <f t="shared" si="9"/>
        <v>111011.27190556889</v>
      </c>
      <c r="AM38" s="451">
        <f t="shared" si="9"/>
        <v>105993.8435742734</v>
      </c>
      <c r="AN38" s="451">
        <f t="shared" si="9"/>
        <v>100976.41524297837</v>
      </c>
      <c r="AO38" s="451">
        <f t="shared" si="9"/>
        <v>95958.986911682878</v>
      </c>
      <c r="AP38" s="451">
        <f t="shared" si="9"/>
        <v>90941.558580387617</v>
      </c>
      <c r="AQ38" s="451">
        <f t="shared" si="9"/>
        <v>85924.130249092355</v>
      </c>
      <c r="AR38" s="451">
        <f t="shared" si="9"/>
        <v>80906.701917797094</v>
      </c>
      <c r="AS38" s="121">
        <f t="shared" ref="AS38:AT38" si="10">AS37/(1-$G16)-AS37</f>
        <v>66398.71510007279</v>
      </c>
      <c r="AT38" s="121">
        <f t="shared" si="10"/>
        <v>4363.9761143147043</v>
      </c>
      <c r="AU38" s="126">
        <f t="shared" si="3"/>
        <v>7711946.0680838441</v>
      </c>
    </row>
    <row r="39" spans="1:47" x14ac:dyDescent="0.2">
      <c r="A39" s="486">
        <f>A38+1</f>
        <v>9</v>
      </c>
      <c r="B39" s="21"/>
      <c r="C39" s="21" t="s">
        <v>61</v>
      </c>
      <c r="D39" s="523"/>
      <c r="E39" s="60">
        <f>SUM(E37:E38)</f>
        <v>7083256.8804140398</v>
      </c>
      <c r="F39" s="120">
        <f>SUM(F37:F38)</f>
        <v>6774758.768335294</v>
      </c>
      <c r="G39" s="120">
        <f t="shared" ref="G39:AT39" si="11">SUM(G37:G38)</f>
        <v>6589498.4750629179</v>
      </c>
      <c r="H39" s="120">
        <f t="shared" si="11"/>
        <v>6423676.0933971079</v>
      </c>
      <c r="I39" s="120">
        <f t="shared" si="11"/>
        <v>6249561.2092887545</v>
      </c>
      <c r="J39" s="120">
        <f t="shared" si="11"/>
        <v>6080575.2742711781</v>
      </c>
      <c r="K39" s="120">
        <f t="shared" si="11"/>
        <v>5916333.0421682745</v>
      </c>
      <c r="L39" s="120">
        <f t="shared" si="11"/>
        <v>5756478.0165185807</v>
      </c>
      <c r="M39" s="120">
        <f t="shared" si="11"/>
        <v>5599072.4665557379</v>
      </c>
      <c r="N39" s="120">
        <f t="shared" si="11"/>
        <v>5442017.6631114343</v>
      </c>
      <c r="O39" s="120">
        <f t="shared" si="11"/>
        <v>5284962.8596671298</v>
      </c>
      <c r="P39" s="120">
        <f t="shared" si="11"/>
        <v>5127908.0562228253</v>
      </c>
      <c r="Q39" s="120">
        <f t="shared" si="11"/>
        <v>4970853.2527785217</v>
      </c>
      <c r="R39" s="120">
        <f t="shared" si="11"/>
        <v>4813798.4493342191</v>
      </c>
      <c r="S39" s="120">
        <f t="shared" si="11"/>
        <v>4656743.6458899146</v>
      </c>
      <c r="T39" s="120">
        <f t="shared" si="11"/>
        <v>4499688.842445611</v>
      </c>
      <c r="U39" s="120">
        <f t="shared" si="11"/>
        <v>4342634.0390013065</v>
      </c>
      <c r="V39" s="120">
        <f t="shared" si="11"/>
        <v>4185579.2355570025</v>
      </c>
      <c r="W39" s="120">
        <f t="shared" si="11"/>
        <v>4028524.4321126989</v>
      </c>
      <c r="X39" s="120">
        <f t="shared" si="11"/>
        <v>3871469.6286683953</v>
      </c>
      <c r="Y39" s="120">
        <f t="shared" si="11"/>
        <v>3727242.9478939576</v>
      </c>
      <c r="Z39" s="120">
        <f t="shared" si="11"/>
        <v>3608666.7625163267</v>
      </c>
      <c r="AA39" s="120">
        <f t="shared" si="11"/>
        <v>3502918.6998085622</v>
      </c>
      <c r="AB39" s="120">
        <f t="shared" si="11"/>
        <v>3397170.6371007976</v>
      </c>
      <c r="AC39" s="120">
        <f t="shared" si="11"/>
        <v>3291422.574393034</v>
      </c>
      <c r="AD39" s="120">
        <f t="shared" si="11"/>
        <v>3185674.5116852694</v>
      </c>
      <c r="AE39" s="120">
        <f t="shared" si="11"/>
        <v>3079926.4489775053</v>
      </c>
      <c r="AF39" s="120">
        <f t="shared" si="11"/>
        <v>2974178.3862697412</v>
      </c>
      <c r="AG39" s="120">
        <f t="shared" si="11"/>
        <v>2868430.3235619771</v>
      </c>
      <c r="AH39" s="120">
        <f t="shared" si="11"/>
        <v>2762682.260854213</v>
      </c>
      <c r="AI39" s="120">
        <f t="shared" si="11"/>
        <v>2656934.1981464485</v>
      </c>
      <c r="AJ39" s="120">
        <f t="shared" si="11"/>
        <v>2551186.1354386848</v>
      </c>
      <c r="AK39" s="120">
        <f t="shared" si="11"/>
        <v>2445438.0727309203</v>
      </c>
      <c r="AL39" s="120">
        <f t="shared" si="11"/>
        <v>2339690.0100231566</v>
      </c>
      <c r="AM39" s="120">
        <f t="shared" si="11"/>
        <v>2233941.9473153921</v>
      </c>
      <c r="AN39" s="120">
        <f t="shared" si="11"/>
        <v>2128193.8846076285</v>
      </c>
      <c r="AO39" s="120">
        <f t="shared" si="11"/>
        <v>2022445.8218998639</v>
      </c>
      <c r="AP39" s="120">
        <f t="shared" si="11"/>
        <v>1916697.7591921</v>
      </c>
      <c r="AQ39" s="120">
        <f t="shared" si="11"/>
        <v>1810949.6964843359</v>
      </c>
      <c r="AR39" s="120">
        <f t="shared" si="11"/>
        <v>1705201.6337765718</v>
      </c>
      <c r="AS39" s="120">
        <f t="shared" si="11"/>
        <v>1461014.2605688535</v>
      </c>
      <c r="AT39" s="120">
        <f t="shared" si="11"/>
        <v>96023.41440171405</v>
      </c>
      <c r="AU39" s="126">
        <f t="shared" si="3"/>
        <v>163463420.71844798</v>
      </c>
    </row>
    <row r="40" spans="1:47" x14ac:dyDescent="0.2">
      <c r="A40" s="486">
        <f t="shared" ref="A40:A66" si="12">A39+1</f>
        <v>10</v>
      </c>
      <c r="B40" s="21"/>
      <c r="C40" s="21"/>
      <c r="D40" s="523"/>
      <c r="E40" s="6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6">
        <f t="shared" si="3"/>
        <v>0</v>
      </c>
    </row>
    <row r="41" spans="1:47" x14ac:dyDescent="0.2">
      <c r="A41" s="486">
        <f t="shared" si="12"/>
        <v>11</v>
      </c>
      <c r="B41" s="21"/>
      <c r="C41" s="21"/>
      <c r="D41" s="523"/>
      <c r="E41" s="57"/>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6">
        <f t="shared" si="3"/>
        <v>0</v>
      </c>
    </row>
    <row r="42" spans="1:47" x14ac:dyDescent="0.2">
      <c r="A42" s="486">
        <f t="shared" si="12"/>
        <v>12</v>
      </c>
      <c r="B42" s="21" t="s">
        <v>62</v>
      </c>
      <c r="C42" s="21"/>
      <c r="D42" s="523"/>
      <c r="E42" s="59">
        <f>E39</f>
        <v>7083256.8804140398</v>
      </c>
      <c r="F42" s="121">
        <f>F39</f>
        <v>6774758.768335294</v>
      </c>
      <c r="G42" s="121">
        <f t="shared" ref="G42:AT42" si="13">G39</f>
        <v>6589498.4750629179</v>
      </c>
      <c r="H42" s="121">
        <f t="shared" si="13"/>
        <v>6423676.0933971079</v>
      </c>
      <c r="I42" s="121">
        <f t="shared" si="13"/>
        <v>6249561.2092887545</v>
      </c>
      <c r="J42" s="121">
        <f t="shared" si="13"/>
        <v>6080575.2742711781</v>
      </c>
      <c r="K42" s="121">
        <f t="shared" si="13"/>
        <v>5916333.0421682745</v>
      </c>
      <c r="L42" s="121">
        <f t="shared" si="13"/>
        <v>5756478.0165185807</v>
      </c>
      <c r="M42" s="121">
        <f t="shared" si="13"/>
        <v>5599072.4665557379</v>
      </c>
      <c r="N42" s="121">
        <f t="shared" si="13"/>
        <v>5442017.6631114343</v>
      </c>
      <c r="O42" s="121">
        <f t="shared" si="13"/>
        <v>5284962.8596671298</v>
      </c>
      <c r="P42" s="121">
        <f t="shared" si="13"/>
        <v>5127908.0562228253</v>
      </c>
      <c r="Q42" s="121">
        <f t="shared" si="13"/>
        <v>4970853.2527785217</v>
      </c>
      <c r="R42" s="121">
        <f t="shared" si="13"/>
        <v>4813798.4493342191</v>
      </c>
      <c r="S42" s="121">
        <f t="shared" si="13"/>
        <v>4656743.6458899146</v>
      </c>
      <c r="T42" s="121">
        <f t="shared" si="13"/>
        <v>4499688.842445611</v>
      </c>
      <c r="U42" s="121">
        <f t="shared" si="13"/>
        <v>4342634.0390013065</v>
      </c>
      <c r="V42" s="121">
        <f t="shared" si="13"/>
        <v>4185579.2355570025</v>
      </c>
      <c r="W42" s="121">
        <f t="shared" si="13"/>
        <v>4028524.4321126989</v>
      </c>
      <c r="X42" s="121">
        <f t="shared" si="13"/>
        <v>3871469.6286683953</v>
      </c>
      <c r="Y42" s="121">
        <f t="shared" si="13"/>
        <v>3727242.9478939576</v>
      </c>
      <c r="Z42" s="121">
        <f t="shared" si="13"/>
        <v>3608666.7625163267</v>
      </c>
      <c r="AA42" s="121">
        <f t="shared" si="13"/>
        <v>3502918.6998085622</v>
      </c>
      <c r="AB42" s="121">
        <f t="shared" si="13"/>
        <v>3397170.6371007976</v>
      </c>
      <c r="AC42" s="121">
        <f t="shared" si="13"/>
        <v>3291422.574393034</v>
      </c>
      <c r="AD42" s="121">
        <f t="shared" si="13"/>
        <v>3185674.5116852694</v>
      </c>
      <c r="AE42" s="121">
        <f t="shared" si="13"/>
        <v>3079926.4489775053</v>
      </c>
      <c r="AF42" s="121">
        <f t="shared" si="13"/>
        <v>2974178.3862697412</v>
      </c>
      <c r="AG42" s="121">
        <f t="shared" si="13"/>
        <v>2868430.3235619771</v>
      </c>
      <c r="AH42" s="121">
        <f t="shared" si="13"/>
        <v>2762682.260854213</v>
      </c>
      <c r="AI42" s="121">
        <f t="shared" si="13"/>
        <v>2656934.1981464485</v>
      </c>
      <c r="AJ42" s="121">
        <f t="shared" si="13"/>
        <v>2551186.1354386848</v>
      </c>
      <c r="AK42" s="121">
        <f t="shared" si="13"/>
        <v>2445438.0727309203</v>
      </c>
      <c r="AL42" s="121">
        <f t="shared" si="13"/>
        <v>2339690.0100231566</v>
      </c>
      <c r="AM42" s="121">
        <f t="shared" si="13"/>
        <v>2233941.9473153921</v>
      </c>
      <c r="AN42" s="121">
        <f t="shared" si="13"/>
        <v>2128193.8846076285</v>
      </c>
      <c r="AO42" s="121">
        <f t="shared" si="13"/>
        <v>2022445.8218998639</v>
      </c>
      <c r="AP42" s="121">
        <f t="shared" si="13"/>
        <v>1916697.7591921</v>
      </c>
      <c r="AQ42" s="121">
        <f t="shared" si="13"/>
        <v>1810949.6964843359</v>
      </c>
      <c r="AR42" s="121">
        <f t="shared" si="13"/>
        <v>1705201.6337765718</v>
      </c>
      <c r="AS42" s="121">
        <f t="shared" si="13"/>
        <v>1461014.2605688535</v>
      </c>
      <c r="AT42" s="121">
        <f t="shared" si="13"/>
        <v>96023.41440171405</v>
      </c>
      <c r="AU42" s="126">
        <f t="shared" si="3"/>
        <v>163463420.71844798</v>
      </c>
    </row>
    <row r="43" spans="1:47" x14ac:dyDescent="0.2">
      <c r="A43" s="486">
        <f t="shared" si="12"/>
        <v>13</v>
      </c>
      <c r="B43" s="21"/>
      <c r="C43" s="21"/>
      <c r="D43" s="523"/>
      <c r="E43" s="10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row>
    <row r="44" spans="1:47" outlineLevel="1" x14ac:dyDescent="0.2">
      <c r="A44" s="486">
        <f t="shared" si="12"/>
        <v>14</v>
      </c>
      <c r="B44" s="21"/>
      <c r="C44" s="21"/>
      <c r="D44" s="523"/>
      <c r="E44" s="62"/>
      <c r="F44" s="52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row>
    <row r="45" spans="1:47" outlineLevel="1" x14ac:dyDescent="0.2">
      <c r="A45" s="486">
        <f t="shared" si="12"/>
        <v>15</v>
      </c>
      <c r="B45" s="21" t="s">
        <v>63</v>
      </c>
      <c r="C45" s="523"/>
      <c r="D45" s="523"/>
      <c r="E45" s="64">
        <f>+E42/$F$22</f>
        <v>0.11680911008804319</v>
      </c>
      <c r="F45" s="122">
        <f t="shared" ref="F45:AT45" si="14">+F42/$F$22</f>
        <v>0.11172170601049218</v>
      </c>
      <c r="G45" s="122">
        <f>+G42/$F$22</f>
        <v>0.10866660150741629</v>
      </c>
      <c r="H45" s="122">
        <f t="shared" si="14"/>
        <v>0.10593204519213963</v>
      </c>
      <c r="I45" s="122">
        <f t="shared" si="14"/>
        <v>0.10306073824829338</v>
      </c>
      <c r="J45" s="122">
        <f t="shared" si="14"/>
        <v>0.10027401216733199</v>
      </c>
      <c r="K45" s="122">
        <f t="shared" si="14"/>
        <v>9.7565513902379539E-2</v>
      </c>
      <c r="L45" s="122">
        <f t="shared" si="14"/>
        <v>9.4929364514535985E-2</v>
      </c>
      <c r="M45" s="122">
        <f t="shared" si="14"/>
        <v>9.2333609126231619E-2</v>
      </c>
      <c r="N45" s="122">
        <f t="shared" si="14"/>
        <v>8.9743637855232164E-2</v>
      </c>
      <c r="O45" s="122">
        <f t="shared" si="14"/>
        <v>8.7153666584232681E-2</v>
      </c>
      <c r="P45" s="122">
        <f t="shared" si="14"/>
        <v>8.4563695313233211E-2</v>
      </c>
      <c r="Q45" s="122">
        <f t="shared" si="14"/>
        <v>8.1973724042233742E-2</v>
      </c>
      <c r="R45" s="122">
        <f t="shared" si="14"/>
        <v>7.9383752771234301E-2</v>
      </c>
      <c r="S45" s="122">
        <f t="shared" si="14"/>
        <v>7.6793781500234817E-2</v>
      </c>
      <c r="T45" s="122">
        <f t="shared" si="14"/>
        <v>7.4203810229235348E-2</v>
      </c>
      <c r="U45" s="122">
        <f t="shared" si="14"/>
        <v>7.1613838958235879E-2</v>
      </c>
      <c r="V45" s="122">
        <f t="shared" si="14"/>
        <v>6.9023867687236409E-2</v>
      </c>
      <c r="W45" s="122">
        <f t="shared" si="14"/>
        <v>6.643389641623694E-2</v>
      </c>
      <c r="X45" s="122">
        <f t="shared" si="14"/>
        <v>6.3843925145237485E-2</v>
      </c>
      <c r="Y45" s="122">
        <f t="shared" si="14"/>
        <v>6.1465500853045273E-2</v>
      </c>
      <c r="Z45" s="122">
        <f t="shared" si="14"/>
        <v>5.9510075696872437E-2</v>
      </c>
      <c r="AA45" s="122">
        <f t="shared" si="14"/>
        <v>5.7766197519506873E-2</v>
      </c>
      <c r="AB45" s="122">
        <f t="shared" si="14"/>
        <v>5.6022319342141302E-2</v>
      </c>
      <c r="AC45" s="122">
        <f t="shared" si="14"/>
        <v>5.4278441164775745E-2</v>
      </c>
      <c r="AD45" s="122">
        <f t="shared" si="14"/>
        <v>5.2534562987410174E-2</v>
      </c>
      <c r="AE45" s="122">
        <f t="shared" si="14"/>
        <v>5.0790684810044617E-2</v>
      </c>
      <c r="AF45" s="122">
        <f t="shared" si="14"/>
        <v>4.9046806632679053E-2</v>
      </c>
      <c r="AG45" s="122">
        <f t="shared" si="14"/>
        <v>4.7302928455313489E-2</v>
      </c>
      <c r="AH45" s="122">
        <f t="shared" si="14"/>
        <v>4.5559050277947932E-2</v>
      </c>
      <c r="AI45" s="122">
        <f t="shared" si="14"/>
        <v>4.3815172100582361E-2</v>
      </c>
      <c r="AJ45" s="122">
        <f t="shared" si="14"/>
        <v>4.2071293923216804E-2</v>
      </c>
      <c r="AK45" s="122">
        <f t="shared" si="14"/>
        <v>4.0327415745851233E-2</v>
      </c>
      <c r="AL45" s="122">
        <f t="shared" si="14"/>
        <v>3.8583537568485683E-2</v>
      </c>
      <c r="AM45" s="122">
        <f t="shared" si="14"/>
        <v>3.6839659391120112E-2</v>
      </c>
      <c r="AN45" s="122">
        <f t="shared" si="14"/>
        <v>3.5095781213754555E-2</v>
      </c>
      <c r="AO45" s="122">
        <f t="shared" si="14"/>
        <v>3.3351903036388991E-2</v>
      </c>
      <c r="AP45" s="122">
        <f t="shared" si="14"/>
        <v>3.1608024859023427E-2</v>
      </c>
      <c r="AQ45" s="122">
        <f t="shared" si="14"/>
        <v>2.9864146681657867E-2</v>
      </c>
      <c r="AR45" s="122">
        <f t="shared" si="14"/>
        <v>2.8120268504292306E-2</v>
      </c>
      <c r="AS45" s="122">
        <f t="shared" si="14"/>
        <v>2.4093404839641026E-2</v>
      </c>
      <c r="AT45" s="122">
        <f t="shared" si="14"/>
        <v>1.5835102091093403E-3</v>
      </c>
    </row>
    <row r="46" spans="1:47" outlineLevel="1" x14ac:dyDescent="0.2">
      <c r="A46" s="486">
        <f t="shared" si="12"/>
        <v>16</v>
      </c>
      <c r="B46" s="21"/>
      <c r="C46" s="21"/>
      <c r="D46" s="523"/>
      <c r="E46" s="62"/>
      <c r="F46" s="52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row>
    <row r="47" spans="1:47" outlineLevel="1" x14ac:dyDescent="0.2">
      <c r="A47" s="486">
        <f t="shared" si="12"/>
        <v>17</v>
      </c>
      <c r="B47" s="21"/>
      <c r="C47" s="21"/>
      <c r="D47" s="523"/>
      <c r="E47" s="62">
        <f>+E27/2</f>
        <v>741135.08819157048</v>
      </c>
      <c r="F47" s="120"/>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row>
    <row r="48" spans="1:47" outlineLevel="1" x14ac:dyDescent="0.2">
      <c r="A48" s="486">
        <f t="shared" si="12"/>
        <v>18</v>
      </c>
      <c r="B48" s="21"/>
      <c r="C48" s="21"/>
      <c r="D48" s="523"/>
      <c r="E48" s="62">
        <f>+E60/2</f>
        <v>83130.028444770142</v>
      </c>
      <c r="F48" s="120"/>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row>
    <row r="49" spans="1:47" x14ac:dyDescent="0.2">
      <c r="A49" s="486">
        <f t="shared" si="12"/>
        <v>19</v>
      </c>
      <c r="B49" s="65" t="s">
        <v>64</v>
      </c>
      <c r="C49" s="21"/>
      <c r="D49" s="523"/>
      <c r="E49" s="60">
        <f>F22-E27/2-E60/2</f>
        <v>59815327.763363659</v>
      </c>
      <c r="F49" s="138">
        <f>$F$22-(SUM($E$27:E27)+F27/2)-(SUM($E$60:E60)+F60/2)</f>
        <v>57945920.845005214</v>
      </c>
      <c r="G49" s="138">
        <f>$F$22-(SUM($E$27:F27)+G27/2)-(SUM($E$60:F60)+G60/2)</f>
        <v>55890147.233869031</v>
      </c>
      <c r="H49" s="138">
        <f>$F$22-(SUM($E$27:G27)+H27/2)-(SUM($E$60:G60)+H60/2)</f>
        <v>53900719.401302852</v>
      </c>
      <c r="I49" s="138">
        <f>$F$22-(SUM($E$27:H27)+I27/2)-(SUM($E$60:H60)+I60/2)</f>
        <v>51972670.964649811</v>
      </c>
      <c r="J49" s="138">
        <f>$F$22-(SUM($E$27:I27)+J27/2)-(SUM($E$60:I60)+J60/2)</f>
        <v>50101417.570688181</v>
      </c>
      <c r="K49" s="138">
        <f>$F$22-(SUM($E$27:J27)+K27/2)-(SUM($E$60:J60)+K60/2)</f>
        <v>48282693.224058844</v>
      </c>
      <c r="L49" s="138">
        <f>$F$22-(SUM($E$27:K27)+L27/2)-(SUM($E$60:K60)+L60/2)</f>
        <v>46512550.287265323</v>
      </c>
      <c r="M49" s="138">
        <f>$F$22-(SUM($E$27:L27)+M27/2)-(SUM($E$60:L60)+M60/2)</f>
        <v>44769531.440367028</v>
      </c>
      <c r="N49" s="138">
        <f>$F$22-(SUM($E$27:M27)+N27/2)-(SUM($E$60:M60)+N60/2)</f>
        <v>43030396.559392698</v>
      </c>
      <c r="O49" s="138">
        <f>$F$22-(SUM($E$27:N27)+O27/2)-(SUM($E$60:N60)+O60/2)</f>
        <v>41291261.678418361</v>
      </c>
      <c r="P49" s="138">
        <f>$F$22-(SUM($E$27:O27)+P27/2)-(SUM($E$60:O60)+P60/2)</f>
        <v>39552126.797444023</v>
      </c>
      <c r="Q49" s="138">
        <f>$F$22-(SUM($E$27:P27)+Q27/2)-(SUM($E$60:P60)+Q60/2)</f>
        <v>37812991.916469693</v>
      </c>
      <c r="R49" s="138">
        <f>$F$22-(SUM($E$27:Q27)+R27/2)-(SUM($E$60:Q60)+R60/2)</f>
        <v>36073857.035495363</v>
      </c>
      <c r="S49" s="138">
        <f>$F$22-(SUM($E$27:R27)+S27/2)-(SUM($E$60:R60)+S60/2)</f>
        <v>34334722.154521033</v>
      </c>
      <c r="T49" s="138">
        <f>$F$22-(SUM($E$27:S27)+T27/2)-(SUM($E$60:S60)+T60/2)</f>
        <v>32595587.273546696</v>
      </c>
      <c r="U49" s="138">
        <f>$F$22-(SUM($E$27:T27)+U27/2)-(SUM($E$60:T60)+U60/2)</f>
        <v>30856452.392572358</v>
      </c>
      <c r="V49" s="138">
        <f>$F$22-(SUM($E$27:U27)+V27/2)-(SUM($E$60:U60)+V60/2)</f>
        <v>29117317.511598028</v>
      </c>
      <c r="W49" s="138">
        <f>$F$22-(SUM($E$27:V27)+W27/2)-(SUM($E$60:V60)+W60/2)</f>
        <v>27378182.630623695</v>
      </c>
      <c r="X49" s="138">
        <f>$F$22-(SUM($E$27:W27)+X27/2)-(SUM($E$60:W60)+X60/2)</f>
        <v>25639047.749649361</v>
      </c>
      <c r="Y49" s="138">
        <f>$F$22-(SUM($E$27:X27)+Y27/2)-(SUM($E$60:X60)+Y60/2)</f>
        <v>24041964.146976069</v>
      </c>
      <c r="Z49" s="138">
        <f>$F$22-(SUM($E$27:Y27)+Z27/2)-(SUM($E$60:Y60)+Z60/2)</f>
        <v>22728919.429332346</v>
      </c>
      <c r="AA49" s="138">
        <f>$F$22-(SUM($E$27:Z27)+AA27/2)-(SUM($E$60:Z60)+AA60/2)</f>
        <v>21557925.989989661</v>
      </c>
      <c r="AB49" s="138">
        <f>$F$22-(SUM($E$27:AA27)+AB27/2)-(SUM($E$60:AA60)+AB60/2)</f>
        <v>20386932.550646979</v>
      </c>
      <c r="AC49" s="138">
        <f>$F$22-(SUM($E$27:AB27)+AC27/2)-(SUM($E$60:AB60)+AC60/2)</f>
        <v>19215939.111304302</v>
      </c>
      <c r="AD49" s="138">
        <f>$F$22-(SUM($E$27:AC27)+AD27/2)-(SUM($E$60:AC60)+AD60/2)</f>
        <v>18044945.67196162</v>
      </c>
      <c r="AE49" s="138">
        <f>$F$22-(SUM($E$27:AD27)+AE27/2)-(SUM($E$60:AD60)+AE60/2)</f>
        <v>16873952.232618943</v>
      </c>
      <c r="AF49" s="138">
        <f>$F$22-(SUM($E$27:AE27)+AF27/2)-(SUM($E$60:AE60)+AF60/2)</f>
        <v>15702958.793276265</v>
      </c>
      <c r="AG49" s="138">
        <f>$F$22-(SUM($E$27:AF27)+AG27/2)-(SUM($E$60:AF60)+AG60/2)</f>
        <v>14531965.353933588</v>
      </c>
      <c r="AH49" s="138">
        <f>$F$22-(SUM($E$27:AG27)+AH27/2)-(SUM($E$60:AG60)+AH60/2)</f>
        <v>13360971.914590908</v>
      </c>
      <c r="AI49" s="138">
        <f>$F$22-(SUM($E$27:AH27)+AI27/2)-(SUM($E$60:AH60)+AI60/2)</f>
        <v>12189978.475248231</v>
      </c>
      <c r="AJ49" s="138">
        <f>$F$22-(SUM($E$27:AI27)+AJ27/2)-(SUM($E$60:AI60)+AJ60/2)</f>
        <v>11018985.035905553</v>
      </c>
      <c r="AK49" s="138">
        <f>$F$22-(SUM($E$27:AJ27)+AK27/2)-(SUM($E$60:AJ60)+AK60/2)</f>
        <v>9847991.5965628736</v>
      </c>
      <c r="AL49" s="138">
        <f>$F$22-(SUM($E$27:AK27)+AL27/2)-(SUM($E$60:AK60)+AL60/2)</f>
        <v>8676998.157220196</v>
      </c>
      <c r="AM49" s="138">
        <f>$F$22-(SUM($E$27:AL27)+AM27/2)-(SUM($E$60:AL60)+AM60/2)</f>
        <v>7506004.7178775184</v>
      </c>
      <c r="AN49" s="138">
        <f>$F$22-(SUM($E$27:AM27)+AN27/2)-(SUM($E$60:AM60)+AN60/2)</f>
        <v>6335011.2785348408</v>
      </c>
      <c r="AO49" s="138">
        <f>$F$22-(SUM($E$27:AN27)+AO27/2)-(SUM($E$60:AN60)+AO60/2)</f>
        <v>5164017.8391921623</v>
      </c>
      <c r="AP49" s="138">
        <f>$F$22-(SUM($E$27:AO27)+AP27/2)-(SUM($E$60:AO60)+AP60/2)</f>
        <v>3993024.3998494847</v>
      </c>
      <c r="AQ49" s="138">
        <f>$F$22-(SUM($E$27:AP27)+AQ27/2)-(SUM($E$60:AP60)+AQ60/2)</f>
        <v>2822030.9605068062</v>
      </c>
      <c r="AR49" s="138">
        <f>$F$22-(SUM($E$27:AQ27)+AR27/2)-(SUM($E$60:AQ60)+AR60/2)</f>
        <v>1651037.5211641283</v>
      </c>
      <c r="AS49" s="138">
        <f>$F$22-(SUM($E$27:AR27)+AS27/2)-(SUM($E$60:AR60)+AS60/2)</f>
        <v>532770.40007144725</v>
      </c>
      <c r="AT49" s="138">
        <f>$F$22-(SUM($E$27:AR27)+AT27/2)-(SUM($E$60:AR60)+AT60/2)</f>
        <v>1065540.8014927893</v>
      </c>
      <c r="AU49" s="126">
        <f t="shared" ref="AU49:AU60" si="15">SUM(D49:AT49)</f>
        <v>1104122788.8085582</v>
      </c>
    </row>
    <row r="50" spans="1:47" x14ac:dyDescent="0.2">
      <c r="A50" s="486">
        <f t="shared" si="12"/>
        <v>20</v>
      </c>
      <c r="B50" s="21"/>
      <c r="C50" s="21"/>
      <c r="D50" s="523"/>
      <c r="E50" s="108"/>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6">
        <f t="shared" si="15"/>
        <v>0</v>
      </c>
    </row>
    <row r="51" spans="1:47" x14ac:dyDescent="0.2">
      <c r="A51" s="486">
        <f t="shared" si="12"/>
        <v>21</v>
      </c>
      <c r="B51" s="21"/>
      <c r="C51" s="21"/>
      <c r="D51" s="523"/>
      <c r="E51" s="57"/>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6">
        <f t="shared" si="15"/>
        <v>0</v>
      </c>
    </row>
    <row r="52" spans="1:47" x14ac:dyDescent="0.2">
      <c r="A52" s="486">
        <f t="shared" si="12"/>
        <v>22</v>
      </c>
      <c r="B52" s="21" t="s">
        <v>65</v>
      </c>
      <c r="C52" s="21"/>
      <c r="D52" s="523"/>
      <c r="E52" s="57">
        <f>(E34)/(1-$F$15)</f>
        <v>3490489.3796089427</v>
      </c>
      <c r="F52" s="123">
        <f>(F34)/(1-$G$15)</f>
        <v>3344726.5702939723</v>
      </c>
      <c r="G52" s="123">
        <f t="shared" ref="G52:AT52" si="16">(G34)/(1-$G$15)</f>
        <v>3226064.1947650984</v>
      </c>
      <c r="H52" s="123">
        <f t="shared" si="16"/>
        <v>3111231.3983536838</v>
      </c>
      <c r="I52" s="123">
        <f t="shared" si="16"/>
        <v>2999941.5139089008</v>
      </c>
      <c r="J52" s="123">
        <f t="shared" si="16"/>
        <v>2891929.9255992165</v>
      </c>
      <c r="K52" s="123">
        <f t="shared" si="16"/>
        <v>2786950.3936925107</v>
      </c>
      <c r="L52" s="123">
        <f t="shared" si="16"/>
        <v>2684775.0545560741</v>
      </c>
      <c r="M52" s="123">
        <f t="shared" si="16"/>
        <v>2584165.3590895399</v>
      </c>
      <c r="N52" s="123">
        <f t="shared" si="16"/>
        <v>2483779.8520358317</v>
      </c>
      <c r="O52" s="123">
        <f t="shared" si="16"/>
        <v>2383394.344982123</v>
      </c>
      <c r="P52" s="123">
        <f t="shared" si="16"/>
        <v>2283008.8379284143</v>
      </c>
      <c r="Q52" s="123">
        <f t="shared" si="16"/>
        <v>2182623.3308747062</v>
      </c>
      <c r="R52" s="123">
        <f t="shared" si="16"/>
        <v>2082237.8238209982</v>
      </c>
      <c r="S52" s="123">
        <f t="shared" si="16"/>
        <v>1981852.31676729</v>
      </c>
      <c r="T52" s="123">
        <f t="shared" si="16"/>
        <v>1881466.8097135813</v>
      </c>
      <c r="U52" s="123">
        <f t="shared" si="16"/>
        <v>1781081.3026598727</v>
      </c>
      <c r="V52" s="123">
        <f t="shared" si="16"/>
        <v>1680695.7956061647</v>
      </c>
      <c r="W52" s="123">
        <f t="shared" si="16"/>
        <v>1580310.2885524561</v>
      </c>
      <c r="X52" s="123">
        <f t="shared" si="16"/>
        <v>1479924.7814987479</v>
      </c>
      <c r="Y52" s="123">
        <f t="shared" si="16"/>
        <v>1387738.6900026693</v>
      </c>
      <c r="Z52" s="123">
        <f t="shared" si="16"/>
        <v>1311947.7544019683</v>
      </c>
      <c r="AA52" s="123">
        <f t="shared" si="16"/>
        <v>1244356.234358897</v>
      </c>
      <c r="AB52" s="123">
        <f t="shared" si="16"/>
        <v>1176764.7143158256</v>
      </c>
      <c r="AC52" s="123">
        <f t="shared" si="16"/>
        <v>1109173.1942727547</v>
      </c>
      <c r="AD52" s="123">
        <f t="shared" si="16"/>
        <v>1041581.6742296835</v>
      </c>
      <c r="AE52" s="123">
        <f t="shared" si="16"/>
        <v>973990.15418661246</v>
      </c>
      <c r="AF52" s="123">
        <f t="shared" si="16"/>
        <v>906398.63414354133</v>
      </c>
      <c r="AG52" s="123">
        <f t="shared" si="16"/>
        <v>838807.11410047032</v>
      </c>
      <c r="AH52" s="123">
        <f t="shared" si="16"/>
        <v>771215.5940573992</v>
      </c>
      <c r="AI52" s="123">
        <f t="shared" si="16"/>
        <v>703624.0740143283</v>
      </c>
      <c r="AJ52" s="123">
        <f t="shared" si="16"/>
        <v>636032.55397125718</v>
      </c>
      <c r="AK52" s="123">
        <f t="shared" si="16"/>
        <v>568441.03392818605</v>
      </c>
      <c r="AL52" s="123">
        <f t="shared" si="16"/>
        <v>500849.5138851151</v>
      </c>
      <c r="AM52" s="123">
        <f t="shared" si="16"/>
        <v>433257.99384204409</v>
      </c>
      <c r="AN52" s="123">
        <f t="shared" si="16"/>
        <v>365666.47379897308</v>
      </c>
      <c r="AO52" s="123">
        <f t="shared" si="16"/>
        <v>298074.95375590201</v>
      </c>
      <c r="AP52" s="123">
        <f t="shared" si="16"/>
        <v>230483.433712831</v>
      </c>
      <c r="AQ52" s="123">
        <f t="shared" si="16"/>
        <v>162891.91366975996</v>
      </c>
      <c r="AR52" s="123">
        <f t="shared" si="16"/>
        <v>95300.393626688921</v>
      </c>
      <c r="AS52" s="123">
        <f t="shared" si="16"/>
        <v>30752.316763617713</v>
      </c>
      <c r="AT52" s="123">
        <f t="shared" si="16"/>
        <v>61504.633605153409</v>
      </c>
      <c r="AU52" s="126">
        <f t="shared" si="15"/>
        <v>63769502.320951805</v>
      </c>
    </row>
    <row r="53" spans="1:47" x14ac:dyDescent="0.2">
      <c r="A53" s="486">
        <f t="shared" si="12"/>
        <v>23</v>
      </c>
      <c r="B53" s="21" t="s">
        <v>66</v>
      </c>
      <c r="C53" s="21"/>
      <c r="D53" s="523"/>
      <c r="E53" s="59">
        <f t="shared" ref="E53" si="17">E52*$F15</f>
        <v>733002.76971787796</v>
      </c>
      <c r="F53" s="121">
        <f>F52*$G15</f>
        <v>702392.57976173412</v>
      </c>
      <c r="G53" s="121">
        <f t="shared" ref="G53:AT53" si="18">G52*$G15</f>
        <v>677473.48090067063</v>
      </c>
      <c r="H53" s="121">
        <f t="shared" si="18"/>
        <v>653358.59365427354</v>
      </c>
      <c r="I53" s="121">
        <f t="shared" si="18"/>
        <v>629987.71792086912</v>
      </c>
      <c r="J53" s="121">
        <f t="shared" si="18"/>
        <v>607305.28437583544</v>
      </c>
      <c r="K53" s="121">
        <f t="shared" si="18"/>
        <v>585259.5826754272</v>
      </c>
      <c r="L53" s="121">
        <f t="shared" si="18"/>
        <v>563802.7614567756</v>
      </c>
      <c r="M53" s="121">
        <f t="shared" si="18"/>
        <v>542674.72540880332</v>
      </c>
      <c r="N53" s="121">
        <f t="shared" si="18"/>
        <v>521593.76892752462</v>
      </c>
      <c r="O53" s="121">
        <f t="shared" si="18"/>
        <v>500512.81244624581</v>
      </c>
      <c r="P53" s="121">
        <f t="shared" si="18"/>
        <v>479431.85596496699</v>
      </c>
      <c r="Q53" s="121">
        <f t="shared" si="18"/>
        <v>458350.89948368829</v>
      </c>
      <c r="R53" s="121">
        <f t="shared" si="18"/>
        <v>437269.94300240959</v>
      </c>
      <c r="S53" s="121">
        <f t="shared" si="18"/>
        <v>416188.98652113089</v>
      </c>
      <c r="T53" s="121">
        <f t="shared" si="18"/>
        <v>395108.03003985208</v>
      </c>
      <c r="U53" s="121">
        <f t="shared" si="18"/>
        <v>374027.07355857326</v>
      </c>
      <c r="V53" s="121">
        <f t="shared" si="18"/>
        <v>352946.11707729456</v>
      </c>
      <c r="W53" s="121">
        <f t="shared" si="18"/>
        <v>331865.16059601575</v>
      </c>
      <c r="X53" s="121">
        <f t="shared" si="18"/>
        <v>310784.20411473705</v>
      </c>
      <c r="Y53" s="121">
        <f t="shared" si="18"/>
        <v>291425.12490056054</v>
      </c>
      <c r="Z53" s="121">
        <f t="shared" si="18"/>
        <v>275509.02842441335</v>
      </c>
      <c r="AA53" s="121">
        <f t="shared" si="18"/>
        <v>261314.80921536835</v>
      </c>
      <c r="AB53" s="121">
        <f t="shared" si="18"/>
        <v>247120.59000632336</v>
      </c>
      <c r="AC53" s="121">
        <f t="shared" si="18"/>
        <v>232926.37079727848</v>
      </c>
      <c r="AD53" s="121">
        <f t="shared" si="18"/>
        <v>218732.15158823351</v>
      </c>
      <c r="AE53" s="121">
        <f t="shared" si="18"/>
        <v>204537.9323791886</v>
      </c>
      <c r="AF53" s="121">
        <f t="shared" si="18"/>
        <v>190343.71317014366</v>
      </c>
      <c r="AG53" s="121">
        <f t="shared" si="18"/>
        <v>176149.49396109875</v>
      </c>
      <c r="AH53" s="121">
        <f t="shared" si="18"/>
        <v>161955.27475205384</v>
      </c>
      <c r="AI53" s="121">
        <f t="shared" si="18"/>
        <v>147761.05554300893</v>
      </c>
      <c r="AJ53" s="121">
        <f t="shared" si="18"/>
        <v>133566.83633396399</v>
      </c>
      <c r="AK53" s="121">
        <f t="shared" si="18"/>
        <v>119372.61712491907</v>
      </c>
      <c r="AL53" s="121">
        <f t="shared" si="18"/>
        <v>105178.39791587417</v>
      </c>
      <c r="AM53" s="121">
        <f t="shared" si="18"/>
        <v>90984.178706829262</v>
      </c>
      <c r="AN53" s="121">
        <f t="shared" si="18"/>
        <v>76789.959497784337</v>
      </c>
      <c r="AO53" s="121">
        <f t="shared" si="18"/>
        <v>62595.74028873942</v>
      </c>
      <c r="AP53" s="121">
        <f t="shared" si="18"/>
        <v>48401.52107969451</v>
      </c>
      <c r="AQ53" s="121">
        <f t="shared" si="18"/>
        <v>34207.301870649593</v>
      </c>
      <c r="AR53" s="121">
        <f t="shared" si="18"/>
        <v>20013.082661604672</v>
      </c>
      <c r="AS53" s="121">
        <f t="shared" si="18"/>
        <v>6457.9865203597192</v>
      </c>
      <c r="AT53" s="121">
        <f t="shared" si="18"/>
        <v>12915.973057082216</v>
      </c>
      <c r="AU53" s="126">
        <f t="shared" si="15"/>
        <v>13391595.487399878</v>
      </c>
    </row>
    <row r="54" spans="1:47" x14ac:dyDescent="0.2">
      <c r="A54" s="486">
        <f t="shared" si="12"/>
        <v>24</v>
      </c>
      <c r="B54" s="21" t="s">
        <v>67</v>
      </c>
      <c r="C54" s="21"/>
      <c r="D54" s="523"/>
      <c r="E54" s="57">
        <f>E52-E53</f>
        <v>2757486.6098910645</v>
      </c>
      <c r="F54" s="123">
        <f t="shared" ref="F54:AT54" si="19">F52-F53</f>
        <v>2642333.990532238</v>
      </c>
      <c r="G54" s="123">
        <f t="shared" si="19"/>
        <v>2548590.713864428</v>
      </c>
      <c r="H54" s="123">
        <f t="shared" si="19"/>
        <v>2457872.8046994102</v>
      </c>
      <c r="I54" s="123">
        <f t="shared" si="19"/>
        <v>2369953.7959880317</v>
      </c>
      <c r="J54" s="123">
        <f t="shared" si="19"/>
        <v>2284624.6412233813</v>
      </c>
      <c r="K54" s="123">
        <f t="shared" si="19"/>
        <v>2201690.8110170835</v>
      </c>
      <c r="L54" s="123">
        <f t="shared" si="19"/>
        <v>2120972.2930992986</v>
      </c>
      <c r="M54" s="123">
        <f t="shared" si="19"/>
        <v>2041490.6336807366</v>
      </c>
      <c r="N54" s="123">
        <f t="shared" si="19"/>
        <v>1962186.0831083071</v>
      </c>
      <c r="O54" s="123">
        <f t="shared" si="19"/>
        <v>1882881.5325358771</v>
      </c>
      <c r="P54" s="123">
        <f t="shared" si="19"/>
        <v>1803576.9819634473</v>
      </c>
      <c r="Q54" s="123">
        <f t="shared" si="19"/>
        <v>1724272.431391018</v>
      </c>
      <c r="R54" s="123">
        <f t="shared" si="19"/>
        <v>1644967.8808185887</v>
      </c>
      <c r="S54" s="123">
        <f t="shared" si="19"/>
        <v>1565663.3302461591</v>
      </c>
      <c r="T54" s="123">
        <f t="shared" si="19"/>
        <v>1486358.7796737293</v>
      </c>
      <c r="U54" s="123">
        <f t="shared" si="19"/>
        <v>1407054.2291012993</v>
      </c>
      <c r="V54" s="123">
        <f t="shared" si="19"/>
        <v>1327749.6785288702</v>
      </c>
      <c r="W54" s="123">
        <f t="shared" si="19"/>
        <v>1248445.1279564402</v>
      </c>
      <c r="X54" s="123">
        <f t="shared" si="19"/>
        <v>1169140.5773840109</v>
      </c>
      <c r="Y54" s="123">
        <f t="shared" si="19"/>
        <v>1096313.5651021088</v>
      </c>
      <c r="Z54" s="123">
        <f t="shared" si="19"/>
        <v>1036438.7259775549</v>
      </c>
      <c r="AA54" s="123">
        <f t="shared" si="19"/>
        <v>983041.42514352861</v>
      </c>
      <c r="AB54" s="123">
        <f t="shared" si="19"/>
        <v>929644.12430950231</v>
      </c>
      <c r="AC54" s="123">
        <f t="shared" si="19"/>
        <v>876246.82347547624</v>
      </c>
      <c r="AD54" s="123">
        <f t="shared" si="19"/>
        <v>822849.52264144993</v>
      </c>
      <c r="AE54" s="123">
        <f t="shared" si="19"/>
        <v>769452.22180742386</v>
      </c>
      <c r="AF54" s="123">
        <f t="shared" si="19"/>
        <v>716054.92097339767</v>
      </c>
      <c r="AG54" s="123">
        <f t="shared" si="19"/>
        <v>662657.6201393716</v>
      </c>
      <c r="AH54" s="123">
        <f t="shared" si="19"/>
        <v>609260.31930534542</v>
      </c>
      <c r="AI54" s="123">
        <f t="shared" si="19"/>
        <v>555863.01847131934</v>
      </c>
      <c r="AJ54" s="123">
        <f t="shared" si="19"/>
        <v>502465.71763729316</v>
      </c>
      <c r="AK54" s="123">
        <f t="shared" si="19"/>
        <v>449068.41680326697</v>
      </c>
      <c r="AL54" s="123">
        <f t="shared" si="19"/>
        <v>395671.1159692409</v>
      </c>
      <c r="AM54" s="123">
        <f t="shared" si="19"/>
        <v>342273.81513521483</v>
      </c>
      <c r="AN54" s="123">
        <f t="shared" si="19"/>
        <v>288876.51430118876</v>
      </c>
      <c r="AO54" s="123">
        <f t="shared" si="19"/>
        <v>235479.2134671626</v>
      </c>
      <c r="AP54" s="123">
        <f t="shared" si="19"/>
        <v>182081.9126331365</v>
      </c>
      <c r="AQ54" s="123">
        <f t="shared" si="19"/>
        <v>128684.61179911037</v>
      </c>
      <c r="AR54" s="123">
        <f t="shared" si="19"/>
        <v>75287.310965084253</v>
      </c>
      <c r="AS54" s="123">
        <f t="shared" si="19"/>
        <v>24294.330243257995</v>
      </c>
      <c r="AT54" s="123">
        <f t="shared" si="19"/>
        <v>48588.660548071195</v>
      </c>
      <c r="AU54" s="126">
        <f t="shared" si="15"/>
        <v>50377906.833551936</v>
      </c>
    </row>
    <row r="55" spans="1:47" x14ac:dyDescent="0.2">
      <c r="A55" s="486">
        <f t="shared" si="12"/>
        <v>25</v>
      </c>
      <c r="B55" s="21"/>
      <c r="C55" s="21"/>
      <c r="D55" s="523"/>
      <c r="E55" s="526"/>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525"/>
      <c r="AU55" s="126">
        <f t="shared" si="15"/>
        <v>0</v>
      </c>
    </row>
    <row r="56" spans="1:47" x14ac:dyDescent="0.2">
      <c r="A56" s="486">
        <f t="shared" si="12"/>
        <v>26</v>
      </c>
      <c r="B56" s="21"/>
      <c r="C56" s="21"/>
      <c r="D56" s="523"/>
      <c r="E56" s="108"/>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126">
        <f t="shared" si="15"/>
        <v>0</v>
      </c>
    </row>
    <row r="57" spans="1:47" x14ac:dyDescent="0.2">
      <c r="A57" s="486">
        <f t="shared" si="12"/>
        <v>27</v>
      </c>
      <c r="B57" s="21" t="s">
        <v>68</v>
      </c>
      <c r="C57" s="21"/>
      <c r="D57" s="523"/>
      <c r="E57" s="57">
        <f>E27</f>
        <v>1482270.176383141</v>
      </c>
      <c r="F57" s="123">
        <f>F27</f>
        <v>1482270.176383141</v>
      </c>
      <c r="G57" s="123">
        <f>G27</f>
        <v>1482270.176383141</v>
      </c>
      <c r="H57" s="123">
        <f t="shared" ref="H57:AT57" si="20">H27</f>
        <v>1482270.176383141</v>
      </c>
      <c r="I57" s="123">
        <f t="shared" si="20"/>
        <v>1482270.176383141</v>
      </c>
      <c r="J57" s="123">
        <f t="shared" si="20"/>
        <v>1482270.176383141</v>
      </c>
      <c r="K57" s="123">
        <f t="shared" si="20"/>
        <v>1482270.176383141</v>
      </c>
      <c r="L57" s="123">
        <f t="shared" si="20"/>
        <v>1482270.176383141</v>
      </c>
      <c r="M57" s="123">
        <f t="shared" si="20"/>
        <v>1482270.176383141</v>
      </c>
      <c r="N57" s="123">
        <f t="shared" si="20"/>
        <v>1482270.176383141</v>
      </c>
      <c r="O57" s="123">
        <f t="shared" si="20"/>
        <v>1482270.176383141</v>
      </c>
      <c r="P57" s="123">
        <f t="shared" si="20"/>
        <v>1482270.176383141</v>
      </c>
      <c r="Q57" s="123">
        <f t="shared" si="20"/>
        <v>1482270.176383141</v>
      </c>
      <c r="R57" s="123">
        <f t="shared" si="20"/>
        <v>1482270.176383141</v>
      </c>
      <c r="S57" s="123">
        <f t="shared" si="20"/>
        <v>1482270.176383141</v>
      </c>
      <c r="T57" s="123">
        <f t="shared" si="20"/>
        <v>1482270.176383141</v>
      </c>
      <c r="U57" s="123">
        <f t="shared" si="20"/>
        <v>1482270.176383141</v>
      </c>
      <c r="V57" s="123">
        <f t="shared" si="20"/>
        <v>1482270.176383141</v>
      </c>
      <c r="W57" s="123">
        <f t="shared" si="20"/>
        <v>1482270.176383141</v>
      </c>
      <c r="X57" s="123">
        <f t="shared" si="20"/>
        <v>1482270.176383141</v>
      </c>
      <c r="Y57" s="123">
        <f t="shared" si="20"/>
        <v>1482270.176383141</v>
      </c>
      <c r="Z57" s="123">
        <f t="shared" si="20"/>
        <v>1482270.176383141</v>
      </c>
      <c r="AA57" s="123">
        <f t="shared" si="20"/>
        <v>1482270.176383141</v>
      </c>
      <c r="AB57" s="123">
        <f t="shared" si="20"/>
        <v>1482270.176383141</v>
      </c>
      <c r="AC57" s="123">
        <f t="shared" si="20"/>
        <v>1482270.176383141</v>
      </c>
      <c r="AD57" s="123">
        <f t="shared" si="20"/>
        <v>1482270.176383141</v>
      </c>
      <c r="AE57" s="123">
        <f t="shared" si="20"/>
        <v>1482270.176383141</v>
      </c>
      <c r="AF57" s="123">
        <f t="shared" si="20"/>
        <v>1482270.176383141</v>
      </c>
      <c r="AG57" s="123">
        <f t="shared" si="20"/>
        <v>1482270.176383141</v>
      </c>
      <c r="AH57" s="123">
        <f t="shared" si="20"/>
        <v>1482270.176383141</v>
      </c>
      <c r="AI57" s="123">
        <f t="shared" si="20"/>
        <v>1482270.176383141</v>
      </c>
      <c r="AJ57" s="123">
        <f t="shared" si="20"/>
        <v>1482270.176383141</v>
      </c>
      <c r="AK57" s="123">
        <f t="shared" si="20"/>
        <v>1482270.176383141</v>
      </c>
      <c r="AL57" s="123">
        <f t="shared" si="20"/>
        <v>1482270.176383141</v>
      </c>
      <c r="AM57" s="123">
        <f t="shared" si="20"/>
        <v>1482270.176383141</v>
      </c>
      <c r="AN57" s="123">
        <f t="shared" si="20"/>
        <v>1482270.176383141</v>
      </c>
      <c r="AO57" s="123">
        <f t="shared" si="20"/>
        <v>1482270.176383141</v>
      </c>
      <c r="AP57" s="123">
        <f t="shared" si="20"/>
        <v>1482270.176383141</v>
      </c>
      <c r="AQ57" s="123">
        <f t="shared" si="20"/>
        <v>1482270.176383141</v>
      </c>
      <c r="AR57" s="123">
        <f t="shared" si="20"/>
        <v>1482270.176383141</v>
      </c>
      <c r="AS57" s="123">
        <f t="shared" si="20"/>
        <v>1348785.8263831409</v>
      </c>
      <c r="AT57" s="123">
        <f t="shared" si="20"/>
        <v>0</v>
      </c>
      <c r="AU57" s="126">
        <f t="shared" si="15"/>
        <v>60639592.881708734</v>
      </c>
    </row>
    <row r="58" spans="1:47" x14ac:dyDescent="0.2">
      <c r="A58" s="486">
        <f t="shared" si="12"/>
        <v>28</v>
      </c>
      <c r="B58" s="21" t="s">
        <v>69</v>
      </c>
      <c r="C58" s="21"/>
      <c r="D58" s="523"/>
      <c r="E58" s="57">
        <f>$F22*E62</f>
        <v>2273984.7329999995</v>
      </c>
      <c r="F58" s="123">
        <f t="shared" ref="F58:AT58" si="21">$F22*F62</f>
        <v>4377572.2100072</v>
      </c>
      <c r="G58" s="123">
        <f t="shared" si="21"/>
        <v>4048905.6165975993</v>
      </c>
      <c r="H58" s="123">
        <f t="shared" si="21"/>
        <v>3745707.6521975994</v>
      </c>
      <c r="I58" s="123">
        <f t="shared" si="21"/>
        <v>3464339.9412343996</v>
      </c>
      <c r="J58" s="123">
        <f t="shared" si="21"/>
        <v>3204802.4837079998</v>
      </c>
      <c r="K58" s="123">
        <f t="shared" si="21"/>
        <v>2964063.2999743996</v>
      </c>
      <c r="L58" s="123">
        <f t="shared" si="21"/>
        <v>2742122.3900335999</v>
      </c>
      <c r="M58" s="123">
        <f t="shared" si="21"/>
        <v>2705738.6343055996</v>
      </c>
      <c r="N58" s="123">
        <f t="shared" si="21"/>
        <v>2705132.2383768</v>
      </c>
      <c r="O58" s="123">
        <f t="shared" si="21"/>
        <v>2705738.6343055996</v>
      </c>
      <c r="P58" s="123">
        <f t="shared" si="21"/>
        <v>2705132.2383768</v>
      </c>
      <c r="Q58" s="123">
        <f t="shared" si="21"/>
        <v>2705738.6343055996</v>
      </c>
      <c r="R58" s="123">
        <f t="shared" si="21"/>
        <v>2705132.2383768</v>
      </c>
      <c r="S58" s="123">
        <f t="shared" si="21"/>
        <v>2705738.6343055996</v>
      </c>
      <c r="T58" s="123">
        <f t="shared" si="21"/>
        <v>2705132.2383768</v>
      </c>
      <c r="U58" s="123">
        <f t="shared" si="21"/>
        <v>2705738.6343055996</v>
      </c>
      <c r="V58" s="123">
        <f t="shared" si="21"/>
        <v>2705132.2383768</v>
      </c>
      <c r="W58" s="123">
        <f t="shared" si="21"/>
        <v>2705738.6343055996</v>
      </c>
      <c r="X58" s="123">
        <f t="shared" si="21"/>
        <v>2705132.2383768</v>
      </c>
      <c r="Y58" s="123">
        <f t="shared" si="21"/>
        <v>1352869.3171527998</v>
      </c>
      <c r="Z58" s="123">
        <f t="shared" si="21"/>
        <v>0</v>
      </c>
      <c r="AA58" s="123">
        <f t="shared" si="21"/>
        <v>0</v>
      </c>
      <c r="AB58" s="123">
        <f t="shared" si="21"/>
        <v>0</v>
      </c>
      <c r="AC58" s="123">
        <f t="shared" si="21"/>
        <v>0</v>
      </c>
      <c r="AD58" s="123">
        <f t="shared" si="21"/>
        <v>0</v>
      </c>
      <c r="AE58" s="123">
        <f t="shared" si="21"/>
        <v>0</v>
      </c>
      <c r="AF58" s="123">
        <f t="shared" si="21"/>
        <v>0</v>
      </c>
      <c r="AG58" s="123">
        <f t="shared" si="21"/>
        <v>0</v>
      </c>
      <c r="AH58" s="123">
        <f t="shared" si="21"/>
        <v>0</v>
      </c>
      <c r="AI58" s="123">
        <f t="shared" si="21"/>
        <v>0</v>
      </c>
      <c r="AJ58" s="123">
        <f t="shared" si="21"/>
        <v>0</v>
      </c>
      <c r="AK58" s="123">
        <f t="shared" si="21"/>
        <v>0</v>
      </c>
      <c r="AL58" s="123">
        <f t="shared" si="21"/>
        <v>0</v>
      </c>
      <c r="AM58" s="123">
        <f t="shared" si="21"/>
        <v>0</v>
      </c>
      <c r="AN58" s="123">
        <f t="shared" si="21"/>
        <v>0</v>
      </c>
      <c r="AO58" s="123">
        <f t="shared" si="21"/>
        <v>0</v>
      </c>
      <c r="AP58" s="123">
        <f t="shared" si="21"/>
        <v>0</v>
      </c>
      <c r="AQ58" s="123">
        <f t="shared" si="21"/>
        <v>0</v>
      </c>
      <c r="AR58" s="123">
        <f t="shared" si="21"/>
        <v>0</v>
      </c>
      <c r="AS58" s="123">
        <f t="shared" si="21"/>
        <v>0</v>
      </c>
      <c r="AT58" s="123">
        <f t="shared" si="21"/>
        <v>0</v>
      </c>
      <c r="AU58" s="126">
        <f t="shared" si="15"/>
        <v>60639592.879999965</v>
      </c>
    </row>
    <row r="59" spans="1:47" x14ac:dyDescent="0.2">
      <c r="A59" s="486">
        <f t="shared" si="12"/>
        <v>29</v>
      </c>
      <c r="B59" s="21" t="s">
        <v>70</v>
      </c>
      <c r="C59" s="21"/>
      <c r="D59" s="523"/>
      <c r="E59" s="57">
        <f>E58-E57</f>
        <v>791714.55661685858</v>
      </c>
      <c r="F59" s="123">
        <f>F58-F57</f>
        <v>2895302.0336240591</v>
      </c>
      <c r="G59" s="123">
        <f>G58-G57</f>
        <v>2566635.4402144584</v>
      </c>
      <c r="H59" s="123">
        <f t="shared" ref="H59:AT59" si="22">H58-H57</f>
        <v>2263437.4758144584</v>
      </c>
      <c r="I59" s="123">
        <f t="shared" si="22"/>
        <v>1982069.7648512586</v>
      </c>
      <c r="J59" s="123">
        <f t="shared" si="22"/>
        <v>1722532.3073248588</v>
      </c>
      <c r="K59" s="123">
        <f t="shared" si="22"/>
        <v>1481793.1235912587</v>
      </c>
      <c r="L59" s="123">
        <f t="shared" si="22"/>
        <v>1259852.213650459</v>
      </c>
      <c r="M59" s="123">
        <f t="shared" si="22"/>
        <v>1223468.4579224586</v>
      </c>
      <c r="N59" s="123">
        <f t="shared" si="22"/>
        <v>1222862.061993659</v>
      </c>
      <c r="O59" s="123">
        <f t="shared" si="22"/>
        <v>1223468.4579224586</v>
      </c>
      <c r="P59" s="123">
        <f t="shared" si="22"/>
        <v>1222862.061993659</v>
      </c>
      <c r="Q59" s="123">
        <f t="shared" si="22"/>
        <v>1223468.4579224586</v>
      </c>
      <c r="R59" s="123">
        <f t="shared" si="22"/>
        <v>1222862.061993659</v>
      </c>
      <c r="S59" s="123">
        <f t="shared" si="22"/>
        <v>1223468.4579224586</v>
      </c>
      <c r="T59" s="123">
        <f t="shared" si="22"/>
        <v>1222862.061993659</v>
      </c>
      <c r="U59" s="123">
        <f t="shared" si="22"/>
        <v>1223468.4579224586</v>
      </c>
      <c r="V59" s="123">
        <f t="shared" si="22"/>
        <v>1222862.061993659</v>
      </c>
      <c r="W59" s="123">
        <f t="shared" si="22"/>
        <v>1223468.4579224586</v>
      </c>
      <c r="X59" s="123">
        <f t="shared" si="22"/>
        <v>1222862.061993659</v>
      </c>
      <c r="Y59" s="123">
        <f t="shared" si="22"/>
        <v>-129400.85923034116</v>
      </c>
      <c r="Z59" s="123">
        <f t="shared" si="22"/>
        <v>-1482270.176383141</v>
      </c>
      <c r="AA59" s="123">
        <f t="shared" si="22"/>
        <v>-1482270.176383141</v>
      </c>
      <c r="AB59" s="123">
        <f t="shared" si="22"/>
        <v>-1482270.176383141</v>
      </c>
      <c r="AC59" s="123">
        <f t="shared" si="22"/>
        <v>-1482270.176383141</v>
      </c>
      <c r="AD59" s="123">
        <f t="shared" si="22"/>
        <v>-1482270.176383141</v>
      </c>
      <c r="AE59" s="123">
        <f t="shared" si="22"/>
        <v>-1482270.176383141</v>
      </c>
      <c r="AF59" s="123">
        <f t="shared" si="22"/>
        <v>-1482270.176383141</v>
      </c>
      <c r="AG59" s="123">
        <f t="shared" si="22"/>
        <v>-1482270.176383141</v>
      </c>
      <c r="AH59" s="123">
        <f t="shared" si="22"/>
        <v>-1482270.176383141</v>
      </c>
      <c r="AI59" s="123">
        <f t="shared" si="22"/>
        <v>-1482270.176383141</v>
      </c>
      <c r="AJ59" s="123">
        <f t="shared" si="22"/>
        <v>-1482270.176383141</v>
      </c>
      <c r="AK59" s="123">
        <f t="shared" si="22"/>
        <v>-1482270.176383141</v>
      </c>
      <c r="AL59" s="123">
        <f t="shared" si="22"/>
        <v>-1482270.176383141</v>
      </c>
      <c r="AM59" s="123">
        <f t="shared" si="22"/>
        <v>-1482270.176383141</v>
      </c>
      <c r="AN59" s="123">
        <f t="shared" si="22"/>
        <v>-1482270.176383141</v>
      </c>
      <c r="AO59" s="123">
        <f t="shared" si="22"/>
        <v>-1482270.176383141</v>
      </c>
      <c r="AP59" s="123">
        <f t="shared" si="22"/>
        <v>-1482270.176383141</v>
      </c>
      <c r="AQ59" s="123">
        <f t="shared" si="22"/>
        <v>-1482270.176383141</v>
      </c>
      <c r="AR59" s="123">
        <f t="shared" si="22"/>
        <v>-1482270.176383141</v>
      </c>
      <c r="AS59" s="123">
        <f t="shared" si="22"/>
        <v>-1348785.8263831409</v>
      </c>
      <c r="AT59" s="123">
        <f t="shared" si="22"/>
        <v>0</v>
      </c>
      <c r="AU59" s="126">
        <f t="shared" si="15"/>
        <v>-1.70879065990448E-3</v>
      </c>
    </row>
    <row r="60" spans="1:47" x14ac:dyDescent="0.2">
      <c r="A60" s="486">
        <f t="shared" si="12"/>
        <v>30</v>
      </c>
      <c r="B60" s="21" t="s">
        <v>71</v>
      </c>
      <c r="C60" s="21"/>
      <c r="D60" s="523"/>
      <c r="E60" s="57">
        <f>E59*$F$15</f>
        <v>166260.05688954028</v>
      </c>
      <c r="F60" s="123">
        <f>F59*$G$15</f>
        <v>608013.42706105241</v>
      </c>
      <c r="G60" s="123">
        <f t="shared" ref="G60:AT60" si="23">G59*$G$15</f>
        <v>538993.44244503626</v>
      </c>
      <c r="H60" s="123">
        <f t="shared" si="23"/>
        <v>475321.86992103624</v>
      </c>
      <c r="I60" s="123">
        <f t="shared" si="23"/>
        <v>416234.65061876428</v>
      </c>
      <c r="J60" s="123">
        <f t="shared" si="23"/>
        <v>361731.78453822032</v>
      </c>
      <c r="K60" s="123">
        <f t="shared" si="23"/>
        <v>311176.5559541643</v>
      </c>
      <c r="L60" s="123">
        <f t="shared" si="23"/>
        <v>264568.96486659639</v>
      </c>
      <c r="M60" s="123">
        <f t="shared" si="23"/>
        <v>256928.37616371631</v>
      </c>
      <c r="N60" s="123">
        <f t="shared" si="23"/>
        <v>256801.03301866839</v>
      </c>
      <c r="O60" s="123">
        <f t="shared" si="23"/>
        <v>256928.37616371631</v>
      </c>
      <c r="P60" s="123">
        <f t="shared" si="23"/>
        <v>256801.03301866839</v>
      </c>
      <c r="Q60" s="123">
        <f t="shared" si="23"/>
        <v>256928.37616371631</v>
      </c>
      <c r="R60" s="123">
        <f t="shared" si="23"/>
        <v>256801.03301866839</v>
      </c>
      <c r="S60" s="123">
        <f t="shared" si="23"/>
        <v>256928.37616371631</v>
      </c>
      <c r="T60" s="123">
        <f t="shared" si="23"/>
        <v>256801.03301866839</v>
      </c>
      <c r="U60" s="123">
        <f t="shared" si="23"/>
        <v>256928.37616371631</v>
      </c>
      <c r="V60" s="123">
        <f t="shared" si="23"/>
        <v>256801.03301866839</v>
      </c>
      <c r="W60" s="123">
        <f t="shared" si="23"/>
        <v>256928.37616371631</v>
      </c>
      <c r="X60" s="123">
        <f t="shared" si="23"/>
        <v>256801.03301866839</v>
      </c>
      <c r="Y60" s="123">
        <f t="shared" si="23"/>
        <v>-27174.180438371641</v>
      </c>
      <c r="Z60" s="123">
        <f t="shared" si="23"/>
        <v>-311276.73704045959</v>
      </c>
      <c r="AA60" s="123">
        <f t="shared" si="23"/>
        <v>-311276.73704045959</v>
      </c>
      <c r="AB60" s="123">
        <f t="shared" si="23"/>
        <v>-311276.73704045959</v>
      </c>
      <c r="AC60" s="123">
        <f t="shared" si="23"/>
        <v>-311276.73704045959</v>
      </c>
      <c r="AD60" s="123">
        <f t="shared" si="23"/>
        <v>-311276.73704045959</v>
      </c>
      <c r="AE60" s="123">
        <f t="shared" si="23"/>
        <v>-311276.73704045959</v>
      </c>
      <c r="AF60" s="123">
        <f t="shared" si="23"/>
        <v>-311276.73704045959</v>
      </c>
      <c r="AG60" s="123">
        <f t="shared" si="23"/>
        <v>-311276.73704045959</v>
      </c>
      <c r="AH60" s="123">
        <f t="shared" si="23"/>
        <v>-311276.73704045959</v>
      </c>
      <c r="AI60" s="123">
        <f t="shared" si="23"/>
        <v>-311276.73704045959</v>
      </c>
      <c r="AJ60" s="123">
        <f t="shared" si="23"/>
        <v>-311276.73704045959</v>
      </c>
      <c r="AK60" s="123">
        <f t="shared" si="23"/>
        <v>-311276.73704045959</v>
      </c>
      <c r="AL60" s="123">
        <f t="shared" si="23"/>
        <v>-311276.73704045959</v>
      </c>
      <c r="AM60" s="123">
        <f t="shared" si="23"/>
        <v>-311276.73704045959</v>
      </c>
      <c r="AN60" s="123">
        <f t="shared" si="23"/>
        <v>-311276.73704045959</v>
      </c>
      <c r="AO60" s="123">
        <f t="shared" si="23"/>
        <v>-311276.73704045959</v>
      </c>
      <c r="AP60" s="123">
        <f t="shared" si="23"/>
        <v>-311276.73704045959</v>
      </c>
      <c r="AQ60" s="123">
        <f t="shared" si="23"/>
        <v>-311276.73704045959</v>
      </c>
      <c r="AR60" s="123">
        <f t="shared" si="23"/>
        <v>-311276.73704045959</v>
      </c>
      <c r="AS60" s="123">
        <f t="shared" si="23"/>
        <v>-283245.02354045957</v>
      </c>
      <c r="AT60" s="123">
        <f t="shared" si="23"/>
        <v>0</v>
      </c>
      <c r="AU60" s="126">
        <f t="shared" si="15"/>
        <v>-3.5884365206584334E-4</v>
      </c>
    </row>
    <row r="61" spans="1:47" x14ac:dyDescent="0.2">
      <c r="A61" s="486">
        <f t="shared" si="12"/>
        <v>31</v>
      </c>
      <c r="B61" s="21"/>
      <c r="C61" s="21"/>
      <c r="D61" s="523"/>
      <c r="E61" s="108"/>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523"/>
    </row>
    <row r="62" spans="1:47" s="69" customFormat="1" x14ac:dyDescent="0.2">
      <c r="A62" s="486">
        <f t="shared" si="12"/>
        <v>32</v>
      </c>
      <c r="B62" s="21" t="str">
        <f t="shared" ref="B62" si="24">IF($F$18=1,B66,B65)</f>
        <v>MACRS Depreciation - 20</v>
      </c>
      <c r="C62" s="21"/>
      <c r="D62" s="66"/>
      <c r="E62" s="81">
        <f t="shared" ref="E62" si="25">IF($F$18=1,E66,E65)</f>
        <v>3.7499999999999999E-2</v>
      </c>
      <c r="F62" s="77">
        <f>IF($F$18=1,F66,F65)</f>
        <v>7.2190000000000004E-2</v>
      </c>
      <c r="G62" s="77">
        <f t="shared" ref="G62:Y62" si="26">IF($F$18=1,G66,G65)</f>
        <v>6.6769999999999996E-2</v>
      </c>
      <c r="H62" s="77">
        <f t="shared" si="26"/>
        <v>6.1769999999999999E-2</v>
      </c>
      <c r="I62" s="77">
        <f t="shared" si="26"/>
        <v>5.713E-2</v>
      </c>
      <c r="J62" s="77">
        <f t="shared" si="26"/>
        <v>5.2850000000000001E-2</v>
      </c>
      <c r="K62" s="77">
        <f t="shared" si="26"/>
        <v>4.888E-2</v>
      </c>
      <c r="L62" s="77">
        <f t="shared" si="26"/>
        <v>4.5220000000000003E-2</v>
      </c>
      <c r="M62" s="77">
        <f t="shared" si="26"/>
        <v>4.462E-2</v>
      </c>
      <c r="N62" s="77">
        <f t="shared" si="26"/>
        <v>4.4610000000000004E-2</v>
      </c>
      <c r="O62" s="77">
        <f t="shared" si="26"/>
        <v>4.462E-2</v>
      </c>
      <c r="P62" s="77">
        <f t="shared" si="26"/>
        <v>4.4610000000000004E-2</v>
      </c>
      <c r="Q62" s="77">
        <f t="shared" si="26"/>
        <v>4.462E-2</v>
      </c>
      <c r="R62" s="77">
        <f t="shared" si="26"/>
        <v>4.4610000000000004E-2</v>
      </c>
      <c r="S62" s="77">
        <f t="shared" si="26"/>
        <v>4.462E-2</v>
      </c>
      <c r="T62" s="77">
        <f t="shared" si="26"/>
        <v>4.4610000000000004E-2</v>
      </c>
      <c r="U62" s="77">
        <f t="shared" si="26"/>
        <v>4.462E-2</v>
      </c>
      <c r="V62" s="77">
        <f t="shared" si="26"/>
        <v>4.4610000000000004E-2</v>
      </c>
      <c r="W62" s="77">
        <f t="shared" si="26"/>
        <v>4.462E-2</v>
      </c>
      <c r="X62" s="77">
        <f t="shared" si="26"/>
        <v>4.4610000000000004E-2</v>
      </c>
      <c r="Y62" s="77">
        <f t="shared" si="26"/>
        <v>2.231E-2</v>
      </c>
      <c r="Z62" s="67"/>
      <c r="AA62" s="67"/>
      <c r="AB62" s="67"/>
      <c r="AC62" s="67"/>
      <c r="AD62" s="67"/>
      <c r="AE62" s="67"/>
      <c r="AF62" s="67"/>
      <c r="AG62" s="67"/>
      <c r="AH62" s="67"/>
      <c r="AI62" s="67"/>
      <c r="AJ62" s="67"/>
      <c r="AK62" s="67"/>
      <c r="AL62" s="67"/>
      <c r="AM62" s="67"/>
      <c r="AN62" s="67"/>
      <c r="AO62" s="67"/>
      <c r="AP62" s="66"/>
    </row>
    <row r="63" spans="1:47" outlineLevel="1" x14ac:dyDescent="0.25">
      <c r="A63" s="486">
        <f t="shared" si="12"/>
        <v>33</v>
      </c>
      <c r="B63" s="21"/>
      <c r="C63" s="527"/>
      <c r="E63" s="528"/>
      <c r="F63" s="529"/>
      <c r="G63" s="529"/>
      <c r="H63" s="529"/>
      <c r="I63" s="529"/>
      <c r="J63" s="529"/>
      <c r="K63" s="529"/>
      <c r="L63" s="529"/>
      <c r="M63" s="530"/>
      <c r="N63" s="530"/>
      <c r="O63" s="530"/>
      <c r="P63" s="530"/>
      <c r="Q63" s="530"/>
      <c r="R63" s="530"/>
      <c r="S63" s="530"/>
      <c r="T63" s="530"/>
      <c r="U63" s="530"/>
      <c r="V63" s="530"/>
      <c r="W63" s="530"/>
      <c r="X63" s="530"/>
      <c r="Y63" s="530"/>
      <c r="Z63" s="523"/>
      <c r="AA63" s="523"/>
      <c r="AB63" s="523"/>
      <c r="AC63" s="523"/>
      <c r="AD63" s="523"/>
      <c r="AE63" s="523"/>
      <c r="AF63" s="523"/>
      <c r="AG63" s="523"/>
      <c r="AH63" s="523"/>
      <c r="AI63" s="523"/>
      <c r="AJ63" s="523"/>
      <c r="AK63" s="523"/>
      <c r="AL63" s="523"/>
      <c r="AM63" s="523"/>
      <c r="AN63" s="523"/>
      <c r="AO63" s="22"/>
    </row>
    <row r="64" spans="1:47" outlineLevel="1" x14ac:dyDescent="0.25">
      <c r="A64" s="486">
        <f t="shared" si="12"/>
        <v>34</v>
      </c>
      <c r="B64" s="21"/>
      <c r="C64" s="527"/>
      <c r="E64" s="528"/>
      <c r="F64" s="529"/>
      <c r="G64" s="529"/>
      <c r="H64" s="529"/>
      <c r="I64" s="529"/>
      <c r="J64" s="529"/>
      <c r="K64" s="529"/>
      <c r="L64" s="529"/>
      <c r="M64" s="530"/>
      <c r="N64" s="530"/>
      <c r="O64" s="530"/>
      <c r="P64" s="530"/>
      <c r="Q64" s="530"/>
      <c r="R64" s="530"/>
      <c r="S64" s="530"/>
      <c r="T64" s="530"/>
      <c r="U64" s="530"/>
      <c r="V64" s="530"/>
      <c r="W64" s="530"/>
      <c r="X64" s="530"/>
      <c r="Y64" s="530"/>
      <c r="Z64" s="523"/>
      <c r="AA64" s="523"/>
      <c r="AB64" s="523"/>
      <c r="AC64" s="523"/>
      <c r="AD64" s="523"/>
      <c r="AE64" s="523"/>
      <c r="AF64" s="523"/>
      <c r="AG64" s="523"/>
      <c r="AH64" s="523"/>
      <c r="AI64" s="523"/>
      <c r="AJ64" s="523"/>
      <c r="AK64" s="523"/>
      <c r="AL64" s="523"/>
      <c r="AM64" s="523"/>
      <c r="AN64" s="523"/>
      <c r="AO64" s="22"/>
    </row>
    <row r="65" spans="1:42" s="69" customFormat="1" x14ac:dyDescent="0.25">
      <c r="A65" s="486">
        <f t="shared" si="12"/>
        <v>35</v>
      </c>
      <c r="B65" s="21" t="s">
        <v>72</v>
      </c>
      <c r="C65" s="21"/>
      <c r="D65" s="70">
        <v>0</v>
      </c>
      <c r="E65" s="78">
        <f>'MACRS 20'!B5</f>
        <v>3.7499999999999999E-2</v>
      </c>
      <c r="F65" s="77">
        <f>'MACRS 20'!C5</f>
        <v>7.2190000000000004E-2</v>
      </c>
      <c r="G65" s="77">
        <f>'MACRS 20'!D5</f>
        <v>6.6769999999999996E-2</v>
      </c>
      <c r="H65" s="79">
        <f>'MACRS 20'!E5</f>
        <v>6.1769999999999999E-2</v>
      </c>
      <c r="I65" s="79">
        <f>'MACRS 20'!F5</f>
        <v>5.713E-2</v>
      </c>
      <c r="J65" s="79">
        <f>'MACRS 20'!G5</f>
        <v>5.2850000000000001E-2</v>
      </c>
      <c r="K65" s="79">
        <f>'MACRS 20'!H5</f>
        <v>4.888E-2</v>
      </c>
      <c r="L65" s="79">
        <f>'MACRS 20'!I5</f>
        <v>4.5220000000000003E-2</v>
      </c>
      <c r="M65" s="79">
        <f>'MACRS 20'!J5</f>
        <v>4.462E-2</v>
      </c>
      <c r="N65" s="79">
        <f>'MACRS 20'!K5</f>
        <v>4.4610000000000004E-2</v>
      </c>
      <c r="O65" s="79">
        <f>'MACRS 20'!L5</f>
        <v>4.462E-2</v>
      </c>
      <c r="P65" s="79">
        <f>'MACRS 20'!M5</f>
        <v>4.4610000000000004E-2</v>
      </c>
      <c r="Q65" s="79">
        <f>'MACRS 20'!N5</f>
        <v>4.462E-2</v>
      </c>
      <c r="R65" s="79">
        <f>'MACRS 20'!O5</f>
        <v>4.4610000000000004E-2</v>
      </c>
      <c r="S65" s="79">
        <f>'MACRS 20'!P5</f>
        <v>4.462E-2</v>
      </c>
      <c r="T65" s="79">
        <f>'MACRS 20'!Q5</f>
        <v>4.4610000000000004E-2</v>
      </c>
      <c r="U65" s="79">
        <f>'MACRS 20'!R5</f>
        <v>4.462E-2</v>
      </c>
      <c r="V65" s="79">
        <f>'MACRS 20'!S5</f>
        <v>4.4610000000000004E-2</v>
      </c>
      <c r="W65" s="79">
        <f>'MACRS 20'!T5</f>
        <v>4.462E-2</v>
      </c>
      <c r="X65" s="79">
        <f>'MACRS 20'!U5</f>
        <v>4.4610000000000004E-2</v>
      </c>
      <c r="Y65" s="79">
        <f>'MACRS 20'!V5</f>
        <v>2.231E-2</v>
      </c>
      <c r="Z65" s="71"/>
      <c r="AA65" s="67"/>
      <c r="AB65" s="67"/>
      <c r="AC65" s="67"/>
      <c r="AD65" s="67"/>
      <c r="AE65" s="67"/>
      <c r="AF65" s="67"/>
      <c r="AG65" s="67"/>
      <c r="AH65" s="67"/>
      <c r="AI65" s="67"/>
      <c r="AJ65" s="67"/>
      <c r="AK65" s="67"/>
      <c r="AL65" s="67"/>
      <c r="AM65" s="67"/>
      <c r="AN65" s="66"/>
      <c r="AP65" s="72"/>
    </row>
    <row r="66" spans="1:42" x14ac:dyDescent="0.2">
      <c r="A66" s="486">
        <f t="shared" si="12"/>
        <v>36</v>
      </c>
      <c r="B66" s="21" t="s">
        <v>73</v>
      </c>
      <c r="C66" s="21"/>
      <c r="D66" s="70">
        <v>0</v>
      </c>
      <c r="E66" s="78">
        <f>'MACRS 20'!B6</f>
        <v>0.51875000000000004</v>
      </c>
      <c r="F66" s="77">
        <f>'MACRS 20'!C6</f>
        <v>3.6095000000000002E-2</v>
      </c>
      <c r="G66" s="77">
        <f>'MACRS 20'!D6</f>
        <v>3.3384999999999998E-2</v>
      </c>
      <c r="H66" s="80">
        <f>'MACRS 20'!E6</f>
        <v>3.0884999999999999E-2</v>
      </c>
      <c r="I66" s="80">
        <f>'MACRS 20'!F6</f>
        <v>2.8565E-2</v>
      </c>
      <c r="J66" s="80">
        <f>'MACRS 20'!G6</f>
        <v>2.6425000000000001E-2</v>
      </c>
      <c r="K66" s="80">
        <f>'MACRS 20'!H6</f>
        <v>2.444E-2</v>
      </c>
      <c r="L66" s="80">
        <f>'MACRS 20'!I6</f>
        <v>2.2610000000000002E-2</v>
      </c>
      <c r="M66" s="80">
        <f>'MACRS 20'!J6</f>
        <v>2.231E-2</v>
      </c>
      <c r="N66" s="80">
        <f>'MACRS 20'!K6</f>
        <v>2.2305000000000002E-2</v>
      </c>
      <c r="O66" s="80">
        <f>'MACRS 20'!L6</f>
        <v>2.231E-2</v>
      </c>
      <c r="P66" s="80">
        <f>'MACRS 20'!M6</f>
        <v>2.2305000000000002E-2</v>
      </c>
      <c r="Q66" s="80">
        <f>'MACRS 20'!N6</f>
        <v>2.231E-2</v>
      </c>
      <c r="R66" s="80">
        <f>'MACRS 20'!O6</f>
        <v>2.2305000000000002E-2</v>
      </c>
      <c r="S66" s="80">
        <f>'MACRS 20'!P6</f>
        <v>2.231E-2</v>
      </c>
      <c r="T66" s="80">
        <f>'MACRS 20'!Q6</f>
        <v>2.2305000000000002E-2</v>
      </c>
      <c r="U66" s="80">
        <f>'MACRS 20'!R6</f>
        <v>2.231E-2</v>
      </c>
      <c r="V66" s="80">
        <f>'MACRS 20'!S6</f>
        <v>2.2305000000000002E-2</v>
      </c>
      <c r="W66" s="80">
        <f>'MACRS 20'!T6</f>
        <v>2.231E-2</v>
      </c>
      <c r="X66" s="80">
        <f>'MACRS 20'!U6</f>
        <v>2.2305000000000002E-2</v>
      </c>
      <c r="Y66" s="80">
        <f>'MACRS 20'!V6</f>
        <v>1.1155E-2</v>
      </c>
      <c r="Z66" s="68"/>
      <c r="AA66" s="68"/>
      <c r="AB66" s="73"/>
      <c r="AC66" s="73"/>
      <c r="AD66" s="73"/>
      <c r="AE66" s="73"/>
      <c r="AF66" s="73"/>
      <c r="AG66" s="73"/>
      <c r="AH66" s="73"/>
      <c r="AI66" s="73"/>
      <c r="AJ66" s="73"/>
      <c r="AK66" s="73"/>
      <c r="AL66" s="73"/>
      <c r="AM66" s="73"/>
      <c r="AN66" s="523"/>
      <c r="AO66" s="22"/>
      <c r="AP66" s="72">
        <f>SUM(D66:AO66)</f>
        <v>1.0000000000000004</v>
      </c>
    </row>
    <row r="69" spans="1:42" x14ac:dyDescent="0.25">
      <c r="B69" s="74"/>
    </row>
  </sheetData>
  <mergeCells count="1">
    <mergeCell ref="E1:F1"/>
  </mergeCells>
  <printOptions horizontalCentered="1"/>
  <pageMargins left="0.25" right="0.25" top="0.75" bottom="0.75" header="0.3" footer="0.3"/>
  <pageSetup scale="43" fitToWidth="2" orientation="landscape" blackAndWhite="1" r:id="rId1"/>
  <headerFooter alignWithMargins="0">
    <oddFooter>&amp;L&amp;A
&amp;F&amp;RPage &amp;P of &amp;N</oddFooter>
  </headerFooter>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topLeftCell="C2" zoomScaleNormal="100" workbookViewId="0">
      <selection activeCell="S42" sqref="S42"/>
    </sheetView>
  </sheetViews>
  <sheetFormatPr defaultColWidth="9.28515625" defaultRowHeight="15" outlineLevelRow="1" x14ac:dyDescent="0.25"/>
  <cols>
    <col min="1" max="1" width="17" style="527" customWidth="1"/>
    <col min="2" max="2" width="46" style="527" bestFit="1" customWidth="1"/>
    <col min="3" max="3" width="14.5703125" style="527" bestFit="1" customWidth="1"/>
    <col min="4" max="4" width="15.7109375" style="527" bestFit="1" customWidth="1"/>
    <col min="5" max="5" width="16" style="527" bestFit="1" customWidth="1"/>
    <col min="6" max="6" width="35.7109375" style="527" customWidth="1"/>
    <col min="7" max="7" width="28.5703125" style="688" bestFit="1" customWidth="1"/>
    <col min="8" max="8" width="11" style="688" customWidth="1"/>
    <col min="9" max="16384" width="9.28515625" style="688"/>
  </cols>
  <sheetData>
    <row r="1" spans="1:8" x14ac:dyDescent="0.25">
      <c r="A1" s="217"/>
      <c r="B1" s="217"/>
      <c r="C1" s="217"/>
      <c r="D1" s="217"/>
      <c r="E1" s="217"/>
      <c r="F1" s="217"/>
      <c r="G1"/>
      <c r="H1"/>
    </row>
    <row r="2" spans="1:8" x14ac:dyDescent="0.25">
      <c r="B2" s="151" t="s">
        <v>78</v>
      </c>
      <c r="C2" s="699"/>
      <c r="D2" s="699"/>
      <c r="E2" s="699"/>
    </row>
    <row r="4" spans="1:8" ht="15.75" thickBot="1" x14ac:dyDescent="0.3"/>
    <row r="5" spans="1:8" ht="15.75" thickBot="1" x14ac:dyDescent="0.3">
      <c r="A5" s="700"/>
      <c r="B5" s="144">
        <v>43739</v>
      </c>
      <c r="C5" s="701"/>
      <c r="D5" s="701"/>
      <c r="E5" s="702"/>
      <c r="F5" s="703"/>
      <c r="G5" s="704"/>
    </row>
    <row r="6" spans="1:8" ht="82.9" customHeight="1" x14ac:dyDescent="0.25">
      <c r="A6" s="145" t="s">
        <v>79</v>
      </c>
      <c r="B6" s="145" t="s">
        <v>80</v>
      </c>
      <c r="C6" s="146" t="s">
        <v>200</v>
      </c>
      <c r="D6" s="146" t="s">
        <v>226</v>
      </c>
      <c r="E6" s="146" t="s">
        <v>292</v>
      </c>
      <c r="F6" s="703"/>
      <c r="G6" s="704"/>
    </row>
    <row r="7" spans="1:8" ht="15.75" x14ac:dyDescent="0.25">
      <c r="A7" s="527" t="s">
        <v>95</v>
      </c>
      <c r="B7" s="148" t="s">
        <v>96</v>
      </c>
      <c r="C7" s="139">
        <v>49985039.879999995</v>
      </c>
      <c r="D7" s="139">
        <v>10065397.379999999</v>
      </c>
      <c r="E7" s="149">
        <f>SUM(C7:D7)</f>
        <v>60050437.25999999</v>
      </c>
      <c r="F7" s="703"/>
      <c r="G7" s="704"/>
    </row>
    <row r="8" spans="1:8" ht="15.75" x14ac:dyDescent="0.25">
      <c r="A8" s="527" t="s">
        <v>97</v>
      </c>
      <c r="B8" s="148" t="s">
        <v>98</v>
      </c>
      <c r="C8" s="139">
        <v>479737.33</v>
      </c>
      <c r="D8" s="139">
        <v>1588.01</v>
      </c>
      <c r="E8" s="149">
        <f>SUM(C8:D8)</f>
        <v>481325.34</v>
      </c>
      <c r="F8" s="703"/>
      <c r="G8" s="704"/>
    </row>
    <row r="9" spans="1:8" ht="15.75" x14ac:dyDescent="0.25">
      <c r="A9" s="527" t="s">
        <v>99</v>
      </c>
      <c r="B9" s="148" t="s">
        <v>100</v>
      </c>
      <c r="C9" s="139">
        <v>105950.33000000002</v>
      </c>
      <c r="D9" s="139">
        <v>1879.9500000000003</v>
      </c>
      <c r="E9" s="149">
        <f>SUM(C9:D9)</f>
        <v>107830.28000000001</v>
      </c>
      <c r="F9" s="703"/>
      <c r="G9" s="704"/>
    </row>
    <row r="10" spans="1:8" x14ac:dyDescent="0.25">
      <c r="A10" s="260" t="s">
        <v>82</v>
      </c>
      <c r="B10" s="260"/>
      <c r="C10" s="149">
        <f>SUM(C7:C9)</f>
        <v>50570727.539999992</v>
      </c>
      <c r="D10" s="149">
        <f t="shared" ref="D10:E10" si="0">SUM(D7:D9)</f>
        <v>10068865.339999998</v>
      </c>
      <c r="E10" s="149">
        <f t="shared" si="0"/>
        <v>60639592.879999995</v>
      </c>
      <c r="F10" s="703"/>
      <c r="G10" s="704"/>
    </row>
    <row r="11" spans="1:8" x14ac:dyDescent="0.25">
      <c r="F11" s="703"/>
      <c r="G11" s="704"/>
    </row>
    <row r="12" spans="1:8" x14ac:dyDescent="0.25">
      <c r="B12" s="681" t="s">
        <v>83</v>
      </c>
      <c r="C12" s="681"/>
      <c r="D12" s="681"/>
      <c r="E12" s="705">
        <f>+E7+E8</f>
        <v>60531762.599999994</v>
      </c>
      <c r="F12" s="703"/>
      <c r="G12" s="704"/>
    </row>
    <row r="13" spans="1:8" x14ac:dyDescent="0.25">
      <c r="B13" s="681" t="s">
        <v>84</v>
      </c>
      <c r="C13" s="681"/>
      <c r="D13" s="681"/>
      <c r="E13" s="705">
        <f>+E9</f>
        <v>107830.28000000001</v>
      </c>
      <c r="F13" s="703"/>
      <c r="G13" s="704"/>
    </row>
    <row r="14" spans="1:8" x14ac:dyDescent="0.25">
      <c r="E14" s="697">
        <f>+E12/E10</f>
        <v>0.99822178423569918</v>
      </c>
      <c r="F14" s="703"/>
      <c r="G14" s="704"/>
    </row>
    <row r="15" spans="1:8" x14ac:dyDescent="0.25">
      <c r="E15" s="697">
        <f>+E13/E10</f>
        <v>1.7782157643008243E-3</v>
      </c>
      <c r="F15" s="703"/>
      <c r="G15" s="704"/>
    </row>
    <row r="16" spans="1:8" x14ac:dyDescent="0.25">
      <c r="E16" s="697"/>
      <c r="F16" s="703"/>
      <c r="G16" s="704"/>
    </row>
    <row r="17" spans="1:8" x14ac:dyDescent="0.25">
      <c r="A17" s="150"/>
      <c r="B17" s="151" t="s">
        <v>85</v>
      </c>
      <c r="C17" s="151"/>
      <c r="D17" s="151"/>
      <c r="E17" s="151"/>
      <c r="F17" s="703"/>
      <c r="G17" s="704"/>
    </row>
    <row r="18" spans="1:8" x14ac:dyDescent="0.25">
      <c r="A18" s="706" t="s">
        <v>86</v>
      </c>
      <c r="B18" s="152" t="s">
        <v>187</v>
      </c>
      <c r="C18" s="153" t="s">
        <v>188</v>
      </c>
      <c r="D18" s="153" t="s">
        <v>189</v>
      </c>
      <c r="E18" s="153" t="s">
        <v>90</v>
      </c>
      <c r="F18" s="703"/>
      <c r="G18" s="704"/>
    </row>
    <row r="19" spans="1:8" x14ac:dyDescent="0.25">
      <c r="A19" s="260" t="s">
        <v>91</v>
      </c>
      <c r="B19" s="140">
        <f>D30</f>
        <v>2.443056207967733E-2</v>
      </c>
      <c r="C19" s="154">
        <f>E12*B19</f>
        <v>1478824.9839915903</v>
      </c>
      <c r="D19" s="154"/>
      <c r="E19" s="154">
        <f>SUM(C19:D19)</f>
        <v>1478824.9839915903</v>
      </c>
      <c r="F19" s="703"/>
      <c r="G19" s="704"/>
    </row>
    <row r="20" spans="1:8" x14ac:dyDescent="0.25">
      <c r="A20" s="681" t="s">
        <v>84</v>
      </c>
      <c r="B20" s="140">
        <f>D31</f>
        <v>3.1950138602539598E-2</v>
      </c>
      <c r="C20" s="154"/>
      <c r="D20" s="154">
        <f>E13*B20</f>
        <v>3445.1923915506541</v>
      </c>
      <c r="E20" s="154">
        <f>SUM(C20:D20)</f>
        <v>3445.1923915506541</v>
      </c>
      <c r="F20" s="703"/>
      <c r="G20" s="704"/>
    </row>
    <row r="21" spans="1:8" x14ac:dyDescent="0.25">
      <c r="A21" s="260" t="s">
        <v>92</v>
      </c>
      <c r="B21" s="155"/>
      <c r="C21" s="154">
        <f>SUM(C19:C20)</f>
        <v>1478824.9839915903</v>
      </c>
      <c r="D21" s="154">
        <f>SUM(D19:D20)</f>
        <v>3445.1923915506541</v>
      </c>
      <c r="E21" s="154">
        <f>SUM(C21:D21)</f>
        <v>1482270.176383141</v>
      </c>
      <c r="F21" s="703"/>
      <c r="G21" s="704"/>
    </row>
    <row r="22" spans="1:8" x14ac:dyDescent="0.25">
      <c r="A22" s="155"/>
      <c r="B22" s="156" t="s">
        <v>93</v>
      </c>
      <c r="C22" s="155"/>
      <c r="D22" s="155"/>
      <c r="E22" s="140">
        <f>+E21/E10</f>
        <v>2.4443933509191149E-2</v>
      </c>
      <c r="F22" s="707" t="s">
        <v>197</v>
      </c>
      <c r="G22" s="704"/>
    </row>
    <row r="23" spans="1:8" x14ac:dyDescent="0.25">
      <c r="E23" s="697">
        <f>E19/E21</f>
        <v>0.99767573250380226</v>
      </c>
      <c r="F23" s="708" t="s">
        <v>198</v>
      </c>
      <c r="G23" s="704"/>
      <c r="H23" s="704"/>
    </row>
    <row r="24" spans="1:8" x14ac:dyDescent="0.25">
      <c r="E24" s="697">
        <f>E20/E21</f>
        <v>2.3242674961977592E-3</v>
      </c>
      <c r="F24" s="703"/>
      <c r="G24" s="704"/>
      <c r="H24" s="704"/>
    </row>
    <row r="25" spans="1:8" ht="15.75" thickBot="1" x14ac:dyDescent="0.3">
      <c r="F25" s="703"/>
      <c r="G25" s="704"/>
      <c r="H25" s="704"/>
    </row>
    <row r="26" spans="1:8" x14ac:dyDescent="0.25">
      <c r="A26" s="218" t="s">
        <v>179</v>
      </c>
      <c r="B26" s="219"/>
      <c r="C26" s="219"/>
      <c r="D26" s="220"/>
      <c r="E26" s="697"/>
    </row>
    <row r="27" spans="1:8" ht="24.75" x14ac:dyDescent="0.25">
      <c r="A27" s="221" t="s">
        <v>180</v>
      </c>
      <c r="B27" s="222" t="s">
        <v>110</v>
      </c>
      <c r="C27" s="223" t="s">
        <v>181</v>
      </c>
      <c r="D27" s="224" t="s">
        <v>182</v>
      </c>
      <c r="E27" s="709"/>
      <c r="F27" s="703"/>
    </row>
    <row r="28" spans="1:8" x14ac:dyDescent="0.25">
      <c r="A28" s="221" t="s">
        <v>183</v>
      </c>
      <c r="B28" s="222"/>
      <c r="C28" s="225" t="s">
        <v>111</v>
      </c>
      <c r="D28" s="226" t="s">
        <v>111</v>
      </c>
      <c r="E28" s="703"/>
      <c r="F28" s="710"/>
    </row>
    <row r="29" spans="1:8" x14ac:dyDescent="0.25">
      <c r="A29" s="227"/>
      <c r="B29" s="228"/>
      <c r="C29" s="225" t="s">
        <v>184</v>
      </c>
      <c r="D29" s="229"/>
    </row>
    <row r="30" spans="1:8" x14ac:dyDescent="0.25">
      <c r="A30" s="230">
        <v>376.2</v>
      </c>
      <c r="B30" s="228" t="s">
        <v>185</v>
      </c>
      <c r="C30" s="231">
        <v>2.7700000000000002E-2</v>
      </c>
      <c r="D30" s="232">
        <v>2.443056207967733E-2</v>
      </c>
    </row>
    <row r="31" spans="1:8" ht="15.75" thickBot="1" x14ac:dyDescent="0.3">
      <c r="A31" s="233">
        <v>380.2</v>
      </c>
      <c r="B31" s="234" t="s">
        <v>186</v>
      </c>
      <c r="C31" s="235">
        <v>4.58E-2</v>
      </c>
      <c r="D31" s="236">
        <v>3.1950138602539598E-2</v>
      </c>
    </row>
    <row r="33" spans="1:8" x14ac:dyDescent="0.25">
      <c r="A33" s="150"/>
      <c r="B33" s="151" t="s">
        <v>85</v>
      </c>
      <c r="C33" s="151"/>
      <c r="D33" s="151"/>
      <c r="E33" s="697"/>
    </row>
    <row r="34" spans="1:8" x14ac:dyDescent="0.25">
      <c r="A34" s="706" t="s">
        <v>86</v>
      </c>
      <c r="B34" s="152" t="s">
        <v>87</v>
      </c>
      <c r="C34" s="153" t="s">
        <v>88</v>
      </c>
      <c r="D34" s="153" t="s">
        <v>89</v>
      </c>
      <c r="E34" s="153" t="s">
        <v>90</v>
      </c>
    </row>
    <row r="35" spans="1:8" x14ac:dyDescent="0.25">
      <c r="A35" s="260" t="s">
        <v>91</v>
      </c>
      <c r="B35" s="140">
        <f>D30</f>
        <v>2.443056207967733E-2</v>
      </c>
      <c r="C35" s="154">
        <f>E80*B35</f>
        <v>1026649.0141054934</v>
      </c>
      <c r="D35" s="154"/>
      <c r="E35" s="154">
        <f>SUM(C35:D35)</f>
        <v>1026649.0141054934</v>
      </c>
    </row>
    <row r="36" spans="1:8" x14ac:dyDescent="0.25">
      <c r="A36" s="260" t="s">
        <v>84</v>
      </c>
      <c r="B36" s="140">
        <f>D31</f>
        <v>3.1950138602539598E-2</v>
      </c>
      <c r="C36" s="154"/>
      <c r="D36" s="154">
        <f>E81*B36</f>
        <v>111651.69744198215</v>
      </c>
      <c r="E36" s="154">
        <f>SUM(C36:D36)</f>
        <v>111651.69744198215</v>
      </c>
    </row>
    <row r="37" spans="1:8" x14ac:dyDescent="0.25">
      <c r="A37" s="260" t="s">
        <v>92</v>
      </c>
      <c r="B37" s="155"/>
      <c r="C37" s="154">
        <f>SUM(C35:C36)</f>
        <v>1026649.0141054934</v>
      </c>
      <c r="D37" s="154">
        <f>SUM(D35:D36)</f>
        <v>111651.69744198215</v>
      </c>
      <c r="E37" s="154">
        <f>SUM(C37:D37)</f>
        <v>1138300.7115474755</v>
      </c>
    </row>
    <row r="38" spans="1:8" x14ac:dyDescent="0.25">
      <c r="A38" s="155"/>
      <c r="B38" s="156" t="s">
        <v>93</v>
      </c>
      <c r="C38" s="155"/>
      <c r="D38" s="155"/>
      <c r="E38" s="140">
        <f>+E37/E78</f>
        <v>2.5007867478263991E-2</v>
      </c>
    </row>
    <row r="41" spans="1:8" ht="15.75" thickBot="1" x14ac:dyDescent="0.3"/>
    <row r="42" spans="1:8" ht="15.75" thickBot="1" x14ac:dyDescent="0.3">
      <c r="A42" s="700"/>
      <c r="B42" s="237">
        <v>2018</v>
      </c>
      <c r="C42" s="701"/>
      <c r="D42" s="701"/>
      <c r="E42" s="702"/>
      <c r="G42" s="267"/>
      <c r="H42" s="267"/>
    </row>
    <row r="43" spans="1:8" ht="75" x14ac:dyDescent="0.25">
      <c r="A43" s="145" t="s">
        <v>79</v>
      </c>
      <c r="B43" s="145" t="s">
        <v>80</v>
      </c>
      <c r="C43" s="146" t="s">
        <v>194</v>
      </c>
      <c r="D43" s="146" t="s">
        <v>195</v>
      </c>
      <c r="E43" s="147" t="s">
        <v>81</v>
      </c>
      <c r="G43" s="238"/>
      <c r="H43" s="238"/>
    </row>
    <row r="44" spans="1:8" ht="15.75" x14ac:dyDescent="0.25">
      <c r="A44" s="527" t="s">
        <v>95</v>
      </c>
      <c r="B44" s="148" t="s">
        <v>96</v>
      </c>
      <c r="C44" s="139">
        <v>50181798.259999998</v>
      </c>
      <c r="D44" s="139">
        <v>4644023.4099999992</v>
      </c>
      <c r="E44" s="149">
        <f>SUM(C44:D44)</f>
        <v>54825821.669999994</v>
      </c>
      <c r="G44" s="239"/>
      <c r="H44" s="239"/>
    </row>
    <row r="45" spans="1:8" ht="15.75" x14ac:dyDescent="0.25">
      <c r="A45" s="527" t="s">
        <v>97</v>
      </c>
      <c r="B45" s="148" t="s">
        <v>98</v>
      </c>
      <c r="C45" s="139">
        <v>4782276.53</v>
      </c>
      <c r="D45" s="139"/>
      <c r="E45" s="149">
        <f>SUM(C45:D45)</f>
        <v>4782276.53</v>
      </c>
      <c r="G45" s="239"/>
      <c r="H45" s="239"/>
    </row>
    <row r="46" spans="1:8" ht="15.75" x14ac:dyDescent="0.25">
      <c r="A46" s="527" t="s">
        <v>99</v>
      </c>
      <c r="B46" s="148" t="s">
        <v>100</v>
      </c>
      <c r="C46" s="139">
        <v>676665.87999999989</v>
      </c>
      <c r="D46" s="139"/>
      <c r="E46" s="149">
        <f>SUM(C46:D46)</f>
        <v>676665.87999999989</v>
      </c>
      <c r="G46" s="239"/>
      <c r="H46" s="239"/>
    </row>
    <row r="47" spans="1:8" x14ac:dyDescent="0.25">
      <c r="A47" s="260" t="s">
        <v>82</v>
      </c>
      <c r="B47" s="260"/>
      <c r="C47" s="149">
        <f t="shared" ref="C47:D47" si="1">SUM(C44:C46)</f>
        <v>55640740.670000002</v>
      </c>
      <c r="D47" s="149">
        <f t="shared" si="1"/>
        <v>4644023.4099999992</v>
      </c>
      <c r="E47" s="149">
        <f>SUM(E44:E46)</f>
        <v>60284764.079999998</v>
      </c>
      <c r="F47" s="711"/>
      <c r="G47" s="240"/>
      <c r="H47" s="240"/>
    </row>
    <row r="48" spans="1:8" x14ac:dyDescent="0.25">
      <c r="G48" s="712"/>
      <c r="H48" s="712"/>
    </row>
    <row r="49" spans="1:8" x14ac:dyDescent="0.25">
      <c r="B49" s="681" t="s">
        <v>83</v>
      </c>
      <c r="C49" s="681"/>
      <c r="D49" s="681"/>
      <c r="E49" s="705">
        <f>+E44+E45</f>
        <v>59608098.199999996</v>
      </c>
      <c r="G49" s="712"/>
      <c r="H49" s="712"/>
    </row>
    <row r="50" spans="1:8" x14ac:dyDescent="0.25">
      <c r="B50" s="681" t="s">
        <v>84</v>
      </c>
      <c r="C50" s="681"/>
      <c r="D50" s="681"/>
      <c r="E50" s="705">
        <f>+E46</f>
        <v>676665.87999999989</v>
      </c>
      <c r="G50" s="712"/>
      <c r="H50" s="712"/>
    </row>
    <row r="51" spans="1:8" x14ac:dyDescent="0.25">
      <c r="E51" s="697">
        <f>+E49/E47</f>
        <v>0.98877550753782428</v>
      </c>
      <c r="G51" s="712"/>
      <c r="H51" s="712"/>
    </row>
    <row r="52" spans="1:8" x14ac:dyDescent="0.25">
      <c r="E52" s="697">
        <f>+E50/E47</f>
        <v>1.1224492462175693E-2</v>
      </c>
      <c r="G52" s="712"/>
      <c r="H52" s="712"/>
    </row>
    <row r="53" spans="1:8" x14ac:dyDescent="0.25">
      <c r="E53" s="697"/>
      <c r="G53" s="712"/>
      <c r="H53" s="712"/>
    </row>
    <row r="54" spans="1:8" x14ac:dyDescent="0.25">
      <c r="A54" s="150"/>
      <c r="B54" s="151" t="s">
        <v>85</v>
      </c>
      <c r="C54" s="151"/>
      <c r="D54" s="151"/>
      <c r="E54" s="151"/>
      <c r="G54" s="712"/>
      <c r="H54" s="712"/>
    </row>
    <row r="55" spans="1:8" x14ac:dyDescent="0.25">
      <c r="A55" s="706" t="s">
        <v>86</v>
      </c>
      <c r="B55" s="152" t="s">
        <v>192</v>
      </c>
      <c r="C55" s="153" t="s">
        <v>188</v>
      </c>
      <c r="D55" s="153" t="s">
        <v>189</v>
      </c>
      <c r="E55" s="153" t="s">
        <v>90</v>
      </c>
      <c r="G55" s="712"/>
      <c r="H55" s="712"/>
    </row>
    <row r="56" spans="1:8" x14ac:dyDescent="0.25">
      <c r="A56" s="260" t="s">
        <v>91</v>
      </c>
      <c r="B56" s="140">
        <f>C30</f>
        <v>2.7700000000000002E-2</v>
      </c>
      <c r="C56" s="154">
        <f>E49*B56</f>
        <v>1651144.32014</v>
      </c>
      <c r="D56" s="154"/>
      <c r="E56" s="154">
        <f>SUM(C56:D56)</f>
        <v>1651144.32014</v>
      </c>
      <c r="G56" s="712"/>
      <c r="H56" s="712"/>
    </row>
    <row r="57" spans="1:8" x14ac:dyDescent="0.25">
      <c r="A57" s="260" t="s">
        <v>84</v>
      </c>
      <c r="B57" s="140">
        <f>C31</f>
        <v>4.58E-2</v>
      </c>
      <c r="C57" s="154"/>
      <c r="D57" s="154">
        <f>E50*B57</f>
        <v>30991.297303999996</v>
      </c>
      <c r="E57" s="154">
        <f>SUM(C57:D57)</f>
        <v>30991.297303999996</v>
      </c>
      <c r="G57" s="712"/>
      <c r="H57" s="712"/>
    </row>
    <row r="58" spans="1:8" x14ac:dyDescent="0.25">
      <c r="A58" s="260" t="s">
        <v>92</v>
      </c>
      <c r="B58" s="155"/>
      <c r="C58" s="154">
        <f>SUM(C56:C57)</f>
        <v>1651144.32014</v>
      </c>
      <c r="D58" s="154">
        <f>SUM(D56:D57)</f>
        <v>30991.297303999996</v>
      </c>
      <c r="E58" s="154">
        <f>SUM(C58:D58)</f>
        <v>1682135.617444</v>
      </c>
      <c r="G58" s="712"/>
      <c r="H58" s="712"/>
    </row>
    <row r="59" spans="1:8" x14ac:dyDescent="0.25">
      <c r="A59" s="155"/>
      <c r="B59" s="156" t="s">
        <v>93</v>
      </c>
      <c r="C59" s="155"/>
      <c r="D59" s="155"/>
      <c r="E59" s="140">
        <f>+E58/E47</f>
        <v>2.790316331356538E-2</v>
      </c>
      <c r="G59" s="712"/>
      <c r="H59" s="712"/>
    </row>
    <row r="60" spans="1:8" x14ac:dyDescent="0.25">
      <c r="E60" s="697">
        <f>E56/E58</f>
        <v>0.98157621954935403</v>
      </c>
      <c r="G60" s="712"/>
      <c r="H60" s="712"/>
    </row>
    <row r="61" spans="1:8" x14ac:dyDescent="0.25">
      <c r="E61" s="697">
        <f>E57/E58</f>
        <v>1.8423780450645934E-2</v>
      </c>
      <c r="G61" s="712"/>
      <c r="H61" s="712"/>
    </row>
    <row r="62" spans="1:8" x14ac:dyDescent="0.25">
      <c r="A62" s="150"/>
      <c r="B62" s="151" t="s">
        <v>85</v>
      </c>
      <c r="C62" s="151"/>
      <c r="D62" s="151"/>
      <c r="E62" s="151"/>
      <c r="G62" s="712"/>
      <c r="H62" s="712"/>
    </row>
    <row r="63" spans="1:8" x14ac:dyDescent="0.25">
      <c r="A63" s="706" t="s">
        <v>86</v>
      </c>
      <c r="B63" s="152" t="s">
        <v>187</v>
      </c>
      <c r="C63" s="153" t="s">
        <v>188</v>
      </c>
      <c r="D63" s="153" t="s">
        <v>189</v>
      </c>
      <c r="E63" s="153" t="s">
        <v>90</v>
      </c>
      <c r="G63" s="712"/>
      <c r="H63" s="712"/>
    </row>
    <row r="64" spans="1:8" x14ac:dyDescent="0.25">
      <c r="A64" s="260" t="s">
        <v>91</v>
      </c>
      <c r="B64" s="140">
        <f>D30</f>
        <v>2.443056207967733E-2</v>
      </c>
      <c r="C64" s="154">
        <f>E49*B64</f>
        <v>1456259.3435266025</v>
      </c>
      <c r="D64" s="154"/>
      <c r="E64" s="154">
        <f>SUM(C64:D64)</f>
        <v>1456259.3435266025</v>
      </c>
      <c r="F64" s="703"/>
      <c r="G64" s="712"/>
      <c r="H64" s="712"/>
    </row>
    <row r="65" spans="1:8" x14ac:dyDescent="0.25">
      <c r="A65" s="260" t="s">
        <v>84</v>
      </c>
      <c r="B65" s="140">
        <f>D31</f>
        <v>3.1950138602539598E-2</v>
      </c>
      <c r="C65" s="154"/>
      <c r="D65" s="154">
        <f>E50*B65</f>
        <v>21619.568653609422</v>
      </c>
      <c r="E65" s="154">
        <f>SUM(C65:D65)</f>
        <v>21619.568653609422</v>
      </c>
      <c r="F65" s="703"/>
      <c r="G65" s="712"/>
      <c r="H65" s="712"/>
    </row>
    <row r="66" spans="1:8" x14ac:dyDescent="0.25">
      <c r="A66" s="260" t="s">
        <v>92</v>
      </c>
      <c r="B66" s="155"/>
      <c r="C66" s="154">
        <f>SUM(C64:C65)</f>
        <v>1456259.3435266025</v>
      </c>
      <c r="D66" s="154">
        <f>SUM(D64:D65)</f>
        <v>21619.568653609422</v>
      </c>
      <c r="E66" s="154">
        <f>SUM(C66:D66)</f>
        <v>1477878.9121802119</v>
      </c>
      <c r="F66" s="703"/>
      <c r="G66" s="712"/>
      <c r="H66" s="712"/>
    </row>
    <row r="67" spans="1:8" x14ac:dyDescent="0.25">
      <c r="A67" s="155"/>
      <c r="B67" s="156" t="s">
        <v>93</v>
      </c>
      <c r="C67" s="155"/>
      <c r="D67" s="155"/>
      <c r="E67" s="140">
        <f>+E66/E47</f>
        <v>2.451496550967695E-2</v>
      </c>
      <c r="G67" s="713"/>
      <c r="H67" s="713"/>
    </row>
    <row r="68" spans="1:8" x14ac:dyDescent="0.25">
      <c r="E68" s="697">
        <f>E64/E66</f>
        <v>0.98537121784780357</v>
      </c>
      <c r="F68" s="703"/>
      <c r="G68" s="714"/>
      <c r="H68" s="714"/>
    </row>
    <row r="69" spans="1:8" x14ac:dyDescent="0.25">
      <c r="E69" s="697">
        <f>E65/E66</f>
        <v>1.4628782152196472E-2</v>
      </c>
      <c r="F69" s="703"/>
      <c r="G69" s="714"/>
      <c r="H69" s="714"/>
    </row>
    <row r="70" spans="1:8" x14ac:dyDescent="0.25">
      <c r="F70" s="703"/>
      <c r="G70" s="714"/>
      <c r="H70" s="714"/>
    </row>
    <row r="71" spans="1:8" x14ac:dyDescent="0.25">
      <c r="E71" s="703">
        <f>E66/12*F71</f>
        <v>50237.303400000004</v>
      </c>
      <c r="F71" s="703">
        <f>0.01/E67</f>
        <v>0.40791409623042857</v>
      </c>
      <c r="G71" s="712"/>
      <c r="H71" s="712"/>
    </row>
    <row r="72" spans="1:8" ht="15.75" thickBot="1" x14ac:dyDescent="0.3">
      <c r="E72" s="703"/>
      <c r="G72" s="712"/>
      <c r="H72" s="712"/>
    </row>
    <row r="73" spans="1:8" ht="15.75" outlineLevel="1" thickBot="1" x14ac:dyDescent="0.3">
      <c r="A73" s="700"/>
      <c r="B73" s="237">
        <v>2017</v>
      </c>
      <c r="C73" s="701"/>
      <c r="D73" s="701"/>
      <c r="E73" s="702"/>
      <c r="G73" s="715"/>
      <c r="H73" s="715"/>
    </row>
    <row r="74" spans="1:8" ht="30" outlineLevel="1" x14ac:dyDescent="0.25">
      <c r="A74" s="145" t="s">
        <v>79</v>
      </c>
      <c r="B74" s="145" t="s">
        <v>80</v>
      </c>
      <c r="C74" s="147" t="s">
        <v>94</v>
      </c>
      <c r="D74" s="147" t="s">
        <v>178</v>
      </c>
      <c r="E74" s="147" t="s">
        <v>81</v>
      </c>
      <c r="G74" s="715"/>
      <c r="H74" s="715"/>
    </row>
    <row r="75" spans="1:8" ht="15.75" outlineLevel="1" x14ac:dyDescent="0.25">
      <c r="A75" s="527" t="s">
        <v>95</v>
      </c>
      <c r="B75" s="148" t="s">
        <v>96</v>
      </c>
      <c r="C75" s="149">
        <v>32093652.129999988</v>
      </c>
      <c r="D75" s="149">
        <v>2505759</v>
      </c>
      <c r="E75" s="149">
        <f>SUM(C75:D75)</f>
        <v>34599411.129999988</v>
      </c>
      <c r="G75" s="715"/>
      <c r="H75" s="715"/>
    </row>
    <row r="76" spans="1:8" ht="15.75" outlineLevel="1" x14ac:dyDescent="0.25">
      <c r="A76" s="527" t="s">
        <v>97</v>
      </c>
      <c r="B76" s="148" t="s">
        <v>98</v>
      </c>
      <c r="C76" s="149">
        <v>7251539.2899999935</v>
      </c>
      <c r="D76" s="149">
        <v>172193</v>
      </c>
      <c r="E76" s="149">
        <f>SUM(C76:D76)</f>
        <v>7423732.2899999935</v>
      </c>
      <c r="G76" s="715"/>
      <c r="H76" s="715"/>
    </row>
    <row r="77" spans="1:8" ht="15.75" outlineLevel="1" x14ac:dyDescent="0.25">
      <c r="A77" s="527" t="s">
        <v>99</v>
      </c>
      <c r="B77" s="148" t="s">
        <v>100</v>
      </c>
      <c r="C77" s="149">
        <v>3437688.6599999969</v>
      </c>
      <c r="D77" s="149">
        <v>56872</v>
      </c>
      <c r="E77" s="149">
        <f>SUM(C77:D77)</f>
        <v>3494560.6599999969</v>
      </c>
      <c r="G77" s="715"/>
      <c r="H77" s="715"/>
    </row>
    <row r="78" spans="1:8" outlineLevel="1" x14ac:dyDescent="0.25">
      <c r="A78" s="260" t="s">
        <v>82</v>
      </c>
      <c r="B78" s="260"/>
      <c r="C78" s="149">
        <f t="shared" ref="C78:D78" si="2">SUM(C75:C77)</f>
        <v>42782880.079999976</v>
      </c>
      <c r="D78" s="149">
        <f t="shared" si="2"/>
        <v>2734824</v>
      </c>
      <c r="E78" s="149">
        <f>SUM(E75:E77)</f>
        <v>45517704.079999976</v>
      </c>
      <c r="F78" s="689"/>
      <c r="G78" s="715"/>
      <c r="H78" s="715"/>
    </row>
    <row r="79" spans="1:8" outlineLevel="1" x14ac:dyDescent="0.25">
      <c r="F79" s="716"/>
      <c r="G79" s="715"/>
      <c r="H79" s="715"/>
    </row>
    <row r="80" spans="1:8" outlineLevel="1" x14ac:dyDescent="0.25">
      <c r="B80" s="681" t="s">
        <v>83</v>
      </c>
      <c r="C80" s="681"/>
      <c r="D80" s="681"/>
      <c r="E80" s="705">
        <f>+E75+E76</f>
        <v>42023143.419999979</v>
      </c>
      <c r="G80" s="715"/>
      <c r="H80" s="715"/>
    </row>
    <row r="81" spans="1:8" outlineLevel="1" x14ac:dyDescent="0.25">
      <c r="B81" s="681" t="s">
        <v>84</v>
      </c>
      <c r="C81" s="681"/>
      <c r="D81" s="681"/>
      <c r="E81" s="705">
        <f>+E77</f>
        <v>3494560.6599999969</v>
      </c>
    </row>
    <row r="82" spans="1:8" outlineLevel="1" x14ac:dyDescent="0.25">
      <c r="D82" s="527" t="s">
        <v>190</v>
      </c>
      <c r="E82" s="697">
        <f>+E80/E78</f>
        <v>0.92322634169205664</v>
      </c>
    </row>
    <row r="83" spans="1:8" outlineLevel="1" x14ac:dyDescent="0.25">
      <c r="D83" s="527" t="s">
        <v>191</v>
      </c>
      <c r="E83" s="697">
        <f>+E81/E78</f>
        <v>7.6773658307943346E-2</v>
      </c>
    </row>
    <row r="84" spans="1:8" outlineLevel="1" x14ac:dyDescent="0.25">
      <c r="A84" s="150"/>
      <c r="B84" s="151" t="s">
        <v>85</v>
      </c>
      <c r="C84" s="151"/>
      <c r="D84" s="151"/>
    </row>
    <row r="85" spans="1:8" outlineLevel="1" x14ac:dyDescent="0.25">
      <c r="A85" s="706" t="s">
        <v>86</v>
      </c>
      <c r="B85" s="152" t="s">
        <v>87</v>
      </c>
      <c r="C85" s="153" t="s">
        <v>88</v>
      </c>
      <c r="D85" s="153" t="s">
        <v>89</v>
      </c>
      <c r="E85" s="153" t="s">
        <v>90</v>
      </c>
    </row>
    <row r="86" spans="1:8" outlineLevel="1" x14ac:dyDescent="0.25">
      <c r="A86" s="260" t="s">
        <v>91</v>
      </c>
      <c r="B86" s="140">
        <f>C30</f>
        <v>2.7700000000000002E-2</v>
      </c>
      <c r="C86" s="154">
        <f>E80*B86</f>
        <v>1164041.0727339995</v>
      </c>
      <c r="D86" s="154"/>
      <c r="E86" s="154">
        <f>SUM(C86:D86)</f>
        <v>1164041.0727339995</v>
      </c>
      <c r="F86" s="703"/>
    </row>
    <row r="87" spans="1:8" outlineLevel="1" x14ac:dyDescent="0.25">
      <c r="A87" s="260" t="s">
        <v>84</v>
      </c>
      <c r="B87" s="140">
        <f>C31</f>
        <v>4.58E-2</v>
      </c>
      <c r="C87" s="154"/>
      <c r="D87" s="154">
        <f>E81*B87</f>
        <v>160050.87822799987</v>
      </c>
      <c r="E87" s="154">
        <f>SUM(C87:D87)</f>
        <v>160050.87822799987</v>
      </c>
      <c r="F87" s="703"/>
    </row>
    <row r="88" spans="1:8" outlineLevel="1" x14ac:dyDescent="0.25">
      <c r="A88" s="260" t="s">
        <v>92</v>
      </c>
      <c r="B88" s="155"/>
      <c r="C88" s="154">
        <f>SUM(C86:C87)</f>
        <v>1164041.0727339995</v>
      </c>
      <c r="D88" s="154">
        <f>SUM(D86:D87)</f>
        <v>160050.87822799987</v>
      </c>
      <c r="E88" s="154">
        <f>SUM(C88:D88)</f>
        <v>1324091.9509619994</v>
      </c>
      <c r="F88" s="703"/>
    </row>
    <row r="89" spans="1:8" outlineLevel="1" x14ac:dyDescent="0.25">
      <c r="A89" s="155"/>
      <c r="B89" s="156" t="s">
        <v>93</v>
      </c>
      <c r="C89" s="155"/>
      <c r="D89" s="155"/>
      <c r="E89" s="140">
        <f>+E88/E78</f>
        <v>2.9089603215373776E-2</v>
      </c>
      <c r="F89" s="703"/>
    </row>
    <row r="90" spans="1:8" outlineLevel="1" x14ac:dyDescent="0.25">
      <c r="E90" s="697">
        <f>E86/E88</f>
        <v>0.87912404564372038</v>
      </c>
      <c r="F90" s="703"/>
      <c r="G90" s="704"/>
      <c r="H90" s="704"/>
    </row>
    <row r="91" spans="1:8" outlineLevel="1" x14ac:dyDescent="0.25">
      <c r="E91" s="697">
        <f>E87/E88</f>
        <v>0.12087595435627962</v>
      </c>
      <c r="F91" s="703"/>
      <c r="G91" s="704"/>
      <c r="H91" s="704"/>
    </row>
  </sheetData>
  <pageMargins left="0.25" right="0.25" top="0.75" bottom="0.75" header="0.3" footer="0.3"/>
  <pageSetup scale="46" orientation="portrait" r:id="rId1"/>
  <headerFooter>
    <oddFooter>&amp;L&amp;A
&amp;F&amp;RPage &amp;P of &amp;N</oddFooter>
  </headerFooter>
  <customProperties>
    <customPr name="EpmWorksheetKeyString_GU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
  <sheetViews>
    <sheetView zoomScaleNormal="100" workbookViewId="0">
      <selection activeCell="S42" sqref="S42"/>
    </sheetView>
  </sheetViews>
  <sheetFormatPr defaultColWidth="9.28515625" defaultRowHeight="12.75" x14ac:dyDescent="0.2"/>
  <cols>
    <col min="1" max="1" width="3.5703125" style="410" customWidth="1"/>
    <col min="2" max="2" width="8.7109375" style="410" customWidth="1"/>
    <col min="3" max="3" width="63" style="410" bestFit="1" customWidth="1"/>
    <col min="4" max="4" width="4.42578125" style="410" customWidth="1"/>
    <col min="5" max="16384" width="9.28515625" style="410"/>
  </cols>
  <sheetData>
    <row r="3" spans="2:6" ht="13.5" thickBot="1" x14ac:dyDescent="0.25"/>
    <row r="4" spans="2:6" ht="13.5" thickBot="1" x14ac:dyDescent="0.25">
      <c r="B4" s="411"/>
      <c r="C4" s="411"/>
      <c r="D4" s="411"/>
      <c r="E4" s="411"/>
      <c r="F4" s="412" t="s">
        <v>302</v>
      </c>
    </row>
    <row r="5" spans="2:6" x14ac:dyDescent="0.2">
      <c r="C5" s="839" t="s">
        <v>303</v>
      </c>
      <c r="D5" s="839"/>
      <c r="E5" s="839"/>
      <c r="F5" s="839"/>
    </row>
    <row r="6" spans="2:6" x14ac:dyDescent="0.2">
      <c r="B6" s="413"/>
      <c r="C6" s="840" t="s">
        <v>304</v>
      </c>
      <c r="D6" s="840"/>
      <c r="E6" s="840"/>
      <c r="F6" s="840"/>
    </row>
    <row r="7" spans="2:6" x14ac:dyDescent="0.2">
      <c r="B7" s="414"/>
      <c r="C7" s="841" t="s">
        <v>305</v>
      </c>
      <c r="D7" s="841"/>
      <c r="E7" s="841"/>
      <c r="F7" s="841"/>
    </row>
    <row r="8" spans="2:6" x14ac:dyDescent="0.2">
      <c r="B8" s="414"/>
      <c r="C8" s="841"/>
      <c r="D8" s="841"/>
      <c r="E8" s="841"/>
      <c r="F8" s="841"/>
    </row>
    <row r="9" spans="2:6" x14ac:dyDescent="0.2">
      <c r="B9" s="411"/>
      <c r="C9" s="411"/>
      <c r="D9" s="411"/>
      <c r="E9" s="411"/>
      <c r="F9" s="411"/>
    </row>
    <row r="10" spans="2:6" x14ac:dyDescent="0.2">
      <c r="B10" s="487" t="s">
        <v>108</v>
      </c>
      <c r="C10" s="411"/>
      <c r="D10" s="411"/>
      <c r="E10" s="411"/>
      <c r="F10" s="411"/>
    </row>
    <row r="11" spans="2:6" x14ac:dyDescent="0.2">
      <c r="B11" s="415" t="s">
        <v>109</v>
      </c>
      <c r="C11" s="416" t="s">
        <v>110</v>
      </c>
      <c r="D11" s="417"/>
      <c r="E11" s="417"/>
      <c r="F11" s="418" t="s">
        <v>111</v>
      </c>
    </row>
    <row r="12" spans="2:6" x14ac:dyDescent="0.2">
      <c r="B12" s="419"/>
      <c r="C12" s="419"/>
      <c r="D12" s="419"/>
      <c r="E12" s="419"/>
      <c r="F12" s="420"/>
    </row>
    <row r="13" spans="2:6" x14ac:dyDescent="0.2">
      <c r="B13" s="420">
        <v>1</v>
      </c>
      <c r="C13" s="421" t="s">
        <v>112</v>
      </c>
      <c r="D13" s="419"/>
      <c r="E13" s="419"/>
      <c r="F13" s="422">
        <v>5.1399999999999996E-3</v>
      </c>
    </row>
    <row r="14" spans="2:6" x14ac:dyDescent="0.2">
      <c r="B14" s="420">
        <v>2</v>
      </c>
      <c r="C14" s="421" t="s">
        <v>113</v>
      </c>
      <c r="D14" s="419"/>
      <c r="E14" s="419"/>
      <c r="F14" s="422">
        <v>2E-3</v>
      </c>
    </row>
    <row r="15" spans="2:6" x14ac:dyDescent="0.2">
      <c r="B15" s="420">
        <v>3</v>
      </c>
      <c r="C15" s="421" t="s">
        <v>306</v>
      </c>
      <c r="D15" s="419"/>
      <c r="E15" s="423">
        <v>3.8519999999999999E-2</v>
      </c>
      <c r="F15" s="424">
        <v>3.8322000000000002E-2</v>
      </c>
    </row>
    <row r="16" spans="2:6" x14ac:dyDescent="0.2">
      <c r="B16" s="420">
        <v>4</v>
      </c>
      <c r="C16" s="421"/>
      <c r="D16" s="419"/>
      <c r="E16" s="419"/>
      <c r="F16" s="425"/>
    </row>
    <row r="17" spans="1:6" x14ac:dyDescent="0.2">
      <c r="B17" s="420">
        <v>5</v>
      </c>
      <c r="C17" s="421" t="s">
        <v>114</v>
      </c>
      <c r="D17" s="419"/>
      <c r="E17" s="419"/>
      <c r="F17" s="422">
        <v>4.5462000000000002E-2</v>
      </c>
    </row>
    <row r="18" spans="1:6" x14ac:dyDescent="0.2">
      <c r="B18" s="420">
        <v>6</v>
      </c>
      <c r="C18" s="419"/>
      <c r="D18" s="419"/>
      <c r="E18" s="419"/>
      <c r="F18" s="422"/>
    </row>
    <row r="19" spans="1:6" x14ac:dyDescent="0.2">
      <c r="A19" s="426"/>
      <c r="B19" s="420">
        <v>7</v>
      </c>
      <c r="C19" s="419" t="s">
        <v>307</v>
      </c>
      <c r="D19" s="419"/>
      <c r="E19" s="419"/>
      <c r="F19" s="422">
        <v>0.954538</v>
      </c>
    </row>
    <row r="20" spans="1:6" x14ac:dyDescent="0.2">
      <c r="B20" s="420">
        <v>8</v>
      </c>
      <c r="C20" s="421" t="s">
        <v>308</v>
      </c>
      <c r="D20" s="419"/>
      <c r="E20" s="427">
        <v>0.35</v>
      </c>
      <c r="F20" s="422">
        <v>0.334088</v>
      </c>
    </row>
    <row r="21" spans="1:6" x14ac:dyDescent="0.2">
      <c r="B21" s="420">
        <v>9</v>
      </c>
      <c r="C21" s="421" t="s">
        <v>309</v>
      </c>
      <c r="D21" s="419"/>
      <c r="E21" s="419"/>
      <c r="F21" s="428">
        <v>0.62044999999999995</v>
      </c>
    </row>
  </sheetData>
  <mergeCells count="4">
    <mergeCell ref="C5:F5"/>
    <mergeCell ref="C6:F6"/>
    <mergeCell ref="C7:F7"/>
    <mergeCell ref="C8:F8"/>
  </mergeCells>
  <printOptions horizontalCentered="1"/>
  <pageMargins left="0.68" right="0.56000000000000005" top="1" bottom="1" header="0.5" footer="0.5"/>
  <pageSetup scale="96" orientation="portrait" r:id="rId1"/>
  <headerFooter alignWithMargins="0"/>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opLeftCell="C1" zoomScaleNormal="100" workbookViewId="0">
      <selection activeCell="S42" sqref="S42"/>
    </sheetView>
  </sheetViews>
  <sheetFormatPr defaultRowHeight="12.75" x14ac:dyDescent="0.2"/>
  <cols>
    <col min="1" max="1" width="5.42578125" customWidth="1"/>
    <col min="2" max="2" width="49.7109375" bestFit="1" customWidth="1"/>
    <col min="5" max="5" width="18.7109375" customWidth="1"/>
    <col min="6" max="6" width="5" bestFit="1" customWidth="1"/>
    <col min="7" max="7" width="75.42578125" bestFit="1" customWidth="1"/>
    <col min="9" max="9" width="8.42578125" bestFit="1" customWidth="1"/>
    <col min="10" max="10" width="14.28515625" bestFit="1" customWidth="1"/>
  </cols>
  <sheetData>
    <row r="1" spans="1:11" ht="15" x14ac:dyDescent="0.25">
      <c r="A1" s="175" t="s">
        <v>231</v>
      </c>
      <c r="B1" s="176"/>
      <c r="C1" s="176"/>
      <c r="D1" s="177" t="s">
        <v>233</v>
      </c>
      <c r="E1" s="178"/>
      <c r="F1" s="458"/>
      <c r="G1" s="458"/>
      <c r="H1" s="458"/>
      <c r="I1" s="459" t="s">
        <v>234</v>
      </c>
      <c r="J1" s="460"/>
    </row>
    <row r="2" spans="1:11" ht="15" x14ac:dyDescent="0.25">
      <c r="A2" s="179" t="s">
        <v>235</v>
      </c>
      <c r="B2" s="179"/>
      <c r="C2" s="179"/>
      <c r="D2" s="179"/>
      <c r="E2" s="179"/>
      <c r="F2" s="461" t="s">
        <v>235</v>
      </c>
      <c r="G2" s="461"/>
      <c r="H2" s="462"/>
      <c r="I2" s="462"/>
      <c r="J2" s="462"/>
    </row>
    <row r="3" spans="1:11" ht="15" x14ac:dyDescent="0.25">
      <c r="A3" s="179" t="s">
        <v>236</v>
      </c>
      <c r="B3" s="179"/>
      <c r="C3" s="179"/>
      <c r="D3" s="179"/>
      <c r="E3" s="179"/>
      <c r="F3" s="461" t="s">
        <v>236</v>
      </c>
      <c r="G3" s="461"/>
      <c r="H3" s="462"/>
      <c r="I3" s="462"/>
      <c r="J3" s="462"/>
    </row>
    <row r="4" spans="1:11" ht="15" x14ac:dyDescent="0.25">
      <c r="A4" s="179" t="s">
        <v>237</v>
      </c>
      <c r="B4" s="179"/>
      <c r="C4" s="179"/>
      <c r="D4" s="179"/>
      <c r="E4" s="179"/>
      <c r="F4" s="461" t="s">
        <v>237</v>
      </c>
      <c r="G4" s="461"/>
      <c r="H4" s="462"/>
      <c r="I4" s="462"/>
      <c r="J4" s="462"/>
    </row>
    <row r="5" spans="1:11" ht="15" x14ac:dyDescent="0.25">
      <c r="A5" s="179" t="s">
        <v>238</v>
      </c>
      <c r="B5" s="179"/>
      <c r="C5" s="179"/>
      <c r="D5" s="179"/>
      <c r="E5" s="179"/>
      <c r="F5" s="461" t="s">
        <v>238</v>
      </c>
      <c r="G5" s="461"/>
      <c r="H5" s="462"/>
      <c r="I5" s="462"/>
      <c r="J5" s="462"/>
    </row>
    <row r="6" spans="1:11" ht="14.25" x14ac:dyDescent="0.2">
      <c r="A6" s="179" t="s">
        <v>239</v>
      </c>
      <c r="B6" s="179"/>
      <c r="C6" s="179"/>
      <c r="D6" s="179"/>
      <c r="E6" s="179"/>
      <c r="F6" s="463" t="s">
        <v>240</v>
      </c>
      <c r="G6" s="463"/>
      <c r="H6" s="461"/>
      <c r="I6" s="461"/>
      <c r="J6" s="461"/>
    </row>
    <row r="7" spans="1:11" ht="15" x14ac:dyDescent="0.25">
      <c r="A7" s="176"/>
      <c r="B7" s="180"/>
      <c r="C7" s="180"/>
      <c r="D7" s="180"/>
      <c r="E7" s="180"/>
      <c r="F7" s="462"/>
      <c r="G7" s="462"/>
      <c r="H7" s="462"/>
      <c r="I7" s="462"/>
      <c r="J7" s="462"/>
    </row>
    <row r="8" spans="1:11" ht="15" x14ac:dyDescent="0.25">
      <c r="A8" s="176"/>
      <c r="B8" s="176"/>
      <c r="C8" s="176"/>
      <c r="D8" s="176"/>
      <c r="E8" s="176"/>
      <c r="F8" s="462"/>
      <c r="G8" s="461" t="s">
        <v>334</v>
      </c>
      <c r="H8" s="462"/>
      <c r="I8" s="462"/>
      <c r="J8" s="458"/>
    </row>
    <row r="9" spans="1:11" x14ac:dyDescent="0.2">
      <c r="A9" s="181" t="s">
        <v>108</v>
      </c>
      <c r="B9" s="181"/>
      <c r="C9" s="182" t="s">
        <v>209</v>
      </c>
      <c r="D9" s="183"/>
      <c r="E9" s="182" t="s">
        <v>241</v>
      </c>
      <c r="F9" s="487" t="s">
        <v>108</v>
      </c>
      <c r="G9" s="487"/>
      <c r="H9" s="487"/>
      <c r="I9" s="464"/>
      <c r="J9" s="464"/>
    </row>
    <row r="10" spans="1:11" x14ac:dyDescent="0.2">
      <c r="A10" s="184" t="s">
        <v>109</v>
      </c>
      <c r="B10" s="184" t="s">
        <v>110</v>
      </c>
      <c r="C10" s="185" t="s">
        <v>242</v>
      </c>
      <c r="D10" s="185" t="s">
        <v>243</v>
      </c>
      <c r="E10" s="185" t="s">
        <v>243</v>
      </c>
      <c r="F10" s="415" t="s">
        <v>109</v>
      </c>
      <c r="G10" s="415" t="s">
        <v>110</v>
      </c>
      <c r="H10" s="415"/>
      <c r="I10" s="465"/>
      <c r="J10" s="465"/>
    </row>
    <row r="11" spans="1:11" ht="15" x14ac:dyDescent="0.25">
      <c r="A11" s="176"/>
      <c r="B11" s="176"/>
      <c r="C11" s="176"/>
      <c r="D11" s="176"/>
      <c r="E11" s="176"/>
      <c r="F11" s="458"/>
      <c r="G11" s="458"/>
      <c r="H11" s="458"/>
      <c r="I11" s="458"/>
      <c r="J11" s="458"/>
    </row>
    <row r="12" spans="1:11" ht="15" x14ac:dyDescent="0.25">
      <c r="A12" s="187">
        <v>1</v>
      </c>
      <c r="B12" s="188" t="s">
        <v>244</v>
      </c>
      <c r="C12" s="189">
        <v>0.51500000000000001</v>
      </c>
      <c r="D12" s="189">
        <v>5.4951456310679617E-2</v>
      </c>
      <c r="E12" s="189">
        <v>2.8299999999999999E-2</v>
      </c>
      <c r="F12" s="466">
        <v>1</v>
      </c>
      <c r="G12" s="467" t="s">
        <v>112</v>
      </c>
      <c r="H12" s="468"/>
      <c r="I12" s="468"/>
      <c r="J12" s="469">
        <v>5.1240000000000001E-3</v>
      </c>
      <c r="K12" s="217"/>
    </row>
    <row r="13" spans="1:11" ht="15" x14ac:dyDescent="0.25">
      <c r="A13" s="187">
        <v>2</v>
      </c>
      <c r="B13" s="188" t="s">
        <v>245</v>
      </c>
      <c r="C13" s="189">
        <v>0.48499999999999999</v>
      </c>
      <c r="D13" s="189">
        <v>9.4E-2</v>
      </c>
      <c r="E13" s="189">
        <v>4.5600000000000002E-2</v>
      </c>
      <c r="F13" s="466">
        <f t="shared" ref="F13:F20" si="0">F12+1</f>
        <v>2</v>
      </c>
      <c r="G13" s="470" t="s">
        <v>113</v>
      </c>
      <c r="H13" s="471"/>
      <c r="I13" s="471"/>
      <c r="J13" s="472">
        <v>2E-3</v>
      </c>
      <c r="K13" s="217"/>
    </row>
    <row r="14" spans="1:11" ht="15" x14ac:dyDescent="0.25">
      <c r="A14" s="187">
        <v>3</v>
      </c>
      <c r="B14" s="188" t="s">
        <v>246</v>
      </c>
      <c r="C14" s="192">
        <v>1</v>
      </c>
      <c r="D14" s="193"/>
      <c r="E14" s="194">
        <v>7.3899999999999993E-2</v>
      </c>
      <c r="F14" s="466">
        <f t="shared" si="0"/>
        <v>3</v>
      </c>
      <c r="G14" s="467" t="str">
        <f>"STATE UTILITY TAX ( "&amp;J14*100&amp;"% - ( LINE 1 * "&amp;J14*100&amp;"% )  )"</f>
        <v>STATE UTILITY TAX ( 3.8323% - ( LINE 1 * 3.8323% )  )</v>
      </c>
      <c r="H14" s="176"/>
      <c r="I14" s="473">
        <v>3.8519999999999999E-2</v>
      </c>
      <c r="J14" s="474">
        <v>3.8323000000000003E-2</v>
      </c>
      <c r="K14" s="217"/>
    </row>
    <row r="15" spans="1:11" ht="15" x14ac:dyDescent="0.25">
      <c r="A15" s="187">
        <v>4</v>
      </c>
      <c r="B15" s="188"/>
      <c r="C15" s="176"/>
      <c r="D15" s="176"/>
      <c r="E15" s="176"/>
      <c r="F15" s="466">
        <f t="shared" si="0"/>
        <v>4</v>
      </c>
      <c r="G15" s="467"/>
      <c r="H15" s="468"/>
      <c r="I15" s="468"/>
      <c r="J15" s="475"/>
      <c r="K15" s="217"/>
    </row>
    <row r="16" spans="1:11" ht="15" x14ac:dyDescent="0.25">
      <c r="A16" s="187">
        <v>5</v>
      </c>
      <c r="B16" s="188" t="s">
        <v>248</v>
      </c>
      <c r="C16" s="189">
        <v>0.51500000000000001</v>
      </c>
      <c r="D16" s="189">
        <v>4.3411650485436902E-2</v>
      </c>
      <c r="E16" s="189">
        <v>2.24E-2</v>
      </c>
      <c r="F16" s="466">
        <f t="shared" si="0"/>
        <v>5</v>
      </c>
      <c r="G16" s="467" t="s">
        <v>114</v>
      </c>
      <c r="H16" s="468"/>
      <c r="I16" s="468"/>
      <c r="J16" s="469">
        <v>4.5447000000000001E-2</v>
      </c>
      <c r="K16" s="217"/>
    </row>
    <row r="17" spans="1:11" ht="15" x14ac:dyDescent="0.25">
      <c r="A17" s="187">
        <v>6</v>
      </c>
      <c r="B17" s="188" t="s">
        <v>245</v>
      </c>
      <c r="C17" s="189">
        <v>0.48499999999999999</v>
      </c>
      <c r="D17" s="189">
        <v>9.4E-2</v>
      </c>
      <c r="E17" s="189">
        <v>4.5600000000000002E-2</v>
      </c>
      <c r="F17" s="466">
        <f t="shared" si="0"/>
        <v>6</v>
      </c>
      <c r="G17" s="468"/>
      <c r="H17" s="468"/>
      <c r="I17" s="468"/>
      <c r="J17" s="469"/>
      <c r="K17" s="217"/>
    </row>
    <row r="18" spans="1:11" ht="15" x14ac:dyDescent="0.25">
      <c r="A18" s="187">
        <v>7</v>
      </c>
      <c r="B18" s="188" t="s">
        <v>249</v>
      </c>
      <c r="C18" s="192">
        <v>1</v>
      </c>
      <c r="D18" s="193"/>
      <c r="E18" s="192">
        <v>6.8000000000000005E-2</v>
      </c>
      <c r="F18" s="466">
        <f t="shared" si="0"/>
        <v>7</v>
      </c>
      <c r="G18" s="468" t="str">
        <f>"CONVERSION FACTOR EXCLUDING FEDERAL INCOME TAX ( 1 - LINE "&amp;$I$17&amp;" )"</f>
        <v>CONVERSION FACTOR EXCLUDING FEDERAL INCOME TAX ( 1 - LINE  )</v>
      </c>
      <c r="H18" s="468"/>
      <c r="I18" s="468"/>
      <c r="J18" s="469">
        <v>0.95455299999999998</v>
      </c>
      <c r="K18" s="217"/>
    </row>
    <row r="19" spans="1:11" ht="15" x14ac:dyDescent="0.25">
      <c r="A19" s="187"/>
      <c r="B19" s="176"/>
      <c r="C19" s="176"/>
      <c r="D19" s="176"/>
      <c r="E19" s="176"/>
      <c r="F19" s="466">
        <f t="shared" si="0"/>
        <v>8</v>
      </c>
      <c r="G19" s="467" t="s">
        <v>251</v>
      </c>
      <c r="H19" s="468"/>
      <c r="I19" s="476">
        <v>0.21</v>
      </c>
      <c r="J19" s="469">
        <v>0.200456</v>
      </c>
      <c r="K19" s="217"/>
    </row>
    <row r="20" spans="1:11" ht="15.75" thickBot="1" x14ac:dyDescent="0.3">
      <c r="A20" s="187"/>
      <c r="B20" s="176"/>
      <c r="C20" s="176"/>
      <c r="D20" s="176"/>
      <c r="E20" s="176"/>
      <c r="F20" s="466">
        <f t="shared" si="0"/>
        <v>9</v>
      </c>
      <c r="G20" s="467" t="str">
        <f>"CONVERSION FACTOR INCL FEDERAL INCOME TAX ( LINE "&amp;F18&amp;" - LINE "&amp;F19&amp;" ) "</f>
        <v xml:space="preserve">CONVERSION FACTOR INCL FEDERAL INCOME TAX ( LINE 7 - LINE 8 ) </v>
      </c>
      <c r="H20" s="468"/>
      <c r="I20" s="468"/>
      <c r="J20" s="477">
        <v>0.75409700000000002</v>
      </c>
      <c r="K20" s="217"/>
    </row>
    <row r="21" spans="1:11" ht="15.75" thickTop="1" x14ac:dyDescent="0.25">
      <c r="A21" s="187"/>
      <c r="B21" s="200"/>
      <c r="C21" s="7"/>
      <c r="D21" s="176"/>
      <c r="E21" s="176"/>
      <c r="F21" s="187"/>
      <c r="G21" s="176"/>
      <c r="H21" s="188"/>
      <c r="I21" s="188"/>
      <c r="J21" s="188"/>
      <c r="K21" s="217"/>
    </row>
    <row r="22" spans="1:11" x14ac:dyDescent="0.2">
      <c r="G22" s="217"/>
      <c r="H22" s="217"/>
      <c r="I22" s="217"/>
      <c r="J22" s="217"/>
      <c r="K22" s="217"/>
    </row>
    <row r="23" spans="1:11" ht="15" x14ac:dyDescent="0.25">
      <c r="F23" s="175" t="s">
        <v>231</v>
      </c>
      <c r="G23" s="176"/>
      <c r="H23" s="176"/>
      <c r="I23" s="177" t="s">
        <v>234</v>
      </c>
      <c r="J23" s="178"/>
      <c r="K23" s="217"/>
    </row>
    <row r="24" spans="1:11" ht="15" x14ac:dyDescent="0.25">
      <c r="F24" s="179" t="s">
        <v>235</v>
      </c>
      <c r="G24" s="179"/>
      <c r="H24" s="180"/>
      <c r="I24" s="180"/>
      <c r="J24" s="180"/>
      <c r="K24" s="217"/>
    </row>
    <row r="25" spans="1:11" ht="15" x14ac:dyDescent="0.25">
      <c r="F25" s="179" t="s">
        <v>236</v>
      </c>
      <c r="G25" s="179"/>
      <c r="H25" s="180"/>
      <c r="I25" s="180"/>
      <c r="J25" s="180"/>
      <c r="K25" s="217"/>
    </row>
    <row r="26" spans="1:11" ht="15" x14ac:dyDescent="0.25">
      <c r="F26" s="179" t="s">
        <v>237</v>
      </c>
      <c r="G26" s="179"/>
      <c r="H26" s="180"/>
      <c r="I26" s="180"/>
      <c r="J26" s="180"/>
      <c r="K26" s="217"/>
    </row>
    <row r="27" spans="1:11" ht="15" x14ac:dyDescent="0.25">
      <c r="F27" s="179" t="s">
        <v>238</v>
      </c>
      <c r="G27" s="179"/>
      <c r="H27" s="180"/>
      <c r="I27" s="180"/>
      <c r="J27" s="180"/>
      <c r="K27" s="217"/>
    </row>
    <row r="28" spans="1:11" ht="14.25" x14ac:dyDescent="0.2">
      <c r="F28" s="179" t="s">
        <v>240</v>
      </c>
      <c r="G28" s="179"/>
      <c r="H28" s="179"/>
      <c r="I28" s="179"/>
      <c r="J28" s="179"/>
      <c r="K28" s="217"/>
    </row>
    <row r="29" spans="1:11" ht="15" x14ac:dyDescent="0.25">
      <c r="F29" s="180"/>
      <c r="G29" s="180"/>
      <c r="H29" s="180"/>
      <c r="I29" s="180"/>
      <c r="J29" s="180"/>
      <c r="K29" s="217"/>
    </row>
    <row r="30" spans="1:11" ht="15" x14ac:dyDescent="0.25">
      <c r="F30" s="180"/>
      <c r="G30" s="179" t="s">
        <v>335</v>
      </c>
      <c r="H30" s="180"/>
      <c r="I30" s="180"/>
      <c r="J30" s="176"/>
      <c r="K30" s="217"/>
    </row>
    <row r="31" spans="1:11" x14ac:dyDescent="0.2">
      <c r="F31" s="181" t="s">
        <v>108</v>
      </c>
      <c r="G31" s="181"/>
      <c r="H31" s="181"/>
      <c r="I31" s="183"/>
      <c r="J31" s="183"/>
      <c r="K31" s="217"/>
    </row>
    <row r="32" spans="1:11" x14ac:dyDescent="0.2">
      <c r="F32" s="184" t="s">
        <v>109</v>
      </c>
      <c r="G32" s="184" t="s">
        <v>110</v>
      </c>
      <c r="H32" s="184"/>
      <c r="I32" s="186"/>
      <c r="J32" s="186"/>
      <c r="K32" s="217"/>
    </row>
    <row r="33" spans="6:11" ht="15" x14ac:dyDescent="0.25">
      <c r="F33" s="176"/>
      <c r="G33" s="176"/>
      <c r="H33" s="176"/>
      <c r="I33" s="176"/>
      <c r="J33" s="176"/>
      <c r="K33" s="217"/>
    </row>
    <row r="34" spans="6:11" ht="15" x14ac:dyDescent="0.25">
      <c r="F34" s="187">
        <v>1</v>
      </c>
      <c r="G34" s="190" t="s">
        <v>112</v>
      </c>
      <c r="H34" s="188"/>
      <c r="I34" s="188"/>
      <c r="J34" s="191">
        <v>5.1240000000000001E-3</v>
      </c>
      <c r="K34" s="217"/>
    </row>
    <row r="35" spans="6:11" ht="15" x14ac:dyDescent="0.25">
      <c r="F35" s="187">
        <v>2</v>
      </c>
      <c r="G35" s="478" t="s">
        <v>113</v>
      </c>
      <c r="H35" s="479"/>
      <c r="I35" s="479"/>
      <c r="J35" s="480">
        <v>4.0000000000000001E-3</v>
      </c>
      <c r="K35" s="217"/>
    </row>
    <row r="36" spans="6:11" ht="15" x14ac:dyDescent="0.25">
      <c r="F36" s="187">
        <v>3</v>
      </c>
      <c r="G36" s="190" t="s">
        <v>247</v>
      </c>
      <c r="H36" s="176"/>
      <c r="I36" s="195">
        <v>3.8519999999999999E-2</v>
      </c>
      <c r="J36" s="196">
        <v>3.8323000000000003E-2</v>
      </c>
      <c r="K36" s="217"/>
    </row>
    <row r="37" spans="6:11" ht="15" x14ac:dyDescent="0.25">
      <c r="F37" s="187">
        <v>4</v>
      </c>
      <c r="G37" s="190"/>
      <c r="H37" s="188"/>
      <c r="I37" s="188"/>
      <c r="J37" s="197"/>
      <c r="K37" s="217"/>
    </row>
    <row r="38" spans="6:11" ht="15" x14ac:dyDescent="0.25">
      <c r="F38" s="187">
        <v>5</v>
      </c>
      <c r="G38" s="190" t="s">
        <v>114</v>
      </c>
      <c r="H38" s="188"/>
      <c r="I38" s="188"/>
      <c r="J38" s="191">
        <v>4.7447000000000003E-2</v>
      </c>
      <c r="K38" s="217"/>
    </row>
    <row r="39" spans="6:11" ht="15" x14ac:dyDescent="0.25">
      <c r="F39" s="187">
        <v>6</v>
      </c>
      <c r="G39" s="188"/>
      <c r="H39" s="188"/>
      <c r="I39" s="188"/>
      <c r="J39" s="191"/>
    </row>
    <row r="40" spans="6:11" ht="15" x14ac:dyDescent="0.25">
      <c r="F40" s="187">
        <v>7</v>
      </c>
      <c r="G40" s="188" t="s">
        <v>250</v>
      </c>
      <c r="H40" s="188"/>
      <c r="I40" s="188"/>
      <c r="J40" s="191">
        <v>0.95255299999999998</v>
      </c>
    </row>
    <row r="41" spans="6:11" ht="15" x14ac:dyDescent="0.25">
      <c r="F41" s="187">
        <v>8</v>
      </c>
      <c r="G41" s="190" t="s">
        <v>251</v>
      </c>
      <c r="H41" s="188"/>
      <c r="I41" s="198">
        <v>0.21</v>
      </c>
      <c r="J41" s="191">
        <v>0.20003599999999999</v>
      </c>
    </row>
    <row r="42" spans="6:11" ht="15.75" thickBot="1" x14ac:dyDescent="0.3">
      <c r="F42" s="187">
        <v>9</v>
      </c>
      <c r="G42" s="190" t="s">
        <v>252</v>
      </c>
      <c r="H42" s="188"/>
      <c r="I42" s="188"/>
      <c r="J42" s="199">
        <v>0.75251699999999999</v>
      </c>
    </row>
    <row r="43" spans="6:11" ht="13.5" thickTop="1" x14ac:dyDescent="0.2"/>
  </sheetData>
  <pageMargins left="0.25" right="0.25" top="0.75" bottom="0.75" header="0.3" footer="0.3"/>
  <pageSetup scale="67" orientation="landscape" r:id="rId1"/>
  <headerFooter>
    <oddFooter>&amp;L&amp;A
&amp;F&amp;RPage &amp;P of &amp;N</oddFooter>
  </headerFooter>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
  <sheetViews>
    <sheetView zoomScaleNormal="100" workbookViewId="0">
      <selection activeCell="S42" sqref="S42"/>
    </sheetView>
  </sheetViews>
  <sheetFormatPr defaultColWidth="9.28515625" defaultRowHeight="15" x14ac:dyDescent="0.2"/>
  <cols>
    <col min="1" max="1" width="19.28515625" style="128" bestFit="1" customWidth="1"/>
    <col min="2" max="2" width="11.5703125" style="128" bestFit="1" customWidth="1"/>
    <col min="3" max="22" width="10.28515625" style="128" bestFit="1" customWidth="1"/>
    <col min="23" max="23" width="12.7109375" style="128" bestFit="1" customWidth="1"/>
    <col min="24" max="16384" width="9.28515625" style="128"/>
  </cols>
  <sheetData>
    <row r="2" spans="1:23" x14ac:dyDescent="0.2">
      <c r="B2" s="129"/>
    </row>
    <row r="4" spans="1:23" x14ac:dyDescent="0.2">
      <c r="A4" s="130" t="s">
        <v>103</v>
      </c>
      <c r="B4" s="131">
        <v>1</v>
      </c>
      <c r="C4" s="131">
        <v>2</v>
      </c>
      <c r="D4" s="131">
        <v>3</v>
      </c>
      <c r="E4" s="131">
        <v>4</v>
      </c>
      <c r="F4" s="131">
        <v>5</v>
      </c>
      <c r="G4" s="131">
        <v>6</v>
      </c>
      <c r="H4" s="131">
        <v>7</v>
      </c>
      <c r="I4" s="131">
        <v>8</v>
      </c>
      <c r="J4" s="131">
        <v>9</v>
      </c>
      <c r="K4" s="131">
        <v>10</v>
      </c>
      <c r="L4" s="131">
        <v>11</v>
      </c>
      <c r="M4" s="131">
        <v>12</v>
      </c>
      <c r="N4" s="131">
        <v>13</v>
      </c>
      <c r="O4" s="131">
        <v>14</v>
      </c>
      <c r="P4" s="131">
        <v>15</v>
      </c>
      <c r="Q4" s="131">
        <v>16</v>
      </c>
      <c r="R4" s="131">
        <v>17</v>
      </c>
      <c r="S4" s="131">
        <v>18</v>
      </c>
      <c r="T4" s="131">
        <v>19</v>
      </c>
      <c r="U4" s="131">
        <v>20</v>
      </c>
      <c r="V4" s="131">
        <v>21</v>
      </c>
      <c r="W4" s="131" t="s">
        <v>104</v>
      </c>
    </row>
    <row r="5" spans="1:23" x14ac:dyDescent="0.2">
      <c r="A5" s="132" t="s">
        <v>105</v>
      </c>
      <c r="B5" s="133">
        <v>3.7499999999999999E-2</v>
      </c>
      <c r="C5" s="133">
        <v>7.2190000000000004E-2</v>
      </c>
      <c r="D5" s="133">
        <v>6.6769999999999996E-2</v>
      </c>
      <c r="E5" s="133">
        <v>6.1769999999999999E-2</v>
      </c>
      <c r="F5" s="133">
        <v>5.713E-2</v>
      </c>
      <c r="G5" s="133">
        <v>5.2850000000000001E-2</v>
      </c>
      <c r="H5" s="133">
        <v>4.888E-2</v>
      </c>
      <c r="I5" s="133">
        <v>4.5220000000000003E-2</v>
      </c>
      <c r="J5" s="133">
        <v>4.462E-2</v>
      </c>
      <c r="K5" s="133">
        <v>4.4610000000000004E-2</v>
      </c>
      <c r="L5" s="133">
        <v>4.462E-2</v>
      </c>
      <c r="M5" s="133">
        <v>4.4610000000000004E-2</v>
      </c>
      <c r="N5" s="133">
        <v>4.462E-2</v>
      </c>
      <c r="O5" s="133">
        <v>4.4610000000000004E-2</v>
      </c>
      <c r="P5" s="133">
        <v>4.462E-2</v>
      </c>
      <c r="Q5" s="133">
        <v>4.4610000000000004E-2</v>
      </c>
      <c r="R5" s="133">
        <v>4.462E-2</v>
      </c>
      <c r="S5" s="133">
        <v>4.4610000000000004E-2</v>
      </c>
      <c r="T5" s="133">
        <v>4.462E-2</v>
      </c>
      <c r="U5" s="133">
        <v>4.4610000000000004E-2</v>
      </c>
      <c r="V5" s="133">
        <v>2.231E-2</v>
      </c>
      <c r="W5" s="133">
        <f>SUM(B5:V5)</f>
        <v>1.0000000000000002</v>
      </c>
    </row>
    <row r="6" spans="1:23" x14ac:dyDescent="0.2">
      <c r="A6" s="132" t="s">
        <v>106</v>
      </c>
      <c r="B6" s="133">
        <f>B5*0.5+0.5</f>
        <v>0.51875000000000004</v>
      </c>
      <c r="C6" s="133">
        <f>C5*0.5</f>
        <v>3.6095000000000002E-2</v>
      </c>
      <c r="D6" s="133">
        <f t="shared" ref="D6:V6" si="0">D5*0.5</f>
        <v>3.3384999999999998E-2</v>
      </c>
      <c r="E6" s="133">
        <f t="shared" si="0"/>
        <v>3.0884999999999999E-2</v>
      </c>
      <c r="F6" s="133">
        <f t="shared" si="0"/>
        <v>2.8565E-2</v>
      </c>
      <c r="G6" s="133">
        <f t="shared" si="0"/>
        <v>2.6425000000000001E-2</v>
      </c>
      <c r="H6" s="133">
        <f t="shared" si="0"/>
        <v>2.444E-2</v>
      </c>
      <c r="I6" s="133">
        <f t="shared" si="0"/>
        <v>2.2610000000000002E-2</v>
      </c>
      <c r="J6" s="133">
        <f t="shared" si="0"/>
        <v>2.231E-2</v>
      </c>
      <c r="K6" s="133">
        <f t="shared" si="0"/>
        <v>2.2305000000000002E-2</v>
      </c>
      <c r="L6" s="133">
        <f t="shared" si="0"/>
        <v>2.231E-2</v>
      </c>
      <c r="M6" s="133">
        <f t="shared" si="0"/>
        <v>2.2305000000000002E-2</v>
      </c>
      <c r="N6" s="133">
        <f t="shared" si="0"/>
        <v>2.231E-2</v>
      </c>
      <c r="O6" s="133">
        <f t="shared" si="0"/>
        <v>2.2305000000000002E-2</v>
      </c>
      <c r="P6" s="133">
        <f t="shared" si="0"/>
        <v>2.231E-2</v>
      </c>
      <c r="Q6" s="133">
        <f t="shared" si="0"/>
        <v>2.2305000000000002E-2</v>
      </c>
      <c r="R6" s="133">
        <f t="shared" si="0"/>
        <v>2.231E-2</v>
      </c>
      <c r="S6" s="133">
        <f t="shared" si="0"/>
        <v>2.2305000000000002E-2</v>
      </c>
      <c r="T6" s="133">
        <f t="shared" si="0"/>
        <v>2.231E-2</v>
      </c>
      <c r="U6" s="133">
        <f t="shared" si="0"/>
        <v>2.2305000000000002E-2</v>
      </c>
      <c r="V6" s="133">
        <f t="shared" si="0"/>
        <v>1.1155E-2</v>
      </c>
      <c r="W6" s="133">
        <f>SUM(B6:V6)</f>
        <v>1.0000000000000004</v>
      </c>
    </row>
    <row r="7" spans="1:23" x14ac:dyDescent="0.2">
      <c r="A7" s="132" t="s">
        <v>107</v>
      </c>
      <c r="B7" s="133">
        <f>B5*0.6+0.4</f>
        <v>0.42250000000000004</v>
      </c>
      <c r="C7" s="133">
        <f>C5*0.6</f>
        <v>4.3313999999999998E-2</v>
      </c>
      <c r="D7" s="133">
        <f t="shared" ref="D7:V7" si="1">D5*0.6</f>
        <v>4.0061999999999993E-2</v>
      </c>
      <c r="E7" s="133">
        <f t="shared" si="1"/>
        <v>3.7061999999999998E-2</v>
      </c>
      <c r="F7" s="133">
        <f t="shared" si="1"/>
        <v>3.4277999999999996E-2</v>
      </c>
      <c r="G7" s="133">
        <f t="shared" si="1"/>
        <v>3.1710000000000002E-2</v>
      </c>
      <c r="H7" s="133">
        <f t="shared" si="1"/>
        <v>2.9328E-2</v>
      </c>
      <c r="I7" s="133">
        <f t="shared" si="1"/>
        <v>2.7132E-2</v>
      </c>
      <c r="J7" s="133">
        <f t="shared" si="1"/>
        <v>2.6772000000000001E-2</v>
      </c>
      <c r="K7" s="133">
        <f t="shared" si="1"/>
        <v>2.6766000000000002E-2</v>
      </c>
      <c r="L7" s="133">
        <f t="shared" si="1"/>
        <v>2.6772000000000001E-2</v>
      </c>
      <c r="M7" s="133">
        <f t="shared" si="1"/>
        <v>2.6766000000000002E-2</v>
      </c>
      <c r="N7" s="133">
        <f t="shared" si="1"/>
        <v>2.6772000000000001E-2</v>
      </c>
      <c r="O7" s="133">
        <f t="shared" si="1"/>
        <v>2.6766000000000002E-2</v>
      </c>
      <c r="P7" s="133">
        <f t="shared" si="1"/>
        <v>2.6772000000000001E-2</v>
      </c>
      <c r="Q7" s="133">
        <f t="shared" si="1"/>
        <v>2.6766000000000002E-2</v>
      </c>
      <c r="R7" s="133">
        <f t="shared" si="1"/>
        <v>2.6772000000000001E-2</v>
      </c>
      <c r="S7" s="133">
        <f t="shared" si="1"/>
        <v>2.6766000000000002E-2</v>
      </c>
      <c r="T7" s="133">
        <f t="shared" si="1"/>
        <v>2.6772000000000001E-2</v>
      </c>
      <c r="U7" s="133">
        <f t="shared" si="1"/>
        <v>2.6766000000000002E-2</v>
      </c>
      <c r="V7" s="133">
        <f t="shared" si="1"/>
        <v>1.3386E-2</v>
      </c>
      <c r="W7" s="133">
        <f>SUM(B7:V7)</f>
        <v>1</v>
      </c>
    </row>
  </sheetData>
  <pageMargins left="0.7" right="0.7" top="0.75" bottom="0.75" header="0.3" footer="0.3"/>
  <pageSetup scale="50" orientation="landscape" r:id="rId1"/>
  <headerFooter>
    <oddFooter>&amp;L&amp;A
&amp;F&amp;RPage &amp;P of &amp;N</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
  <sheetViews>
    <sheetView workbookViewId="0">
      <selection activeCell="E25" sqref="E25"/>
    </sheetView>
  </sheetViews>
  <sheetFormatPr defaultRowHeight="12.75" x14ac:dyDescent="0.2"/>
  <sheetData/>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8"/>
  <sheetViews>
    <sheetView tabSelected="1" zoomScale="90" zoomScaleNormal="90" workbookViewId="0">
      <pane xSplit="3" ySplit="9" topLeftCell="G10" activePane="bottomRight" state="frozenSplit"/>
      <selection activeCell="E14" sqref="E14"/>
      <selection pane="topRight" activeCell="E14" sqref="E14"/>
      <selection pane="bottomLeft" activeCell="E14" sqref="E14"/>
      <selection pane="bottomRight" activeCell="T23" sqref="T23"/>
    </sheetView>
  </sheetViews>
  <sheetFormatPr defaultColWidth="8.7109375" defaultRowHeight="15" x14ac:dyDescent="0.25"/>
  <cols>
    <col min="1" max="1" width="2.85546875" style="725" customWidth="1"/>
    <col min="2" max="2" width="37.5703125" style="725" customWidth="1"/>
    <col min="3" max="3" width="8.42578125" style="725" bestFit="1" customWidth="1"/>
    <col min="4" max="4" width="15" style="725" bestFit="1" customWidth="1"/>
    <col min="5" max="5" width="14.5703125" style="725" bestFit="1" customWidth="1"/>
    <col min="6" max="6" width="10.5703125" style="725" bestFit="1" customWidth="1"/>
    <col min="7" max="7" width="15" style="725" customWidth="1"/>
    <col min="8" max="9" width="14.5703125" style="725" bestFit="1" customWidth="1"/>
    <col min="10" max="11" width="13.28515625" style="725" bestFit="1" customWidth="1"/>
    <col min="12" max="12" width="12.140625" style="725" bestFit="1" customWidth="1"/>
    <col min="13" max="13" width="13.28515625" style="725" bestFit="1" customWidth="1"/>
    <col min="14" max="14" width="14" style="725" bestFit="1" customWidth="1"/>
    <col min="15" max="15" width="12.85546875" style="725" bestFit="1" customWidth="1"/>
    <col min="16" max="17" width="13.28515625" style="725" bestFit="1" customWidth="1"/>
    <col min="18" max="18" width="16.140625" style="725" bestFit="1" customWidth="1"/>
    <col min="19" max="19" width="13.28515625" style="725" bestFit="1" customWidth="1"/>
    <col min="20" max="20" width="7.85546875" style="725" bestFit="1" customWidth="1"/>
    <col min="21" max="21" width="13.7109375" style="725" bestFit="1" customWidth="1"/>
    <col min="22" max="16384" width="8.7109375" style="725"/>
  </cols>
  <sheetData>
    <row r="1" spans="2:21" x14ac:dyDescent="0.25">
      <c r="B1" s="724" t="s">
        <v>0</v>
      </c>
      <c r="C1" s="724"/>
      <c r="D1" s="724"/>
      <c r="E1" s="724"/>
      <c r="F1" s="724"/>
      <c r="G1" s="724"/>
      <c r="H1" s="724"/>
      <c r="I1" s="724"/>
      <c r="J1" s="724"/>
      <c r="K1" s="724"/>
      <c r="L1" s="724"/>
      <c r="M1" s="724"/>
      <c r="N1" s="724"/>
      <c r="O1" s="724"/>
      <c r="P1" s="724"/>
      <c r="Q1" s="724"/>
      <c r="R1" s="724"/>
      <c r="S1" s="724"/>
      <c r="T1" s="724"/>
    </row>
    <row r="2" spans="2:21" x14ac:dyDescent="0.25">
      <c r="B2" s="724" t="s">
        <v>457</v>
      </c>
      <c r="C2" s="724"/>
      <c r="D2" s="724"/>
      <c r="E2" s="724"/>
      <c r="F2" s="724"/>
      <c r="G2" s="724"/>
      <c r="H2" s="724"/>
      <c r="I2" s="724"/>
      <c r="J2" s="724"/>
      <c r="K2" s="724"/>
      <c r="L2" s="724"/>
      <c r="M2" s="724"/>
      <c r="N2" s="724"/>
      <c r="O2" s="724"/>
      <c r="P2" s="724"/>
      <c r="Q2" s="724"/>
      <c r="R2" s="724"/>
      <c r="S2" s="724"/>
      <c r="T2" s="724"/>
    </row>
    <row r="3" spans="2:21" x14ac:dyDescent="0.25">
      <c r="B3" s="726" t="s">
        <v>342</v>
      </c>
      <c r="C3" s="726"/>
      <c r="D3" s="726"/>
      <c r="E3" s="726"/>
      <c r="F3" s="726"/>
      <c r="G3" s="726"/>
      <c r="H3" s="726"/>
      <c r="I3" s="726"/>
      <c r="J3" s="726"/>
      <c r="K3" s="726"/>
      <c r="L3" s="726"/>
      <c r="M3" s="726"/>
      <c r="N3" s="726"/>
      <c r="O3" s="726"/>
      <c r="P3" s="726"/>
      <c r="Q3" s="726"/>
      <c r="R3" s="726"/>
      <c r="S3" s="726"/>
      <c r="T3" s="726"/>
    </row>
    <row r="4" spans="2:21" x14ac:dyDescent="0.25">
      <c r="B4" s="726" t="s">
        <v>343</v>
      </c>
      <c r="C4" s="726"/>
      <c r="D4" s="726"/>
      <c r="E4" s="726"/>
      <c r="F4" s="726"/>
      <c r="G4" s="726"/>
      <c r="H4" s="726"/>
      <c r="I4" s="726"/>
      <c r="J4" s="726"/>
      <c r="K4" s="726"/>
      <c r="L4" s="726"/>
      <c r="M4" s="726"/>
      <c r="N4" s="726"/>
      <c r="O4" s="726"/>
      <c r="P4" s="726"/>
      <c r="Q4" s="726"/>
      <c r="R4" s="726"/>
      <c r="S4" s="726"/>
      <c r="T4" s="726"/>
    </row>
    <row r="5" spans="2:21" x14ac:dyDescent="0.25">
      <c r="F5" s="727"/>
      <c r="N5" s="727"/>
      <c r="Q5" s="727"/>
    </row>
    <row r="6" spans="2:21" x14ac:dyDescent="0.25">
      <c r="F6" s="727"/>
      <c r="G6" s="728" t="s">
        <v>344</v>
      </c>
      <c r="N6" s="727"/>
      <c r="Q6" s="727"/>
    </row>
    <row r="7" spans="2:21" x14ac:dyDescent="0.25">
      <c r="B7" s="728"/>
      <c r="C7" s="728"/>
      <c r="D7" s="728" t="s">
        <v>345</v>
      </c>
      <c r="E7" s="728" t="s">
        <v>345</v>
      </c>
      <c r="F7" s="728" t="s">
        <v>346</v>
      </c>
      <c r="G7" s="728" t="s">
        <v>347</v>
      </c>
      <c r="H7" s="727"/>
      <c r="I7" s="728"/>
      <c r="J7" s="728"/>
      <c r="K7" s="728"/>
      <c r="L7" s="728"/>
      <c r="M7" s="728"/>
      <c r="N7" s="728"/>
      <c r="O7" s="728"/>
      <c r="P7" s="728"/>
      <c r="Q7" s="728"/>
      <c r="R7" s="729" t="s">
        <v>348</v>
      </c>
      <c r="S7" s="729" t="s">
        <v>349</v>
      </c>
      <c r="T7" s="728"/>
    </row>
    <row r="8" spans="2:21" x14ac:dyDescent="0.25">
      <c r="B8" s="728"/>
      <c r="C8" s="728" t="s">
        <v>350</v>
      </c>
      <c r="D8" s="728" t="s">
        <v>129</v>
      </c>
      <c r="E8" s="728" t="s">
        <v>351</v>
      </c>
      <c r="F8" s="728" t="s">
        <v>350</v>
      </c>
      <c r="G8" s="729" t="s">
        <v>352</v>
      </c>
      <c r="H8" s="727" t="s">
        <v>351</v>
      </c>
      <c r="I8" s="728" t="s">
        <v>353</v>
      </c>
      <c r="J8" s="728" t="s">
        <v>354</v>
      </c>
      <c r="K8" s="728" t="s">
        <v>355</v>
      </c>
      <c r="L8" s="728" t="s">
        <v>356</v>
      </c>
      <c r="M8" s="728" t="s">
        <v>357</v>
      </c>
      <c r="N8" s="728" t="s">
        <v>358</v>
      </c>
      <c r="O8" s="728" t="s">
        <v>359</v>
      </c>
      <c r="P8" s="728" t="s">
        <v>360</v>
      </c>
      <c r="Q8" s="728" t="s">
        <v>349</v>
      </c>
      <c r="R8" s="728" t="s">
        <v>361</v>
      </c>
      <c r="S8" s="728" t="s">
        <v>362</v>
      </c>
      <c r="T8" s="728" t="s">
        <v>144</v>
      </c>
    </row>
    <row r="9" spans="2:21" ht="17.25" x14ac:dyDescent="0.25">
      <c r="B9" s="730" t="s">
        <v>363</v>
      </c>
      <c r="C9" s="730" t="s">
        <v>162</v>
      </c>
      <c r="D9" s="730" t="s">
        <v>364</v>
      </c>
      <c r="E9" s="730" t="s">
        <v>365</v>
      </c>
      <c r="F9" s="730" t="s">
        <v>366</v>
      </c>
      <c r="G9" s="731" t="s">
        <v>367</v>
      </c>
      <c r="H9" s="730" t="s">
        <v>362</v>
      </c>
      <c r="I9" s="730" t="s">
        <v>362</v>
      </c>
      <c r="J9" s="730" t="s">
        <v>362</v>
      </c>
      <c r="K9" s="730" t="s">
        <v>362</v>
      </c>
      <c r="L9" s="730" t="s">
        <v>362</v>
      </c>
      <c r="M9" s="730" t="s">
        <v>362</v>
      </c>
      <c r="N9" s="730" t="s">
        <v>362</v>
      </c>
      <c r="O9" s="730" t="s">
        <v>362</v>
      </c>
      <c r="P9" s="730" t="s">
        <v>362</v>
      </c>
      <c r="Q9" s="730" t="s">
        <v>362</v>
      </c>
      <c r="R9" s="732" t="s">
        <v>368</v>
      </c>
      <c r="S9" s="730" t="s">
        <v>369</v>
      </c>
      <c r="T9" s="730" t="s">
        <v>369</v>
      </c>
    </row>
    <row r="10" spans="2:21" x14ac:dyDescent="0.25">
      <c r="B10" s="728" t="s">
        <v>370</v>
      </c>
      <c r="C10" s="728" t="s">
        <v>371</v>
      </c>
      <c r="D10" s="733" t="s">
        <v>372</v>
      </c>
      <c r="E10" s="734" t="s">
        <v>373</v>
      </c>
      <c r="F10" s="728" t="s">
        <v>374</v>
      </c>
      <c r="G10" s="728" t="s">
        <v>375</v>
      </c>
      <c r="H10" s="728" t="s">
        <v>376</v>
      </c>
      <c r="I10" s="728" t="s">
        <v>377</v>
      </c>
      <c r="J10" s="728" t="s">
        <v>378</v>
      </c>
      <c r="K10" s="728" t="s">
        <v>379</v>
      </c>
      <c r="L10" s="734" t="s">
        <v>380</v>
      </c>
      <c r="M10" s="728" t="s">
        <v>381</v>
      </c>
      <c r="N10" s="734" t="s">
        <v>382</v>
      </c>
      <c r="O10" s="734" t="s">
        <v>383</v>
      </c>
      <c r="P10" s="734" t="s">
        <v>384</v>
      </c>
      <c r="Q10" s="728" t="s">
        <v>385</v>
      </c>
      <c r="R10" s="735" t="s">
        <v>386</v>
      </c>
      <c r="S10" s="728" t="s">
        <v>387</v>
      </c>
      <c r="T10" s="728" t="s">
        <v>388</v>
      </c>
    </row>
    <row r="11" spans="2:21" x14ac:dyDescent="0.25">
      <c r="B11" s="725" t="s">
        <v>127</v>
      </c>
      <c r="C11" s="727" t="s">
        <v>389</v>
      </c>
      <c r="D11" s="736">
        <v>609248315.15931809</v>
      </c>
      <c r="E11" s="743">
        <v>363968434.35868043</v>
      </c>
      <c r="F11" s="738">
        <f t="shared" ref="F11:F16" si="0">(E11)/D11</f>
        <v>0.59740572981888818</v>
      </c>
      <c r="G11" s="823">
        <v>592785009</v>
      </c>
      <c r="H11" s="739">
        <f>F11*G11</f>
        <v>354133160.92734122</v>
      </c>
      <c r="I11" s="743">
        <v>274696573.17000002</v>
      </c>
      <c r="J11" s="743">
        <v>15519111.539999999</v>
      </c>
      <c r="K11" s="743">
        <v>14025293.31294</v>
      </c>
      <c r="L11" s="743">
        <v>2163665.2828500001</v>
      </c>
      <c r="M11" s="743">
        <v>14001581.912580002</v>
      </c>
      <c r="N11" s="743">
        <v>1861344.92826</v>
      </c>
      <c r="O11" s="743">
        <v>-812115.46232999989</v>
      </c>
      <c r="P11" s="743">
        <v>9881726.0999999996</v>
      </c>
      <c r="Q11" s="737">
        <f>'Sch. 149'!F9</f>
        <v>13385085.503219999</v>
      </c>
      <c r="R11" s="740">
        <f t="shared" ref="R11:R23" si="1">SUM(H11:Q11)</f>
        <v>698855427.21486127</v>
      </c>
      <c r="S11" s="737">
        <f>'Sch. 149'!H9</f>
        <v>3444080.9022900015</v>
      </c>
      <c r="T11" s="741">
        <f>S11/R11</f>
        <v>4.9281736510448934E-3</v>
      </c>
      <c r="U11" s="742"/>
    </row>
    <row r="12" spans="2:21" x14ac:dyDescent="0.25">
      <c r="B12" s="725" t="s">
        <v>390</v>
      </c>
      <c r="C12" s="727">
        <v>16</v>
      </c>
      <c r="D12" s="736">
        <v>9386</v>
      </c>
      <c r="E12" s="743">
        <v>5552.56</v>
      </c>
      <c r="F12" s="738">
        <f t="shared" si="0"/>
        <v>0.59157894736842109</v>
      </c>
      <c r="G12" s="823">
        <v>7068</v>
      </c>
      <c r="H12" s="739">
        <f t="shared" ref="H12:H23" si="2">F12*G12</f>
        <v>4181.2800000000007</v>
      </c>
      <c r="I12" s="743">
        <v>3275.31</v>
      </c>
      <c r="J12" s="743">
        <v>185.04</v>
      </c>
      <c r="K12" s="743">
        <v>167.22888</v>
      </c>
      <c r="L12" s="743"/>
      <c r="M12" s="743">
        <v>166.94616000000002</v>
      </c>
      <c r="N12" s="743">
        <v>22.193519999999999</v>
      </c>
      <c r="O12" s="743">
        <v>-9.6831599999999991</v>
      </c>
      <c r="P12" s="743"/>
      <c r="Q12" s="737">
        <f>'Sch. 149'!F10</f>
        <v>159.59544</v>
      </c>
      <c r="R12" s="740">
        <f t="shared" si="1"/>
        <v>8147.9108400000005</v>
      </c>
      <c r="S12" s="737">
        <f>'Sch. 149'!H10</f>
        <v>41.065079999999995</v>
      </c>
      <c r="T12" s="741">
        <f t="shared" ref="T12:T24" si="3">S12/R12</f>
        <v>5.0399520572073407E-3</v>
      </c>
      <c r="U12" s="742"/>
    </row>
    <row r="13" spans="2:21" x14ac:dyDescent="0.25">
      <c r="B13" s="725" t="s">
        <v>391</v>
      </c>
      <c r="C13" s="727">
        <v>31</v>
      </c>
      <c r="D13" s="736">
        <v>234140158.08963937</v>
      </c>
      <c r="E13" s="743">
        <v>115517786.53999999</v>
      </c>
      <c r="F13" s="738">
        <f t="shared" si="0"/>
        <v>0.49337024234763949</v>
      </c>
      <c r="G13" s="823">
        <v>239317160</v>
      </c>
      <c r="H13" s="739">
        <f t="shared" si="2"/>
        <v>118071965.22714882</v>
      </c>
      <c r="I13" s="743">
        <v>109037684.44</v>
      </c>
      <c r="J13" s="743">
        <v>6255750.5599999996</v>
      </c>
      <c r="K13" s="743">
        <v>5662244.0055999998</v>
      </c>
      <c r="L13" s="743">
        <v>737096.85279999999</v>
      </c>
      <c r="M13" s="743">
        <v>6066690.0060000001</v>
      </c>
      <c r="N13" s="743">
        <v>847182.74640000006</v>
      </c>
      <c r="O13" s="743">
        <v>-351796.22519999999</v>
      </c>
      <c r="P13" s="743">
        <v>3802749.67</v>
      </c>
      <c r="Q13" s="737">
        <f>'Sch. 149'!F11</f>
        <v>5915920.1952</v>
      </c>
      <c r="R13" s="740">
        <f t="shared" si="1"/>
        <v>256045487.47794884</v>
      </c>
      <c r="S13" s="737">
        <f>'Sch. 149'!H11</f>
        <v>909405.20799999963</v>
      </c>
      <c r="T13" s="741">
        <f>S13/R13</f>
        <v>3.5517330024350435E-3</v>
      </c>
      <c r="U13" s="742"/>
    </row>
    <row r="14" spans="2:21" x14ac:dyDescent="0.25">
      <c r="B14" s="725" t="s">
        <v>392</v>
      </c>
      <c r="C14" s="727">
        <v>41</v>
      </c>
      <c r="D14" s="736">
        <v>65836657.463465497</v>
      </c>
      <c r="E14" s="743">
        <v>16636904.087507829</v>
      </c>
      <c r="F14" s="738">
        <f t="shared" si="0"/>
        <v>0.25269970755638815</v>
      </c>
      <c r="G14" s="823">
        <v>65277168</v>
      </c>
      <c r="H14" s="739">
        <f t="shared" si="2"/>
        <v>16495521.263709219</v>
      </c>
      <c r="I14" s="743">
        <v>27371565.66</v>
      </c>
      <c r="J14" s="743">
        <v>1699164.68</v>
      </c>
      <c r="K14" s="743">
        <v>1544457.7948799999</v>
      </c>
      <c r="L14" s="743">
        <v>97262.980320000002</v>
      </c>
      <c r="M14" s="743">
        <v>568564.13327999995</v>
      </c>
      <c r="N14" s="743">
        <v>86818.633440000005</v>
      </c>
      <c r="O14" s="743">
        <v>-36555.214079999998</v>
      </c>
      <c r="P14" s="743">
        <v>-1302428.1099999999</v>
      </c>
      <c r="Q14" s="737">
        <f>'Sch. 149'!F12</f>
        <v>734368.14</v>
      </c>
      <c r="R14" s="740">
        <f t="shared" si="1"/>
        <v>47258739.96154923</v>
      </c>
      <c r="S14" s="737">
        <f>'Sch. 149'!H12</f>
        <v>155359.65983999998</v>
      </c>
      <c r="T14" s="741">
        <f t="shared" si="3"/>
        <v>3.2874270445298389E-3</v>
      </c>
      <c r="U14" s="742"/>
    </row>
    <row r="15" spans="2:21" x14ac:dyDescent="0.25">
      <c r="B15" s="725" t="s">
        <v>130</v>
      </c>
      <c r="C15" s="727">
        <v>85</v>
      </c>
      <c r="D15" s="736">
        <v>16184434.068649083</v>
      </c>
      <c r="E15" s="743">
        <v>1697295.0899999999</v>
      </c>
      <c r="F15" s="738">
        <f t="shared" si="0"/>
        <v>0.1048720692240846</v>
      </c>
      <c r="G15" s="823">
        <v>12864575</v>
      </c>
      <c r="H15" s="739">
        <f t="shared" si="2"/>
        <v>1349134.599938428</v>
      </c>
      <c r="I15" s="743">
        <v>5076158.8699999992</v>
      </c>
      <c r="J15" s="743">
        <v>333835.71999999997</v>
      </c>
      <c r="K15" s="743">
        <v>264624.30775000004</v>
      </c>
      <c r="L15" s="743">
        <v>9551.1572959164878</v>
      </c>
      <c r="M15" s="743">
        <v>60206.211000000003</v>
      </c>
      <c r="N15" s="743">
        <v>10420.30575</v>
      </c>
      <c r="O15" s="743">
        <v>-3473.43525</v>
      </c>
      <c r="P15" s="743"/>
      <c r="Q15" s="737">
        <f>'Sch. 149'!F13</f>
        <v>86321.298249999993</v>
      </c>
      <c r="R15" s="740">
        <f t="shared" si="1"/>
        <v>7186779.0347343432</v>
      </c>
      <c r="S15" s="737">
        <f>'Sch. 149'!H13</f>
        <v>3602.0810000000056</v>
      </c>
      <c r="T15" s="741">
        <f t="shared" si="3"/>
        <v>5.0120937106745971E-4</v>
      </c>
      <c r="U15" s="742"/>
    </row>
    <row r="16" spans="2:21" x14ac:dyDescent="0.25">
      <c r="B16" s="725" t="s">
        <v>393</v>
      </c>
      <c r="C16" s="727">
        <v>86</v>
      </c>
      <c r="D16" s="736">
        <v>9397200.2729263548</v>
      </c>
      <c r="E16" s="743">
        <v>1991938.09</v>
      </c>
      <c r="F16" s="738">
        <f t="shared" si="0"/>
        <v>0.21197144172172638</v>
      </c>
      <c r="G16" s="823">
        <v>5457791</v>
      </c>
      <c r="H16" s="739">
        <f t="shared" si="2"/>
        <v>1156895.8268858627</v>
      </c>
      <c r="I16" s="743">
        <v>2224593.5499999998</v>
      </c>
      <c r="J16" s="743">
        <v>141793.41</v>
      </c>
      <c r="K16" s="743">
        <v>112266.76087000001</v>
      </c>
      <c r="L16" s="743">
        <v>7149.7062099999994</v>
      </c>
      <c r="M16" s="743">
        <v>41752.101150000002</v>
      </c>
      <c r="N16" s="743">
        <v>6658.5050199999996</v>
      </c>
      <c r="O16" s="743">
        <v>-1801.0710300000001</v>
      </c>
      <c r="P16" s="743">
        <v>-90657.54</v>
      </c>
      <c r="Q16" s="737">
        <f>'Sch. 149'!F14</f>
        <v>46172.91186</v>
      </c>
      <c r="R16" s="740">
        <f t="shared" si="1"/>
        <v>3644824.1609658622</v>
      </c>
      <c r="S16" s="737">
        <f>'Sch. 149'!H14</f>
        <v>7422.5957600000038</v>
      </c>
      <c r="T16" s="741">
        <f t="shared" si="3"/>
        <v>2.0364756795381452E-3</v>
      </c>
      <c r="U16" s="742"/>
    </row>
    <row r="17" spans="2:21" x14ac:dyDescent="0.25">
      <c r="B17" s="725" t="s">
        <v>394</v>
      </c>
      <c r="C17" s="727">
        <v>87</v>
      </c>
      <c r="D17" s="736">
        <v>23337042.118500695</v>
      </c>
      <c r="E17" s="743">
        <v>1376677.9799999997</v>
      </c>
      <c r="F17" s="738">
        <f>(E17)/D17</f>
        <v>5.8991108342244594E-2</v>
      </c>
      <c r="G17" s="823">
        <v>15634790</v>
      </c>
      <c r="H17" s="739">
        <f t="shared" si="2"/>
        <v>922313.59079824237</v>
      </c>
      <c r="I17" s="743">
        <v>6207167.9800000004</v>
      </c>
      <c r="J17" s="743">
        <v>405722.8</v>
      </c>
      <c r="K17" s="743">
        <v>321607.63030000002</v>
      </c>
      <c r="L17" s="743">
        <v>4611.2253512993957</v>
      </c>
      <c r="M17" s="743">
        <v>37523.496000000006</v>
      </c>
      <c r="N17" s="743">
        <v>6722.9596999999994</v>
      </c>
      <c r="O17" s="743">
        <v>-2188.8705999999997</v>
      </c>
      <c r="P17" s="743"/>
      <c r="Q17" s="737">
        <f>'Sch. 149'!F15</f>
        <v>58474.114600000001</v>
      </c>
      <c r="R17" s="740">
        <f t="shared" si="1"/>
        <v>7961954.9261495415</v>
      </c>
      <c r="S17" s="737">
        <f>'Sch. 149'!H15</f>
        <v>1094.4352999999974</v>
      </c>
      <c r="T17" s="741">
        <f t="shared" si="3"/>
        <v>1.3745811300758948E-4</v>
      </c>
      <c r="U17" s="742"/>
    </row>
    <row r="18" spans="2:21" x14ac:dyDescent="0.25">
      <c r="B18" s="725" t="s">
        <v>395</v>
      </c>
      <c r="C18" s="727" t="s">
        <v>163</v>
      </c>
      <c r="D18" s="736">
        <v>36359.963605097219</v>
      </c>
      <c r="E18" s="743">
        <v>25086.03</v>
      </c>
      <c r="F18" s="738">
        <f>(E18)/D18</f>
        <v>0.68993550907964185</v>
      </c>
      <c r="G18" s="823">
        <v>35371</v>
      </c>
      <c r="H18" s="739">
        <f t="shared" si="2"/>
        <v>24403.708891656013</v>
      </c>
      <c r="I18" s="743"/>
      <c r="J18" s="743"/>
      <c r="K18" s="743"/>
      <c r="L18" s="743">
        <v>108.94268</v>
      </c>
      <c r="M18" s="743">
        <v>896.65485000000001</v>
      </c>
      <c r="N18" s="743">
        <v>125.21334</v>
      </c>
      <c r="O18" s="743">
        <v>-51.995370000000001</v>
      </c>
      <c r="P18" s="743">
        <v>542.59</v>
      </c>
      <c r="Q18" s="737">
        <f>'Sch. 149'!F16</f>
        <v>874.37111999999991</v>
      </c>
      <c r="R18" s="740">
        <f t="shared" si="1"/>
        <v>26899.48551165601</v>
      </c>
      <c r="S18" s="737">
        <f>'Sch. 149'!H16</f>
        <v>134.40980000000013</v>
      </c>
      <c r="T18" s="741">
        <f t="shared" si="3"/>
        <v>4.9967424076478358E-3</v>
      </c>
      <c r="U18" s="742"/>
    </row>
    <row r="19" spans="2:21" x14ac:dyDescent="0.25">
      <c r="B19" s="725" t="s">
        <v>396</v>
      </c>
      <c r="C19" s="727" t="s">
        <v>164</v>
      </c>
      <c r="D19" s="736">
        <v>20492334.449073859</v>
      </c>
      <c r="E19" s="743">
        <v>4384305.3758256389</v>
      </c>
      <c r="F19" s="738">
        <f t="shared" ref="F19:F24" si="4">(E19)/D19</f>
        <v>0.21394855655519449</v>
      </c>
      <c r="G19" s="823">
        <v>23550670</v>
      </c>
      <c r="H19" s="739">
        <f>F19*G19</f>
        <v>5038631.8524077218</v>
      </c>
      <c r="I19" s="743"/>
      <c r="J19" s="743"/>
      <c r="K19" s="743"/>
      <c r="L19" s="743">
        <v>35090.498299999999</v>
      </c>
      <c r="M19" s="743">
        <v>205126.33569999997</v>
      </c>
      <c r="N19" s="743">
        <v>31322.391100000001</v>
      </c>
      <c r="O19" s="743">
        <v>-13188.375199999999</v>
      </c>
      <c r="P19" s="743">
        <v>-403493.25</v>
      </c>
      <c r="Q19" s="737">
        <f>'Sch. 149'!F17</f>
        <v>264945.03749999998</v>
      </c>
      <c r="R19" s="740">
        <f t="shared" si="1"/>
        <v>5158434.4898077212</v>
      </c>
      <c r="S19" s="737">
        <f>'Sch. 149'!H17</f>
        <v>56050.594600000011</v>
      </c>
      <c r="T19" s="741">
        <f t="shared" si="3"/>
        <v>1.0865814950397727E-2</v>
      </c>
      <c r="U19" s="742"/>
    </row>
    <row r="20" spans="2:21" x14ac:dyDescent="0.25">
      <c r="B20" s="725" t="s">
        <v>397</v>
      </c>
      <c r="C20" s="727" t="s">
        <v>165</v>
      </c>
      <c r="D20" s="736">
        <v>74773537.134971082</v>
      </c>
      <c r="E20" s="743">
        <v>7487912.2400000002</v>
      </c>
      <c r="F20" s="738">
        <f t="shared" si="4"/>
        <v>0.10014120672777367</v>
      </c>
      <c r="G20" s="823">
        <v>73347355</v>
      </c>
      <c r="H20" s="739">
        <f t="shared" si="2"/>
        <v>7345092.6399904042</v>
      </c>
      <c r="I20" s="743"/>
      <c r="J20" s="743"/>
      <c r="K20" s="743"/>
      <c r="L20" s="743">
        <v>49849.357770261704</v>
      </c>
      <c r="M20" s="743">
        <v>343265.6214</v>
      </c>
      <c r="N20" s="743">
        <v>59411.357549999993</v>
      </c>
      <c r="O20" s="743">
        <v>-19803.78585</v>
      </c>
      <c r="P20" s="743"/>
      <c r="Q20" s="737">
        <f>'Sch. 149'!F18</f>
        <v>492160.75205000001</v>
      </c>
      <c r="R20" s="740">
        <f t="shared" si="1"/>
        <v>8269975.9429106656</v>
      </c>
      <c r="S20" s="737">
        <f>'Sch. 149'!H18</f>
        <v>20537.259399999981</v>
      </c>
      <c r="T20" s="741">
        <f t="shared" si="3"/>
        <v>2.4833517705218104E-3</v>
      </c>
      <c r="U20" s="742"/>
    </row>
    <row r="21" spans="2:21" x14ac:dyDescent="0.25">
      <c r="B21" s="725" t="s">
        <v>398</v>
      </c>
      <c r="C21" s="727" t="s">
        <v>166</v>
      </c>
      <c r="D21" s="736">
        <v>351288.14999999997</v>
      </c>
      <c r="E21" s="743">
        <v>70256.2</v>
      </c>
      <c r="F21" s="738">
        <f t="shared" si="4"/>
        <v>0.19999592926775356</v>
      </c>
      <c r="G21" s="823">
        <v>1280916</v>
      </c>
      <c r="H21" s="739">
        <f t="shared" si="2"/>
        <v>256177.98573393381</v>
      </c>
      <c r="I21" s="743"/>
      <c r="J21" s="743"/>
      <c r="K21" s="743"/>
      <c r="L21" s="743">
        <v>1677.9999599999999</v>
      </c>
      <c r="M21" s="743">
        <v>9799.0074000000004</v>
      </c>
      <c r="N21" s="743">
        <v>1562.7175199999999</v>
      </c>
      <c r="O21" s="743">
        <v>-422.70227999999997</v>
      </c>
      <c r="P21" s="743">
        <v>-20179.39</v>
      </c>
      <c r="Q21" s="737">
        <f>'Sch. 149'!F19</f>
        <v>10836.549360000001</v>
      </c>
      <c r="R21" s="740">
        <f t="shared" si="1"/>
        <v>259452.16769393376</v>
      </c>
      <c r="S21" s="737">
        <f>'Sch. 149'!H19</f>
        <v>1742.0457599999991</v>
      </c>
      <c r="T21" s="741">
        <f t="shared" si="3"/>
        <v>6.7143233971936854E-3</v>
      </c>
      <c r="U21" s="742"/>
    </row>
    <row r="22" spans="2:21" x14ac:dyDescent="0.25">
      <c r="B22" s="725" t="s">
        <v>399</v>
      </c>
      <c r="C22" s="727" t="s">
        <v>167</v>
      </c>
      <c r="D22" s="736">
        <v>100441128.37470125</v>
      </c>
      <c r="E22" s="743">
        <v>4338586.3099999996</v>
      </c>
      <c r="F22" s="738">
        <f>(E22)/D22</f>
        <v>4.3195316303244434E-2</v>
      </c>
      <c r="G22" s="823">
        <v>103795280</v>
      </c>
      <c r="H22" s="739">
        <f t="shared" si="2"/>
        <v>4483469.9503838206</v>
      </c>
      <c r="I22" s="743"/>
      <c r="J22" s="743"/>
      <c r="K22" s="743"/>
      <c r="L22" s="743">
        <v>24726.839630329421</v>
      </c>
      <c r="M22" s="743">
        <v>249108.67200000002</v>
      </c>
      <c r="N22" s="743">
        <v>44631.970399999998</v>
      </c>
      <c r="O22" s="743">
        <v>-14531.339199999999</v>
      </c>
      <c r="P22" s="743"/>
      <c r="Q22" s="737">
        <f>'Sch. 149'!F20</f>
        <v>388194.34719999996</v>
      </c>
      <c r="R22" s="740">
        <f t="shared" si="1"/>
        <v>5175600.4404141493</v>
      </c>
      <c r="S22" s="737">
        <f>'Sch. 149'!H20</f>
        <v>7265.6696000000229</v>
      </c>
      <c r="T22" s="741">
        <f t="shared" si="3"/>
        <v>1.4038312430892806E-3</v>
      </c>
      <c r="U22" s="742"/>
    </row>
    <row r="23" spans="2:21" x14ac:dyDescent="0.25">
      <c r="B23" s="725" t="s">
        <v>131</v>
      </c>
      <c r="D23" s="736">
        <v>37056427.854413897</v>
      </c>
      <c r="E23" s="743">
        <v>1757519.5213237838</v>
      </c>
      <c r="F23" s="744">
        <f t="shared" si="4"/>
        <v>4.7428195945617584E-2</v>
      </c>
      <c r="G23" s="823">
        <v>36911044</v>
      </c>
      <c r="H23" s="739">
        <f t="shared" si="2"/>
        <v>1750624.2273893123</v>
      </c>
      <c r="I23" s="743"/>
      <c r="J23" s="743"/>
      <c r="K23" s="743"/>
      <c r="L23" s="743"/>
      <c r="M23" s="743">
        <v>43555.031920000001</v>
      </c>
      <c r="N23" s="743">
        <v>7751.3192400000007</v>
      </c>
      <c r="O23" s="743">
        <v>-2583.7730799999999</v>
      </c>
      <c r="P23" s="743"/>
      <c r="Q23" s="737">
        <f>'Sch. 149'!F21</f>
        <v>34327.270920000003</v>
      </c>
      <c r="R23" s="740">
        <f t="shared" si="1"/>
        <v>1833674.0763893125</v>
      </c>
      <c r="S23" s="737">
        <f>'Sch. 149'!H21</f>
        <v>0</v>
      </c>
      <c r="T23" s="741">
        <f t="shared" si="3"/>
        <v>0</v>
      </c>
      <c r="U23" s="742"/>
    </row>
    <row r="24" spans="2:21" x14ac:dyDescent="0.25">
      <c r="B24" s="725" t="s">
        <v>90</v>
      </c>
      <c r="D24" s="745">
        <f>SUM(D11:D23)</f>
        <v>1191304269.0992641</v>
      </c>
      <c r="E24" s="746">
        <f>SUM(E11:E23)</f>
        <v>519258254.38333762</v>
      </c>
      <c r="F24" s="738">
        <f t="shared" si="4"/>
        <v>0.43587374598761802</v>
      </c>
      <c r="G24" s="745">
        <f>SUM(G11:G23)</f>
        <v>1170264197</v>
      </c>
      <c r="H24" s="746">
        <f>SUM(H11:H23)</f>
        <v>511031573.08061868</v>
      </c>
      <c r="I24" s="746">
        <f t="shared" ref="I24:K24" si="5">SUM(I11:I23)</f>
        <v>424617018.98000008</v>
      </c>
      <c r="J24" s="746">
        <f t="shared" si="5"/>
        <v>24355563.749999996</v>
      </c>
      <c r="K24" s="746">
        <f t="shared" si="5"/>
        <v>21930661.041219998</v>
      </c>
      <c r="L24" s="746">
        <f>SUM(L11:L23)</f>
        <v>3130790.8431678079</v>
      </c>
      <c r="M24" s="746">
        <f>SUM(M11:M23)</f>
        <v>21628236.129439998</v>
      </c>
      <c r="N24" s="746">
        <f>SUM(N11:N23)</f>
        <v>2963975.2412399999</v>
      </c>
      <c r="O24" s="746">
        <f>SUM(O11:O23)</f>
        <v>-1258521.9326299999</v>
      </c>
      <c r="P24" s="746">
        <f t="shared" ref="P24:R24" si="6">SUM(P11:P23)</f>
        <v>11868260.07</v>
      </c>
      <c r="Q24" s="746">
        <f t="shared" si="6"/>
        <v>21417840.086720001</v>
      </c>
      <c r="R24" s="747">
        <f t="shared" si="6"/>
        <v>1041685397.2897767</v>
      </c>
      <c r="S24" s="746">
        <f>SUM(S11:S23)</f>
        <v>4606735.9264300009</v>
      </c>
      <c r="T24" s="748">
        <f t="shared" si="3"/>
        <v>4.4223869686717864E-3</v>
      </c>
      <c r="U24" s="742"/>
    </row>
    <row r="25" spans="2:21" x14ac:dyDescent="0.25">
      <c r="D25" s="749"/>
      <c r="E25" s="739"/>
      <c r="G25" s="749"/>
      <c r="L25" s="739"/>
      <c r="O25" s="739"/>
      <c r="P25" s="739"/>
      <c r="R25" s="739"/>
      <c r="T25" s="750"/>
    </row>
    <row r="26" spans="2:21" s="755" customFormat="1" x14ac:dyDescent="0.25">
      <c r="B26" s="751" t="s">
        <v>400</v>
      </c>
      <c r="C26" s="752"/>
      <c r="D26" s="753"/>
      <c r="E26" s="754"/>
      <c r="S26" s="756"/>
      <c r="T26" s="757"/>
    </row>
    <row r="27" spans="2:21" s="755" customFormat="1" x14ac:dyDescent="0.25">
      <c r="B27" s="758" t="s">
        <v>127</v>
      </c>
      <c r="C27" s="759" t="s">
        <v>401</v>
      </c>
      <c r="D27" s="760">
        <f>D11+D12</f>
        <v>609257701.15931809</v>
      </c>
      <c r="E27" s="761">
        <f>E11+E12</f>
        <v>363973986.91868043</v>
      </c>
      <c r="F27" s="738">
        <f t="shared" ref="F27:F34" si="7">(E27)/D27</f>
        <v>0.5974056400536214</v>
      </c>
      <c r="G27" s="762">
        <f>G11+G12</f>
        <v>592792077</v>
      </c>
      <c r="H27" s="761">
        <f>H11+H12</f>
        <v>354137342.20734119</v>
      </c>
      <c r="I27" s="761">
        <f t="shared" ref="I27:Q27" si="8">I11+I12</f>
        <v>274699848.48000002</v>
      </c>
      <c r="J27" s="761">
        <f t="shared" si="8"/>
        <v>15519296.579999998</v>
      </c>
      <c r="K27" s="761">
        <f t="shared" si="8"/>
        <v>14025460.541819999</v>
      </c>
      <c r="L27" s="761">
        <f t="shared" si="8"/>
        <v>2163665.2828500001</v>
      </c>
      <c r="M27" s="761">
        <f t="shared" si="8"/>
        <v>14001748.858740002</v>
      </c>
      <c r="N27" s="761">
        <f t="shared" si="8"/>
        <v>1861367.1217799999</v>
      </c>
      <c r="O27" s="761">
        <f t="shared" si="8"/>
        <v>-812125.14548999991</v>
      </c>
      <c r="P27" s="761">
        <f t="shared" si="8"/>
        <v>9881726.0999999996</v>
      </c>
      <c r="Q27" s="761">
        <f t="shared" si="8"/>
        <v>13385245.09866</v>
      </c>
      <c r="R27" s="761">
        <f>R11+R12</f>
        <v>698863575.12570131</v>
      </c>
      <c r="S27" s="739">
        <f>SUM(S11:S12)</f>
        <v>3444121.9673700016</v>
      </c>
      <c r="T27" s="741">
        <f t="shared" ref="T27:T34" si="9">S27/R27</f>
        <v>4.9281749542470056E-3</v>
      </c>
      <c r="U27" s="763"/>
    </row>
    <row r="28" spans="2:21" s="755" customFormat="1" x14ac:dyDescent="0.25">
      <c r="B28" s="764" t="s">
        <v>402</v>
      </c>
      <c r="C28" s="759" t="s">
        <v>403</v>
      </c>
      <c r="D28" s="760">
        <f>D13+D18</f>
        <v>234176518.05324447</v>
      </c>
      <c r="E28" s="761">
        <f>E13+E18</f>
        <v>115542872.56999999</v>
      </c>
      <c r="F28" s="738">
        <f t="shared" si="7"/>
        <v>0.49340076251252968</v>
      </c>
      <c r="G28" s="762">
        <f t="shared" ref="G28:Q32" si="10">G13+G18</f>
        <v>239352531</v>
      </c>
      <c r="H28" s="761">
        <f t="shared" si="10"/>
        <v>118096368.93604048</v>
      </c>
      <c r="I28" s="761">
        <f t="shared" si="10"/>
        <v>109037684.44</v>
      </c>
      <c r="J28" s="761">
        <f t="shared" si="10"/>
        <v>6255750.5599999996</v>
      </c>
      <c r="K28" s="761">
        <f t="shared" si="10"/>
        <v>5662244.0055999998</v>
      </c>
      <c r="L28" s="761">
        <f t="shared" si="10"/>
        <v>737205.79547999997</v>
      </c>
      <c r="M28" s="761">
        <f t="shared" si="10"/>
        <v>6067586.6608499996</v>
      </c>
      <c r="N28" s="761">
        <f t="shared" si="10"/>
        <v>847307.95974000008</v>
      </c>
      <c r="O28" s="761">
        <f t="shared" si="10"/>
        <v>-351848.22057</v>
      </c>
      <c r="P28" s="761">
        <f t="shared" si="10"/>
        <v>3803292.26</v>
      </c>
      <c r="Q28" s="761">
        <f t="shared" si="10"/>
        <v>5916794.5663200002</v>
      </c>
      <c r="R28" s="761">
        <f>R13+R18</f>
        <v>256072386.96346051</v>
      </c>
      <c r="S28" s="739">
        <f>SUM(S13,S18)</f>
        <v>909539.61779999966</v>
      </c>
      <c r="T28" s="741">
        <f t="shared" si="9"/>
        <v>3.5518847954886432E-3</v>
      </c>
    </row>
    <row r="29" spans="2:21" s="755" customFormat="1" x14ac:dyDescent="0.25">
      <c r="B29" s="758" t="s">
        <v>404</v>
      </c>
      <c r="C29" s="759" t="s">
        <v>405</v>
      </c>
      <c r="D29" s="760">
        <f t="shared" ref="D29:E32" si="11">D14+D19</f>
        <v>86328991.912539363</v>
      </c>
      <c r="E29" s="761">
        <f t="shared" si="11"/>
        <v>21021209.463333469</v>
      </c>
      <c r="F29" s="738">
        <f t="shared" si="7"/>
        <v>0.24350115757902321</v>
      </c>
      <c r="G29" s="762">
        <f t="shared" si="10"/>
        <v>88827838</v>
      </c>
      <c r="H29" s="761">
        <f t="shared" si="10"/>
        <v>21534153.116116941</v>
      </c>
      <c r="I29" s="761">
        <f t="shared" si="10"/>
        <v>27371565.66</v>
      </c>
      <c r="J29" s="761">
        <f t="shared" si="10"/>
        <v>1699164.68</v>
      </c>
      <c r="K29" s="761">
        <f t="shared" si="10"/>
        <v>1544457.7948799999</v>
      </c>
      <c r="L29" s="761">
        <f t="shared" si="10"/>
        <v>132353.47862000001</v>
      </c>
      <c r="M29" s="761">
        <f t="shared" si="10"/>
        <v>773690.46897999989</v>
      </c>
      <c r="N29" s="761">
        <f t="shared" si="10"/>
        <v>118141.02454000001</v>
      </c>
      <c r="O29" s="761">
        <f t="shared" si="10"/>
        <v>-49743.58928</v>
      </c>
      <c r="P29" s="761">
        <f t="shared" si="10"/>
        <v>-1705921.3599999999</v>
      </c>
      <c r="Q29" s="761">
        <f t="shared" si="10"/>
        <v>999313.17749999999</v>
      </c>
      <c r="R29" s="761">
        <f>R14+R19</f>
        <v>52417174.451356947</v>
      </c>
      <c r="S29" s="739">
        <f>SUM(S14,S19)</f>
        <v>211410.25443999999</v>
      </c>
      <c r="T29" s="741">
        <f t="shared" si="9"/>
        <v>4.0332249239452686E-3</v>
      </c>
    </row>
    <row r="30" spans="2:21" s="755" customFormat="1" x14ac:dyDescent="0.25">
      <c r="B30" s="758" t="s">
        <v>130</v>
      </c>
      <c r="C30" s="759" t="s">
        <v>406</v>
      </c>
      <c r="D30" s="760">
        <f t="shared" si="11"/>
        <v>90957971.203620166</v>
      </c>
      <c r="E30" s="761">
        <f t="shared" si="11"/>
        <v>9185207.3300000001</v>
      </c>
      <c r="F30" s="738">
        <f t="shared" si="7"/>
        <v>0.10098298377211853</v>
      </c>
      <c r="G30" s="762">
        <f t="shared" si="10"/>
        <v>86211930</v>
      </c>
      <c r="H30" s="761">
        <f t="shared" si="10"/>
        <v>8694227.2399288323</v>
      </c>
      <c r="I30" s="761">
        <f t="shared" si="10"/>
        <v>5076158.8699999992</v>
      </c>
      <c r="J30" s="761">
        <f t="shared" si="10"/>
        <v>333835.71999999997</v>
      </c>
      <c r="K30" s="761">
        <f t="shared" si="10"/>
        <v>264624.30775000004</v>
      </c>
      <c r="L30" s="761">
        <f t="shared" si="10"/>
        <v>59400.515066178195</v>
      </c>
      <c r="M30" s="761">
        <f t="shared" si="10"/>
        <v>403471.83240000001</v>
      </c>
      <c r="N30" s="761">
        <f t="shared" si="10"/>
        <v>69831.663299999986</v>
      </c>
      <c r="O30" s="761">
        <f t="shared" si="10"/>
        <v>-23277.221099999999</v>
      </c>
      <c r="P30" s="761">
        <f t="shared" si="10"/>
        <v>0</v>
      </c>
      <c r="Q30" s="761">
        <f t="shared" si="10"/>
        <v>578482.0503</v>
      </c>
      <c r="R30" s="761">
        <f>R15+R20</f>
        <v>15456754.97764501</v>
      </c>
      <c r="S30" s="739">
        <f>SUM(S15,S20)</f>
        <v>24139.340399999986</v>
      </c>
      <c r="T30" s="741">
        <f t="shared" si="9"/>
        <v>1.5617340402246484E-3</v>
      </c>
    </row>
    <row r="31" spans="2:21" s="755" customFormat="1" x14ac:dyDescent="0.25">
      <c r="B31" s="758" t="s">
        <v>407</v>
      </c>
      <c r="C31" s="759" t="s">
        <v>408</v>
      </c>
      <c r="D31" s="760">
        <f t="shared" si="11"/>
        <v>9748488.4229263552</v>
      </c>
      <c r="E31" s="761">
        <f t="shared" si="11"/>
        <v>2062194.29</v>
      </c>
      <c r="F31" s="738">
        <f t="shared" si="7"/>
        <v>0.2115399024478668</v>
      </c>
      <c r="G31" s="762">
        <f t="shared" si="10"/>
        <v>6738707</v>
      </c>
      <c r="H31" s="761">
        <f t="shared" si="10"/>
        <v>1413073.8126197965</v>
      </c>
      <c r="I31" s="761">
        <f t="shared" si="10"/>
        <v>2224593.5499999998</v>
      </c>
      <c r="J31" s="761">
        <f t="shared" si="10"/>
        <v>141793.41</v>
      </c>
      <c r="K31" s="761">
        <f t="shared" si="10"/>
        <v>112266.76087000001</v>
      </c>
      <c r="L31" s="761">
        <f t="shared" si="10"/>
        <v>8827.7061699999995</v>
      </c>
      <c r="M31" s="761">
        <f t="shared" si="10"/>
        <v>51551.108550000004</v>
      </c>
      <c r="N31" s="761">
        <f t="shared" si="10"/>
        <v>8221.2225399999988</v>
      </c>
      <c r="O31" s="761">
        <f t="shared" si="10"/>
        <v>-2223.77331</v>
      </c>
      <c r="P31" s="761">
        <f t="shared" si="10"/>
        <v>-110836.93</v>
      </c>
      <c r="Q31" s="761">
        <f t="shared" si="10"/>
        <v>57009.461219999997</v>
      </c>
      <c r="R31" s="761">
        <f>R16+R21</f>
        <v>3904276.3286597962</v>
      </c>
      <c r="S31" s="739">
        <f>SUM(S16,S21)</f>
        <v>9164.6415200000029</v>
      </c>
      <c r="T31" s="741">
        <f t="shared" si="9"/>
        <v>2.3473342428981989E-3</v>
      </c>
    </row>
    <row r="32" spans="2:21" s="755" customFormat="1" x14ac:dyDescent="0.25">
      <c r="B32" s="765" t="s">
        <v>409</v>
      </c>
      <c r="C32" s="759" t="s">
        <v>410</v>
      </c>
      <c r="D32" s="760">
        <f t="shared" si="11"/>
        <v>123778170.49320194</v>
      </c>
      <c r="E32" s="761">
        <f t="shared" si="11"/>
        <v>5715264.2899999991</v>
      </c>
      <c r="F32" s="738">
        <f t="shared" si="7"/>
        <v>4.6173442919920107E-2</v>
      </c>
      <c r="G32" s="762">
        <f t="shared" si="10"/>
        <v>119430070</v>
      </c>
      <c r="H32" s="761">
        <f t="shared" si="10"/>
        <v>5405783.5411820626</v>
      </c>
      <c r="I32" s="761">
        <f t="shared" si="10"/>
        <v>6207167.9800000004</v>
      </c>
      <c r="J32" s="761">
        <f t="shared" si="10"/>
        <v>405722.8</v>
      </c>
      <c r="K32" s="761">
        <f t="shared" si="10"/>
        <v>321607.63030000002</v>
      </c>
      <c r="L32" s="761">
        <f t="shared" si="10"/>
        <v>29338.064981628817</v>
      </c>
      <c r="M32" s="761">
        <f t="shared" si="10"/>
        <v>286632.16800000001</v>
      </c>
      <c r="N32" s="761">
        <f t="shared" si="10"/>
        <v>51354.930099999998</v>
      </c>
      <c r="O32" s="761">
        <f t="shared" si="10"/>
        <v>-16720.209799999997</v>
      </c>
      <c r="P32" s="761">
        <f t="shared" si="10"/>
        <v>0</v>
      </c>
      <c r="Q32" s="761">
        <f t="shared" si="10"/>
        <v>446668.46179999993</v>
      </c>
      <c r="R32" s="761">
        <f>R17+R22</f>
        <v>13137555.366563691</v>
      </c>
      <c r="S32" s="739">
        <f>SUM(S17,S22)</f>
        <v>8360.1049000000203</v>
      </c>
      <c r="T32" s="741">
        <f t="shared" si="9"/>
        <v>6.3635163976376232E-4</v>
      </c>
    </row>
    <row r="33" spans="2:20" s="755" customFormat="1" x14ac:dyDescent="0.25">
      <c r="B33" s="765" t="s">
        <v>131</v>
      </c>
      <c r="C33" s="758"/>
      <c r="D33" s="760">
        <f>D23</f>
        <v>37056427.854413897</v>
      </c>
      <c r="E33" s="761">
        <f>E23</f>
        <v>1757519.5213237838</v>
      </c>
      <c r="F33" s="738">
        <f t="shared" si="7"/>
        <v>4.7428195945617584E-2</v>
      </c>
      <c r="G33" s="762">
        <f>G23</f>
        <v>36911044</v>
      </c>
      <c r="H33" s="761">
        <f>H23</f>
        <v>1750624.2273893123</v>
      </c>
      <c r="I33" s="761">
        <f t="shared" ref="I33:Q33" si="12">I23</f>
        <v>0</v>
      </c>
      <c r="J33" s="761">
        <f t="shared" si="12"/>
        <v>0</v>
      </c>
      <c r="K33" s="761">
        <f t="shared" si="12"/>
        <v>0</v>
      </c>
      <c r="L33" s="761">
        <f t="shared" si="12"/>
        <v>0</v>
      </c>
      <c r="M33" s="761">
        <f t="shared" si="12"/>
        <v>43555.031920000001</v>
      </c>
      <c r="N33" s="761">
        <f t="shared" si="12"/>
        <v>7751.3192400000007</v>
      </c>
      <c r="O33" s="761">
        <f t="shared" si="12"/>
        <v>-2583.7730799999999</v>
      </c>
      <c r="P33" s="761">
        <f t="shared" si="12"/>
        <v>0</v>
      </c>
      <c r="Q33" s="761">
        <f t="shared" si="12"/>
        <v>34327.270920000003</v>
      </c>
      <c r="R33" s="761">
        <f>R23</f>
        <v>1833674.0763893125</v>
      </c>
      <c r="S33" s="739">
        <f>S23</f>
        <v>0</v>
      </c>
      <c r="T33" s="741">
        <f t="shared" si="9"/>
        <v>0</v>
      </c>
    </row>
    <row r="34" spans="2:20" s="755" customFormat="1" x14ac:dyDescent="0.25">
      <c r="B34" s="765" t="s">
        <v>90</v>
      </c>
      <c r="C34" s="765"/>
      <c r="D34" s="766">
        <f>SUM(D27:D33)</f>
        <v>1191304269.0992644</v>
      </c>
      <c r="E34" s="767">
        <f>SUM(E27:E33)</f>
        <v>519258254.38333774</v>
      </c>
      <c r="F34" s="768">
        <f t="shared" si="7"/>
        <v>0.43587374598761802</v>
      </c>
      <c r="G34" s="769">
        <f>SUM(G27:G33)</f>
        <v>1170264197</v>
      </c>
      <c r="H34" s="767">
        <f>SUM(H27:H33)</f>
        <v>511031573.08061862</v>
      </c>
      <c r="I34" s="767">
        <f t="shared" ref="I34:Q34" si="13">SUM(I27:I33)</f>
        <v>424617018.98000008</v>
      </c>
      <c r="J34" s="767">
        <f t="shared" si="13"/>
        <v>24355563.749999996</v>
      </c>
      <c r="K34" s="767">
        <f t="shared" si="13"/>
        <v>21930661.041219998</v>
      </c>
      <c r="L34" s="767">
        <f t="shared" si="13"/>
        <v>3130790.843167807</v>
      </c>
      <c r="M34" s="767">
        <f t="shared" si="13"/>
        <v>21628236.129440006</v>
      </c>
      <c r="N34" s="767">
        <f t="shared" si="13"/>
        <v>2963975.2412400004</v>
      </c>
      <c r="O34" s="767">
        <f t="shared" si="13"/>
        <v>-1258521.9326299999</v>
      </c>
      <c r="P34" s="767">
        <f t="shared" si="13"/>
        <v>11868260.07</v>
      </c>
      <c r="Q34" s="767">
        <f t="shared" si="13"/>
        <v>21417840.086720001</v>
      </c>
      <c r="R34" s="767">
        <f>SUM(R27:R33)</f>
        <v>1041685397.2897766</v>
      </c>
      <c r="S34" s="746">
        <f>SUM(S27:S33)</f>
        <v>4606735.9264300009</v>
      </c>
      <c r="T34" s="748">
        <f t="shared" si="9"/>
        <v>4.4223869686717873E-3</v>
      </c>
    </row>
    <row r="35" spans="2:20" s="755" customFormat="1" x14ac:dyDescent="0.25">
      <c r="B35" s="770"/>
      <c r="C35" s="770"/>
      <c r="D35" s="770"/>
      <c r="E35" s="770"/>
      <c r="F35" s="770"/>
      <c r="I35" s="771"/>
      <c r="L35" s="770"/>
      <c r="N35" s="770"/>
      <c r="O35" s="770"/>
      <c r="P35" s="770"/>
      <c r="Q35" s="770"/>
      <c r="R35" s="770"/>
      <c r="S35" s="772"/>
    </row>
    <row r="36" spans="2:20" x14ac:dyDescent="0.25">
      <c r="D36" s="749"/>
      <c r="E36" s="749"/>
      <c r="H36" s="773"/>
      <c r="L36" s="749"/>
      <c r="O36" s="749"/>
      <c r="P36" s="749"/>
      <c r="R36" s="749"/>
    </row>
    <row r="37" spans="2:20" ht="17.25" x14ac:dyDescent="0.25">
      <c r="B37" s="725" t="s">
        <v>411</v>
      </c>
    </row>
    <row r="38" spans="2:20" ht="17.25" x14ac:dyDescent="0.25">
      <c r="B38" s="725" t="s">
        <v>455</v>
      </c>
    </row>
  </sheetData>
  <printOptions horizontalCentered="1"/>
  <pageMargins left="0.45" right="0.45" top="0.75" bottom="0.75" header="0.3" footer="0.3"/>
  <pageSetup paperSize="5" scale="63"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4"/>
  <sheetViews>
    <sheetView zoomScale="90" zoomScaleNormal="90" workbookViewId="0">
      <selection activeCell="D22" sqref="D22"/>
    </sheetView>
  </sheetViews>
  <sheetFormatPr defaultColWidth="9.140625" defaultRowHeight="15" x14ac:dyDescent="0.25"/>
  <cols>
    <col min="1" max="1" width="2.140625" style="775" customWidth="1"/>
    <col min="2" max="2" width="2.42578125" style="775" customWidth="1"/>
    <col min="3" max="3" width="33" style="775" customWidth="1"/>
    <col min="4" max="5" width="11.85546875" style="775" customWidth="1"/>
    <col min="6" max="6" width="2.7109375" style="776" customWidth="1"/>
    <col min="7" max="8" width="11.85546875" style="775" customWidth="1"/>
    <col min="9" max="16384" width="9.140625" style="775"/>
  </cols>
  <sheetData>
    <row r="1" spans="2:8" x14ac:dyDescent="0.25">
      <c r="B1" s="774" t="s">
        <v>0</v>
      </c>
      <c r="C1" s="774"/>
      <c r="D1" s="774"/>
      <c r="E1" s="774"/>
      <c r="F1" s="774"/>
      <c r="G1" s="774"/>
      <c r="H1" s="774"/>
    </row>
    <row r="2" spans="2:8" x14ac:dyDescent="0.25">
      <c r="B2" s="774" t="str">
        <f>'Rate Impacts Sch 149'!B2</f>
        <v>2022 Gas Schedule 149 CRM (October Final Filing)</v>
      </c>
      <c r="C2" s="774"/>
      <c r="D2" s="774"/>
      <c r="E2" s="774"/>
      <c r="F2" s="774"/>
      <c r="G2" s="774"/>
      <c r="H2" s="774"/>
    </row>
    <row r="3" spans="2:8" x14ac:dyDescent="0.25">
      <c r="B3" s="724" t="s">
        <v>412</v>
      </c>
      <c r="C3" s="724"/>
      <c r="D3" s="724"/>
      <c r="E3" s="724"/>
      <c r="F3" s="724"/>
      <c r="G3" s="724"/>
      <c r="H3" s="724"/>
    </row>
    <row r="4" spans="2:8" x14ac:dyDescent="0.25">
      <c r="B4" s="724" t="str">
        <f>'Rate Impacts Sch 149'!B4</f>
        <v>Proposed Rates Effective November 1, 2022</v>
      </c>
      <c r="C4" s="724"/>
      <c r="D4" s="724"/>
      <c r="E4" s="724"/>
      <c r="F4" s="724"/>
      <c r="G4" s="724"/>
      <c r="H4" s="724"/>
    </row>
    <row r="6" spans="2:8" x14ac:dyDescent="0.25">
      <c r="G6" s="777" t="s">
        <v>413</v>
      </c>
      <c r="H6" s="777"/>
    </row>
    <row r="7" spans="2:8" x14ac:dyDescent="0.25">
      <c r="D7" s="778" t="s">
        <v>414</v>
      </c>
      <c r="E7" s="778"/>
      <c r="F7" s="779"/>
      <c r="G7" s="778" t="s">
        <v>415</v>
      </c>
      <c r="H7" s="778"/>
    </row>
    <row r="8" spans="2:8" ht="17.25" x14ac:dyDescent="0.25">
      <c r="D8" s="780" t="s">
        <v>416</v>
      </c>
      <c r="E8" s="780" t="s">
        <v>417</v>
      </c>
      <c r="F8" s="781"/>
      <c r="G8" s="780" t="s">
        <v>418</v>
      </c>
      <c r="H8" s="780" t="s">
        <v>417</v>
      </c>
    </row>
    <row r="9" spans="2:8" x14ac:dyDescent="0.25">
      <c r="B9" s="775" t="s">
        <v>419</v>
      </c>
      <c r="D9" s="782">
        <v>64</v>
      </c>
      <c r="E9" s="783"/>
      <c r="F9" s="784"/>
      <c r="G9" s="782">
        <v>64</v>
      </c>
      <c r="H9" s="783"/>
    </row>
    <row r="10" spans="2:8" x14ac:dyDescent="0.25">
      <c r="D10" s="782"/>
      <c r="E10" s="783"/>
      <c r="F10" s="784"/>
      <c r="G10" s="782"/>
      <c r="H10" s="783"/>
    </row>
    <row r="11" spans="2:8" x14ac:dyDescent="0.25">
      <c r="B11" s="775" t="s">
        <v>420</v>
      </c>
      <c r="D11" s="782"/>
      <c r="E11" s="783"/>
      <c r="F11" s="784"/>
      <c r="G11" s="782"/>
      <c r="H11" s="783"/>
    </row>
    <row r="12" spans="2:8" x14ac:dyDescent="0.25">
      <c r="C12" s="775" t="s">
        <v>421</v>
      </c>
      <c r="D12" s="825">
        <v>11.52</v>
      </c>
      <c r="E12" s="783">
        <f>D12</f>
        <v>11.52</v>
      </c>
      <c r="F12" s="785"/>
      <c r="G12" s="786">
        <f>$D$12</f>
        <v>11.52</v>
      </c>
      <c r="H12" s="783">
        <f>G12</f>
        <v>11.52</v>
      </c>
    </row>
    <row r="13" spans="2:8" x14ac:dyDescent="0.25">
      <c r="C13" s="775" t="s">
        <v>422</v>
      </c>
      <c r="D13" s="787">
        <f>SUM(D12:D12)</f>
        <v>11.52</v>
      </c>
      <c r="E13" s="787">
        <f>SUM(E12:E12)</f>
        <v>11.52</v>
      </c>
      <c r="F13" s="785"/>
      <c r="G13" s="787">
        <f>SUM(G12:G12)</f>
        <v>11.52</v>
      </c>
      <c r="H13" s="787">
        <f>SUM(H12:H12)</f>
        <v>11.52</v>
      </c>
    </row>
    <row r="14" spans="2:8" x14ac:dyDescent="0.25">
      <c r="D14" s="788"/>
      <c r="E14" s="783"/>
      <c r="F14" s="785"/>
      <c r="G14" s="786"/>
      <c r="H14" s="783"/>
    </row>
    <row r="15" spans="2:8" x14ac:dyDescent="0.25">
      <c r="B15" s="775" t="s">
        <v>423</v>
      </c>
      <c r="E15" s="783"/>
      <c r="H15" s="783"/>
    </row>
    <row r="16" spans="2:8" x14ac:dyDescent="0.25">
      <c r="C16" s="775" t="s">
        <v>424</v>
      </c>
      <c r="D16" s="826">
        <v>0.41964000000000001</v>
      </c>
      <c r="E16" s="783"/>
      <c r="F16" s="790"/>
      <c r="G16" s="791">
        <f>$D$16</f>
        <v>0.41964000000000001</v>
      </c>
      <c r="H16" s="783"/>
    </row>
    <row r="17" spans="2:8" x14ac:dyDescent="0.25">
      <c r="C17" s="775" t="s">
        <v>425</v>
      </c>
      <c r="D17" s="827">
        <v>3.65E-3</v>
      </c>
      <c r="E17" s="783"/>
      <c r="F17" s="790"/>
      <c r="G17" s="792">
        <f>$D$17</f>
        <v>3.65E-3</v>
      </c>
      <c r="H17" s="783"/>
    </row>
    <row r="18" spans="2:8" x14ac:dyDescent="0.25">
      <c r="C18" s="775" t="s">
        <v>426</v>
      </c>
      <c r="D18" s="826">
        <v>2.3620000000000002E-2</v>
      </c>
      <c r="E18" s="783"/>
      <c r="F18" s="790"/>
      <c r="G18" s="792">
        <f>$D$18</f>
        <v>2.3620000000000002E-2</v>
      </c>
      <c r="H18" s="783"/>
    </row>
    <row r="19" spans="2:8" x14ac:dyDescent="0.25">
      <c r="C19" s="775" t="s">
        <v>427</v>
      </c>
      <c r="D19" s="826">
        <v>3.14E-3</v>
      </c>
      <c r="E19" s="783"/>
      <c r="F19" s="790"/>
      <c r="G19" s="791">
        <f>$D$19</f>
        <v>3.14E-3</v>
      </c>
      <c r="H19" s="783"/>
    </row>
    <row r="20" spans="2:8" x14ac:dyDescent="0.25">
      <c r="C20" s="775" t="s">
        <v>428</v>
      </c>
      <c r="D20" s="826">
        <v>-1.3699999999999999E-3</v>
      </c>
      <c r="E20" s="783"/>
      <c r="F20" s="790"/>
      <c r="G20" s="792">
        <f>$D$20</f>
        <v>-1.3699999999999999E-3</v>
      </c>
      <c r="H20" s="783"/>
    </row>
    <row r="21" spans="2:8" x14ac:dyDescent="0.25">
      <c r="C21" s="775" t="s">
        <v>429</v>
      </c>
      <c r="D21" s="826">
        <v>1.6670000000000001E-2</v>
      </c>
      <c r="E21" s="783"/>
      <c r="F21" s="790"/>
      <c r="G21" s="792">
        <f>$D$21</f>
        <v>1.6670000000000001E-2</v>
      </c>
      <c r="H21" s="783"/>
    </row>
    <row r="22" spans="2:8" x14ac:dyDescent="0.25">
      <c r="C22" s="775" t="s">
        <v>430</v>
      </c>
      <c r="D22" s="827">
        <f>'Sch. 149'!$D$9</f>
        <v>2.2579999999999999E-2</v>
      </c>
      <c r="E22" s="783"/>
      <c r="F22" s="790"/>
      <c r="G22" s="789">
        <f>'Sch. 149'!$E$9</f>
        <v>2.8389999999999999E-2</v>
      </c>
      <c r="H22" s="783"/>
    </row>
    <row r="23" spans="2:8" x14ac:dyDescent="0.25">
      <c r="C23" s="775" t="s">
        <v>422</v>
      </c>
      <c r="D23" s="793">
        <f>SUM(D16:D22)</f>
        <v>0.48793000000000003</v>
      </c>
      <c r="E23" s="783">
        <f>ROUND(D23*D$9,2)</f>
        <v>31.23</v>
      </c>
      <c r="F23" s="790"/>
      <c r="G23" s="793">
        <f>SUM(G16:G22)</f>
        <v>0.49374000000000007</v>
      </c>
      <c r="H23" s="783">
        <f>ROUND(G23*G$9,2)</f>
        <v>31.6</v>
      </c>
    </row>
    <row r="25" spans="2:8" x14ac:dyDescent="0.25">
      <c r="C25" s="775" t="s">
        <v>431</v>
      </c>
      <c r="D25" s="826">
        <v>2.366E-2</v>
      </c>
      <c r="E25" s="783">
        <f>ROUND(D25*D$9,2)</f>
        <v>1.51</v>
      </c>
      <c r="F25" s="790"/>
      <c r="G25" s="794">
        <f>$D$25</f>
        <v>2.366E-2</v>
      </c>
      <c r="H25" s="783">
        <f>ROUND(G25*G$9,2)</f>
        <v>1.51</v>
      </c>
    </row>
    <row r="26" spans="2:8" x14ac:dyDescent="0.25">
      <c r="D26" s="826"/>
      <c r="E26" s="783"/>
      <c r="F26" s="790"/>
      <c r="G26" s="791"/>
      <c r="H26" s="783"/>
    </row>
    <row r="27" spans="2:8" x14ac:dyDescent="0.25">
      <c r="C27" s="775" t="s">
        <v>432</v>
      </c>
      <c r="D27" s="826">
        <v>0.46339999999999998</v>
      </c>
      <c r="E27" s="783"/>
      <c r="F27" s="790"/>
      <c r="G27" s="792">
        <f>$D$27</f>
        <v>0.46339999999999998</v>
      </c>
      <c r="H27" s="783"/>
    </row>
    <row r="28" spans="2:8" x14ac:dyDescent="0.25">
      <c r="C28" s="775" t="s">
        <v>433</v>
      </c>
      <c r="D28" s="826">
        <v>2.6179999999999998E-2</v>
      </c>
      <c r="E28" s="783"/>
      <c r="F28" s="790"/>
      <c r="G28" s="792">
        <f>$D$28</f>
        <v>2.6179999999999998E-2</v>
      </c>
      <c r="H28" s="783"/>
    </row>
    <row r="29" spans="2:8" x14ac:dyDescent="0.25">
      <c r="C29" s="775" t="s">
        <v>422</v>
      </c>
      <c r="D29" s="793">
        <f>SUM(D27:D28)</f>
        <v>0.48957999999999996</v>
      </c>
      <c r="E29" s="783">
        <f>ROUND(D29*D$9,2)</f>
        <v>31.33</v>
      </c>
      <c r="F29" s="790"/>
      <c r="G29" s="793">
        <f>SUM(G27:G28)</f>
        <v>0.48957999999999996</v>
      </c>
      <c r="H29" s="783">
        <f>ROUND(G29*G$9,2)</f>
        <v>31.33</v>
      </c>
    </row>
    <row r="30" spans="2:8" x14ac:dyDescent="0.25">
      <c r="C30" s="775" t="s">
        <v>434</v>
      </c>
      <c r="D30" s="793">
        <f>D23+D25+D29</f>
        <v>1.0011699999999999</v>
      </c>
      <c r="E30" s="795">
        <f>SUM(E23,E25,E29)</f>
        <v>64.069999999999993</v>
      </c>
      <c r="F30" s="796"/>
      <c r="G30" s="793">
        <f>G23+G25+G29</f>
        <v>1.00698</v>
      </c>
      <c r="H30" s="795">
        <f>SUM(H23,H25,H29)</f>
        <v>64.44</v>
      </c>
    </row>
    <row r="31" spans="2:8" x14ac:dyDescent="0.25">
      <c r="E31" s="783"/>
      <c r="H31" s="783"/>
    </row>
    <row r="32" spans="2:8" x14ac:dyDescent="0.25">
      <c r="B32" s="775" t="s">
        <v>435</v>
      </c>
      <c r="D32" s="786"/>
      <c r="E32" s="783">
        <f>E13+E30</f>
        <v>75.589999999999989</v>
      </c>
      <c r="F32" s="797"/>
      <c r="G32" s="786"/>
      <c r="H32" s="783">
        <f>H13+H30</f>
        <v>75.959999999999994</v>
      </c>
    </row>
    <row r="33" spans="2:8" x14ac:dyDescent="0.25">
      <c r="B33" s="775" t="s">
        <v>436</v>
      </c>
      <c r="D33" s="786"/>
      <c r="E33" s="783"/>
      <c r="F33" s="797"/>
      <c r="G33" s="786"/>
      <c r="H33" s="783">
        <f>H32-$E32</f>
        <v>0.37000000000000455</v>
      </c>
    </row>
    <row r="34" spans="2:8" x14ac:dyDescent="0.25">
      <c r="B34" s="775" t="s">
        <v>437</v>
      </c>
      <c r="D34" s="798"/>
      <c r="E34" s="798"/>
      <c r="F34" s="799"/>
      <c r="G34" s="798"/>
      <c r="H34" s="800">
        <f>H33/$E32</f>
        <v>4.8948273581162138E-3</v>
      </c>
    </row>
    <row r="35" spans="2:8" x14ac:dyDescent="0.25">
      <c r="E35" s="783"/>
    </row>
    <row r="36" spans="2:8" x14ac:dyDescent="0.25">
      <c r="B36" s="775" t="s">
        <v>438</v>
      </c>
      <c r="D36" s="791">
        <f>D23+D25</f>
        <v>0.51158999999999999</v>
      </c>
      <c r="E36" s="783"/>
      <c r="F36" s="796"/>
      <c r="G36" s="791">
        <f>G23+G25</f>
        <v>0.51740000000000008</v>
      </c>
    </row>
    <row r="39" spans="2:8" ht="17.25" x14ac:dyDescent="0.25">
      <c r="B39" s="801" t="s">
        <v>456</v>
      </c>
      <c r="D39" s="801"/>
      <c r="E39" s="801"/>
      <c r="F39" s="802"/>
      <c r="G39" s="802"/>
      <c r="H39" s="802"/>
    </row>
    <row r="44" spans="2:8" ht="14.25" customHeight="1" x14ac:dyDescent="0.25"/>
  </sheetData>
  <printOptions horizontalCentered="1"/>
  <pageMargins left="0.5" right="0.5" top="1" bottom="1" header="0.5" footer="0.5"/>
  <pageSetup scale="83" orientation="landscape" blackAndWhite="1" r:id="rId1"/>
  <headerFooter alignWithMargins="0">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90" zoomScaleNormal="90" workbookViewId="0">
      <selection activeCell="F29" sqref="F29"/>
    </sheetView>
  </sheetViews>
  <sheetFormatPr defaultColWidth="8.7109375" defaultRowHeight="15" x14ac:dyDescent="0.25"/>
  <cols>
    <col min="1" max="1" width="38.7109375" style="803" customWidth="1"/>
    <col min="2" max="2" width="9.140625" style="803" bestFit="1" customWidth="1"/>
    <col min="3" max="3" width="18.5703125" style="803" bestFit="1" customWidth="1"/>
    <col min="4" max="5" width="13.7109375" style="803" customWidth="1"/>
    <col min="6" max="8" width="14.42578125" style="803" customWidth="1"/>
    <col min="9" max="9" width="7.85546875" style="803" bestFit="1" customWidth="1"/>
    <col min="10" max="16384" width="8.7109375" style="803"/>
  </cols>
  <sheetData>
    <row r="1" spans="1:10" s="775" customFormat="1" ht="15" customHeight="1" x14ac:dyDescent="0.25">
      <c r="A1" s="830" t="s">
        <v>0</v>
      </c>
      <c r="B1" s="830"/>
      <c r="C1" s="830"/>
      <c r="D1" s="830"/>
      <c r="E1" s="830"/>
      <c r="F1" s="830"/>
      <c r="G1" s="830"/>
      <c r="H1" s="830"/>
      <c r="I1" s="830"/>
      <c r="J1" s="724"/>
    </row>
    <row r="2" spans="1:10" s="775" customFormat="1" ht="15" customHeight="1" x14ac:dyDescent="0.25">
      <c r="A2" s="830" t="s">
        <v>439</v>
      </c>
      <c r="B2" s="830"/>
      <c r="C2" s="830"/>
      <c r="D2" s="830"/>
      <c r="E2" s="830"/>
      <c r="F2" s="830"/>
      <c r="G2" s="830"/>
      <c r="H2" s="830"/>
      <c r="I2" s="830"/>
      <c r="J2" s="724"/>
    </row>
    <row r="3" spans="1:10" s="775" customFormat="1" ht="15" customHeight="1" x14ac:dyDescent="0.25">
      <c r="A3" s="830" t="s">
        <v>440</v>
      </c>
      <c r="B3" s="830"/>
      <c r="C3" s="830"/>
      <c r="D3" s="830"/>
      <c r="E3" s="830"/>
      <c r="F3" s="830"/>
      <c r="G3" s="830"/>
      <c r="H3" s="830"/>
      <c r="I3" s="830"/>
      <c r="J3" s="724"/>
    </row>
    <row r="4" spans="1:10" s="775" customFormat="1" ht="15" customHeight="1" x14ac:dyDescent="0.25">
      <c r="A4" s="830" t="s">
        <v>343</v>
      </c>
      <c r="B4" s="830"/>
      <c r="C4" s="830"/>
      <c r="D4" s="830"/>
      <c r="E4" s="830"/>
      <c r="F4" s="830"/>
      <c r="G4" s="830"/>
      <c r="H4" s="830"/>
      <c r="I4" s="830"/>
      <c r="J4" s="724"/>
    </row>
    <row r="5" spans="1:10" x14ac:dyDescent="0.25">
      <c r="D5" s="804"/>
      <c r="E5" s="804"/>
    </row>
    <row r="6" spans="1:10" x14ac:dyDescent="0.25">
      <c r="A6" s="805"/>
      <c r="B6" s="805"/>
      <c r="C6" s="805" t="s">
        <v>344</v>
      </c>
      <c r="D6" s="805" t="s">
        <v>441</v>
      </c>
      <c r="E6" s="805" t="s">
        <v>442</v>
      </c>
      <c r="F6" s="806" t="s">
        <v>344</v>
      </c>
      <c r="G6" s="806" t="s">
        <v>344</v>
      </c>
      <c r="H6" s="805" t="s">
        <v>443</v>
      </c>
      <c r="I6" s="805"/>
    </row>
    <row r="7" spans="1:10" x14ac:dyDescent="0.25">
      <c r="A7" s="805"/>
      <c r="B7" s="805" t="s">
        <v>350</v>
      </c>
      <c r="C7" s="805" t="s">
        <v>444</v>
      </c>
      <c r="D7" s="805" t="s">
        <v>443</v>
      </c>
      <c r="E7" s="805" t="s">
        <v>443</v>
      </c>
      <c r="F7" s="806" t="s">
        <v>362</v>
      </c>
      <c r="G7" s="806" t="s">
        <v>362</v>
      </c>
      <c r="H7" s="805" t="s">
        <v>362</v>
      </c>
      <c r="I7" s="805" t="s">
        <v>144</v>
      </c>
    </row>
    <row r="8" spans="1:10" x14ac:dyDescent="0.25">
      <c r="A8" s="732" t="s">
        <v>363</v>
      </c>
      <c r="B8" s="732" t="s">
        <v>162</v>
      </c>
      <c r="C8" s="824" t="s">
        <v>348</v>
      </c>
      <c r="D8" s="732" t="s">
        <v>418</v>
      </c>
      <c r="E8" s="732" t="s">
        <v>418</v>
      </c>
      <c r="F8" s="780" t="s">
        <v>414</v>
      </c>
      <c r="G8" s="780" t="s">
        <v>445</v>
      </c>
      <c r="H8" s="732" t="s">
        <v>369</v>
      </c>
      <c r="I8" s="732" t="s">
        <v>369</v>
      </c>
    </row>
    <row r="9" spans="1:10" x14ac:dyDescent="0.25">
      <c r="A9" s="803" t="s">
        <v>127</v>
      </c>
      <c r="B9" s="804" t="s">
        <v>389</v>
      </c>
      <c r="C9" s="823">
        <v>592785009</v>
      </c>
      <c r="D9" s="807">
        <v>2.2579999999999999E-2</v>
      </c>
      <c r="E9" s="808">
        <v>2.8389999999999999E-2</v>
      </c>
      <c r="F9" s="740">
        <f>C9*D9</f>
        <v>13385085.503219999</v>
      </c>
      <c r="G9" s="740">
        <f>C9*E9</f>
        <v>16829166.405510001</v>
      </c>
      <c r="H9" s="809">
        <f>G9-F9</f>
        <v>3444080.9022900015</v>
      </c>
      <c r="I9" s="810">
        <f>H9/F9</f>
        <v>0.2573073516386184</v>
      </c>
    </row>
    <row r="10" spans="1:10" x14ac:dyDescent="0.25">
      <c r="A10" s="803" t="s">
        <v>390</v>
      </c>
      <c r="B10" s="804">
        <v>16</v>
      </c>
      <c r="C10" s="823">
        <v>7068</v>
      </c>
      <c r="D10" s="807">
        <v>2.2579999999999999E-2</v>
      </c>
      <c r="E10" s="808">
        <v>2.8389999999999999E-2</v>
      </c>
      <c r="F10" s="740">
        <f t="shared" ref="F10:F21" si="0">C10*D10</f>
        <v>159.59544</v>
      </c>
      <c r="G10" s="740">
        <f t="shared" ref="G10:G21" si="1">C10*E10</f>
        <v>200.66051999999999</v>
      </c>
      <c r="H10" s="809">
        <f t="shared" ref="H10:H21" si="2">G10-F10</f>
        <v>41.065079999999995</v>
      </c>
      <c r="I10" s="810">
        <f t="shared" ref="I10:I22" si="3">H10/F10</f>
        <v>0.25730735163861823</v>
      </c>
    </row>
    <row r="11" spans="1:10" x14ac:dyDescent="0.25">
      <c r="A11" s="803" t="s">
        <v>391</v>
      </c>
      <c r="B11" s="804">
        <v>31</v>
      </c>
      <c r="C11" s="823">
        <v>239317160</v>
      </c>
      <c r="D11" s="807">
        <v>2.4719999999999999E-2</v>
      </c>
      <c r="E11" s="808">
        <v>2.852E-2</v>
      </c>
      <c r="F11" s="740">
        <f t="shared" si="0"/>
        <v>5915920.1952</v>
      </c>
      <c r="G11" s="740">
        <f t="shared" si="1"/>
        <v>6825325.4031999996</v>
      </c>
      <c r="H11" s="809">
        <f t="shared" si="2"/>
        <v>909405.20799999963</v>
      </c>
      <c r="I11" s="810">
        <f t="shared" si="3"/>
        <v>0.15372168284789639</v>
      </c>
    </row>
    <row r="12" spans="1:10" x14ac:dyDescent="0.25">
      <c r="A12" s="803" t="s">
        <v>392</v>
      </c>
      <c r="B12" s="804">
        <v>41</v>
      </c>
      <c r="C12" s="823">
        <v>65277168</v>
      </c>
      <c r="D12" s="807">
        <v>1.125E-2</v>
      </c>
      <c r="E12" s="808">
        <v>1.363E-2</v>
      </c>
      <c r="F12" s="740">
        <f t="shared" si="0"/>
        <v>734368.14</v>
      </c>
      <c r="G12" s="740">
        <f t="shared" si="1"/>
        <v>889727.79983999999</v>
      </c>
      <c r="H12" s="809">
        <f t="shared" si="2"/>
        <v>155359.65983999998</v>
      </c>
      <c r="I12" s="810">
        <f t="shared" si="3"/>
        <v>0.21155555555555552</v>
      </c>
    </row>
    <row r="13" spans="1:10" x14ac:dyDescent="0.25">
      <c r="A13" s="803" t="s">
        <v>130</v>
      </c>
      <c r="B13" s="804">
        <v>85</v>
      </c>
      <c r="C13" s="823">
        <v>12864575</v>
      </c>
      <c r="D13" s="807">
        <v>6.7099999999999998E-3</v>
      </c>
      <c r="E13" s="808">
        <v>6.9899999999999997E-3</v>
      </c>
      <c r="F13" s="740">
        <f t="shared" si="0"/>
        <v>86321.298249999993</v>
      </c>
      <c r="G13" s="740">
        <f t="shared" si="1"/>
        <v>89923.379249999998</v>
      </c>
      <c r="H13" s="809">
        <f t="shared" si="2"/>
        <v>3602.0810000000056</v>
      </c>
      <c r="I13" s="810">
        <f t="shared" si="3"/>
        <v>4.1728763040238516E-2</v>
      </c>
    </row>
    <row r="14" spans="1:10" x14ac:dyDescent="0.25">
      <c r="A14" s="803" t="s">
        <v>393</v>
      </c>
      <c r="B14" s="804">
        <v>86</v>
      </c>
      <c r="C14" s="823">
        <v>5457791</v>
      </c>
      <c r="D14" s="807">
        <v>8.4600000000000005E-3</v>
      </c>
      <c r="E14" s="808">
        <v>9.8200000000000006E-3</v>
      </c>
      <c r="F14" s="740">
        <f t="shared" si="0"/>
        <v>46172.91186</v>
      </c>
      <c r="G14" s="740">
        <f t="shared" si="1"/>
        <v>53595.507620000004</v>
      </c>
      <c r="H14" s="809">
        <f t="shared" si="2"/>
        <v>7422.5957600000038</v>
      </c>
      <c r="I14" s="810">
        <f t="shared" si="3"/>
        <v>0.16075650118203319</v>
      </c>
    </row>
    <row r="15" spans="1:10" x14ac:dyDescent="0.25">
      <c r="A15" s="803" t="s">
        <v>394</v>
      </c>
      <c r="B15" s="804">
        <v>87</v>
      </c>
      <c r="C15" s="823">
        <v>15634790</v>
      </c>
      <c r="D15" s="807">
        <v>3.7399999999999998E-3</v>
      </c>
      <c r="E15" s="808">
        <v>3.81E-3</v>
      </c>
      <c r="F15" s="740">
        <f t="shared" si="0"/>
        <v>58474.114600000001</v>
      </c>
      <c r="G15" s="740">
        <f t="shared" si="1"/>
        <v>59568.549899999998</v>
      </c>
      <c r="H15" s="809">
        <f t="shared" si="2"/>
        <v>1094.4352999999974</v>
      </c>
      <c r="I15" s="810">
        <f t="shared" si="3"/>
        <v>1.8716577540106905E-2</v>
      </c>
    </row>
    <row r="16" spans="1:10" x14ac:dyDescent="0.25">
      <c r="A16" s="803" t="s">
        <v>395</v>
      </c>
      <c r="B16" s="804" t="s">
        <v>163</v>
      </c>
      <c r="C16" s="823">
        <v>35371</v>
      </c>
      <c r="D16" s="807">
        <v>2.4719999999999999E-2</v>
      </c>
      <c r="E16" s="808">
        <v>2.852E-2</v>
      </c>
      <c r="F16" s="740">
        <f t="shared" si="0"/>
        <v>874.37111999999991</v>
      </c>
      <c r="G16" s="740">
        <f t="shared" si="1"/>
        <v>1008.78092</v>
      </c>
      <c r="H16" s="809">
        <f t="shared" si="2"/>
        <v>134.40980000000013</v>
      </c>
      <c r="I16" s="810">
        <f t="shared" si="3"/>
        <v>0.15372168284789661</v>
      </c>
    </row>
    <row r="17" spans="1:9" x14ac:dyDescent="0.25">
      <c r="A17" s="803" t="s">
        <v>396</v>
      </c>
      <c r="B17" s="804" t="s">
        <v>164</v>
      </c>
      <c r="C17" s="823">
        <v>23550670</v>
      </c>
      <c r="D17" s="807">
        <v>1.125E-2</v>
      </c>
      <c r="E17" s="808">
        <v>1.363E-2</v>
      </c>
      <c r="F17" s="740">
        <f t="shared" si="0"/>
        <v>264945.03749999998</v>
      </c>
      <c r="G17" s="740">
        <f t="shared" si="1"/>
        <v>320995.63209999999</v>
      </c>
      <c r="H17" s="809">
        <f t="shared" si="2"/>
        <v>56050.594600000011</v>
      </c>
      <c r="I17" s="810">
        <f t="shared" si="3"/>
        <v>0.21155555555555561</v>
      </c>
    </row>
    <row r="18" spans="1:9" x14ac:dyDescent="0.25">
      <c r="A18" s="803" t="s">
        <v>397</v>
      </c>
      <c r="B18" s="804" t="s">
        <v>165</v>
      </c>
      <c r="C18" s="823">
        <v>73347355</v>
      </c>
      <c r="D18" s="807">
        <v>6.7099999999999998E-3</v>
      </c>
      <c r="E18" s="808">
        <v>6.9899999999999997E-3</v>
      </c>
      <c r="F18" s="740">
        <f t="shared" si="0"/>
        <v>492160.75205000001</v>
      </c>
      <c r="G18" s="740">
        <f t="shared" si="1"/>
        <v>512698.01144999999</v>
      </c>
      <c r="H18" s="809">
        <f t="shared" si="2"/>
        <v>20537.259399999981</v>
      </c>
      <c r="I18" s="810">
        <f t="shared" si="3"/>
        <v>4.1728763040238412E-2</v>
      </c>
    </row>
    <row r="19" spans="1:9" x14ac:dyDescent="0.25">
      <c r="A19" s="803" t="s">
        <v>398</v>
      </c>
      <c r="B19" s="804" t="s">
        <v>166</v>
      </c>
      <c r="C19" s="823">
        <v>1280916</v>
      </c>
      <c r="D19" s="807">
        <v>8.4600000000000005E-3</v>
      </c>
      <c r="E19" s="808">
        <v>9.8200000000000006E-3</v>
      </c>
      <c r="F19" s="740">
        <f t="shared" si="0"/>
        <v>10836.549360000001</v>
      </c>
      <c r="G19" s="740">
        <f t="shared" si="1"/>
        <v>12578.59512</v>
      </c>
      <c r="H19" s="809">
        <f t="shared" si="2"/>
        <v>1742.0457599999991</v>
      </c>
      <c r="I19" s="810">
        <f t="shared" si="3"/>
        <v>0.160756501182033</v>
      </c>
    </row>
    <row r="20" spans="1:9" x14ac:dyDescent="0.25">
      <c r="A20" s="803" t="s">
        <v>399</v>
      </c>
      <c r="B20" s="804" t="s">
        <v>167</v>
      </c>
      <c r="C20" s="823">
        <v>103795280</v>
      </c>
      <c r="D20" s="807">
        <v>3.7399999999999998E-3</v>
      </c>
      <c r="E20" s="808">
        <v>3.81E-3</v>
      </c>
      <c r="F20" s="740">
        <f t="shared" si="0"/>
        <v>388194.34719999996</v>
      </c>
      <c r="G20" s="740">
        <f t="shared" si="1"/>
        <v>395460.01679999998</v>
      </c>
      <c r="H20" s="809">
        <f t="shared" si="2"/>
        <v>7265.6696000000229</v>
      </c>
      <c r="I20" s="810">
        <f t="shared" si="3"/>
        <v>1.8716577540107013E-2</v>
      </c>
    </row>
    <row r="21" spans="1:9" x14ac:dyDescent="0.25">
      <c r="A21" s="803" t="s">
        <v>131</v>
      </c>
      <c r="B21" s="804"/>
      <c r="C21" s="823">
        <v>36911044</v>
      </c>
      <c r="D21" s="811">
        <v>9.3000000000000005E-4</v>
      </c>
      <c r="E21" s="812">
        <v>9.3000000000000005E-4</v>
      </c>
      <c r="F21" s="740">
        <f t="shared" si="0"/>
        <v>34327.270920000003</v>
      </c>
      <c r="G21" s="740">
        <f t="shared" si="1"/>
        <v>34327.270920000003</v>
      </c>
      <c r="H21" s="809">
        <f t="shared" si="2"/>
        <v>0</v>
      </c>
      <c r="I21" s="810">
        <f t="shared" si="3"/>
        <v>0</v>
      </c>
    </row>
    <row r="22" spans="1:9" x14ac:dyDescent="0.25">
      <c r="A22" s="803" t="s">
        <v>90</v>
      </c>
      <c r="C22" s="813">
        <f>SUM(C9:C21)</f>
        <v>1170264197</v>
      </c>
      <c r="D22" s="814"/>
      <c r="E22" s="814"/>
      <c r="F22" s="747">
        <f t="shared" ref="F22:H22" si="4">SUM(F9:F21)</f>
        <v>21417840.086720001</v>
      </c>
      <c r="G22" s="747">
        <f t="shared" si="4"/>
        <v>26024576.013150003</v>
      </c>
      <c r="H22" s="815">
        <f t="shared" si="4"/>
        <v>4606735.9264300009</v>
      </c>
      <c r="I22" s="816">
        <f t="shared" si="3"/>
        <v>0.21508872546332899</v>
      </c>
    </row>
    <row r="23" spans="1:9" s="775" customFormat="1" x14ac:dyDescent="0.25">
      <c r="A23" s="779"/>
      <c r="B23" s="817"/>
      <c r="C23" s="818"/>
      <c r="D23" s="819"/>
      <c r="E23" s="819"/>
      <c r="F23" s="819"/>
      <c r="G23" s="819"/>
      <c r="H23" s="798"/>
    </row>
    <row r="24" spans="1:9" x14ac:dyDescent="0.25">
      <c r="F24" s="809"/>
      <c r="G24" s="809"/>
    </row>
    <row r="25" spans="1:9" x14ac:dyDescent="0.25">
      <c r="C25" s="820"/>
      <c r="F25" s="809"/>
      <c r="G25" s="809"/>
      <c r="H25" s="821"/>
    </row>
    <row r="26" spans="1:9" x14ac:dyDescent="0.25">
      <c r="A26" s="822"/>
    </row>
  </sheetData>
  <mergeCells count="4">
    <mergeCell ref="A1:I1"/>
    <mergeCell ref="A2:I2"/>
    <mergeCell ref="A3:I3"/>
    <mergeCell ref="A4:I4"/>
  </mergeCells>
  <printOptions horizontalCentered="1"/>
  <pageMargins left="0.7" right="0.7" top="0.75" bottom="0.75" header="0.3" footer="0.3"/>
  <pageSetup scale="85" orientation="landscape" blackAndWhite="1" r:id="rId1"/>
  <headerFooter>
    <oddFooter>&amp;L&amp;F 
&amp;A&amp;C&amp;P&amp;R&amp;D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
  <sheetViews>
    <sheetView workbookViewId="0">
      <selection activeCell="I37" sqref="I37"/>
    </sheetView>
  </sheetViews>
  <sheetFormatPr defaultRowHeight="12.75" x14ac:dyDescent="0.2"/>
  <sheetData/>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O152"/>
  <sheetViews>
    <sheetView zoomScale="90" zoomScaleNormal="90" workbookViewId="0">
      <selection activeCell="E9" sqref="E9"/>
    </sheetView>
  </sheetViews>
  <sheetFormatPr defaultColWidth="8.7109375" defaultRowHeight="15" outlineLevelCol="1" x14ac:dyDescent="0.25"/>
  <cols>
    <col min="1" max="1" width="3.5703125" style="82" customWidth="1"/>
    <col min="2" max="2" width="2.5703125" style="82" customWidth="1"/>
    <col min="3" max="3" width="35.140625" style="82" customWidth="1"/>
    <col min="4" max="4" width="9.140625" style="82" bestFit="1" customWidth="1"/>
    <col min="5" max="5" width="13.85546875" style="82" customWidth="1"/>
    <col min="6" max="6" width="14.85546875" style="82" bestFit="1" customWidth="1"/>
    <col min="7" max="12" width="12.7109375" style="82" customWidth="1"/>
    <col min="13" max="13" width="8.7109375" style="82"/>
    <col min="14" max="14" width="9.140625" style="82" customWidth="1" outlineLevel="1"/>
    <col min="15" max="15" width="11.85546875" bestFit="1" customWidth="1"/>
    <col min="16" max="16384" width="8.7109375" style="82"/>
  </cols>
  <sheetData>
    <row r="1" spans="1:15" x14ac:dyDescent="0.25">
      <c r="B1" s="245" t="s">
        <v>0</v>
      </c>
      <c r="C1" s="246"/>
      <c r="D1" s="246"/>
      <c r="E1" s="246"/>
      <c r="F1" s="246"/>
      <c r="G1" s="246"/>
      <c r="H1" s="246"/>
      <c r="I1" s="246"/>
      <c r="J1" s="246"/>
      <c r="K1" s="246"/>
      <c r="L1" s="246"/>
    </row>
    <row r="2" spans="1:15" s="509" customFormat="1" x14ac:dyDescent="0.25">
      <c r="A2" s="508"/>
      <c r="B2" s="244" t="str">
        <f>'CRM Rates'!A2</f>
        <v>2022 Gas Schedule 149 Cost Recovery Mechanism For Pipeline Replacement (CRM) Filing (FINAL - October Filing)</v>
      </c>
      <c r="C2" s="244"/>
      <c r="D2" s="244"/>
      <c r="E2" s="244"/>
      <c r="F2" s="244"/>
      <c r="G2" s="244"/>
      <c r="H2" s="244"/>
      <c r="I2" s="244"/>
      <c r="J2" s="244"/>
      <c r="K2" s="244"/>
      <c r="L2" s="244"/>
      <c r="M2" s="508"/>
      <c r="N2" s="508"/>
    </row>
    <row r="3" spans="1:15" s="7" customFormat="1" x14ac:dyDescent="0.25">
      <c r="A3" s="510"/>
      <c r="B3" s="511" t="s">
        <v>337</v>
      </c>
      <c r="C3" s="511"/>
      <c r="D3" s="511"/>
      <c r="E3" s="511"/>
      <c r="F3" s="511"/>
      <c r="G3" s="511"/>
      <c r="H3" s="511"/>
      <c r="I3" s="511"/>
      <c r="J3" s="511"/>
      <c r="K3" s="511"/>
      <c r="L3" s="511"/>
      <c r="M3" s="510"/>
      <c r="N3" s="510"/>
    </row>
    <row r="4" spans="1:15" s="217" customFormat="1" x14ac:dyDescent="0.25">
      <c r="A4" s="86"/>
      <c r="B4" s="495"/>
      <c r="C4" s="86"/>
      <c r="D4" s="86"/>
      <c r="E4" s="86"/>
      <c r="F4" s="86"/>
      <c r="G4" s="86"/>
      <c r="H4" s="86"/>
      <c r="I4" s="86"/>
      <c r="J4" s="86"/>
      <c r="K4" s="86"/>
      <c r="L4" s="86"/>
      <c r="M4" s="86"/>
      <c r="N4" s="86"/>
    </row>
    <row r="5" spans="1:15" s="217" customFormat="1" x14ac:dyDescent="0.25">
      <c r="A5" s="86"/>
      <c r="B5" s="86"/>
      <c r="C5" s="86"/>
      <c r="D5" s="86"/>
      <c r="E5" s="86"/>
      <c r="F5" s="496"/>
      <c r="G5" s="496" t="s">
        <v>115</v>
      </c>
      <c r="H5" s="496" t="s">
        <v>116</v>
      </c>
      <c r="I5" s="496"/>
      <c r="J5" s="496" t="s">
        <v>117</v>
      </c>
      <c r="K5" s="496" t="s">
        <v>118</v>
      </c>
      <c r="L5" s="496"/>
      <c r="M5" s="86"/>
      <c r="N5" s="86"/>
    </row>
    <row r="6" spans="1:15" s="217" customFormat="1" x14ac:dyDescent="0.25">
      <c r="A6" s="86"/>
      <c r="B6" s="86"/>
      <c r="C6" s="86"/>
      <c r="D6" s="496" t="s">
        <v>119</v>
      </c>
      <c r="E6" s="86"/>
      <c r="F6" s="496" t="s">
        <v>134</v>
      </c>
      <c r="G6" s="496" t="s">
        <v>121</v>
      </c>
      <c r="H6" s="496" t="s">
        <v>122</v>
      </c>
      <c r="I6" s="496" t="s">
        <v>123</v>
      </c>
      <c r="J6" s="496" t="s">
        <v>124</v>
      </c>
      <c r="K6" s="496" t="s">
        <v>125</v>
      </c>
      <c r="L6" s="496"/>
      <c r="M6" s="86"/>
      <c r="N6" s="86"/>
    </row>
    <row r="7" spans="1:15" s="217" customFormat="1" x14ac:dyDescent="0.25">
      <c r="A7" s="86"/>
      <c r="B7" s="86"/>
      <c r="C7" s="86"/>
      <c r="D7" s="497" t="s">
        <v>126</v>
      </c>
      <c r="E7" s="497" t="s">
        <v>90</v>
      </c>
      <c r="F7" s="497" t="s">
        <v>127</v>
      </c>
      <c r="G7" s="497" t="s">
        <v>128</v>
      </c>
      <c r="H7" s="497" t="s">
        <v>129</v>
      </c>
      <c r="I7" s="497" t="s">
        <v>130</v>
      </c>
      <c r="J7" s="497" t="s">
        <v>130</v>
      </c>
      <c r="K7" s="497" t="s">
        <v>130</v>
      </c>
      <c r="L7" s="497" t="s">
        <v>131</v>
      </c>
      <c r="M7" s="86"/>
      <c r="N7" s="74" t="s">
        <v>104</v>
      </c>
      <c r="O7" s="74" t="s">
        <v>254</v>
      </c>
    </row>
    <row r="8" spans="1:15" s="217" customFormat="1" x14ac:dyDescent="0.25">
      <c r="A8" s="86"/>
      <c r="B8" s="86" t="s">
        <v>135</v>
      </c>
      <c r="C8" s="86"/>
      <c r="D8" s="86"/>
      <c r="E8" s="90"/>
      <c r="F8" s="90"/>
      <c r="G8" s="90"/>
      <c r="H8" s="90"/>
      <c r="I8" s="90"/>
      <c r="J8" s="90"/>
      <c r="K8" s="90"/>
      <c r="L8" s="90"/>
      <c r="M8" s="86"/>
      <c r="N8" s="498"/>
    </row>
    <row r="9" spans="1:15" s="217" customFormat="1" x14ac:dyDescent="0.25">
      <c r="A9" s="86"/>
      <c r="B9" s="86"/>
      <c r="C9" s="161" t="s">
        <v>227</v>
      </c>
      <c r="D9" s="164">
        <v>376</v>
      </c>
      <c r="E9" s="499">
        <f>('2022 CAP CRM'!$E$29+'2022 CAP CRM'!$E$35)*'2022 C&amp;OM'!$L$5</f>
        <v>2941126.2365457341</v>
      </c>
      <c r="F9" s="500">
        <f>$E$9*'Allocation Factors'!E12</f>
        <v>1934884.6934065605</v>
      </c>
      <c r="G9" s="500">
        <f>$E$9*'Allocation Factors'!F12</f>
        <v>704619.98806255916</v>
      </c>
      <c r="H9" s="500">
        <f>$E$9*'Allocation Factors'!G12</f>
        <v>155018.95073643126</v>
      </c>
      <c r="I9" s="500">
        <f>$E$9*'Allocation Factors'!H12</f>
        <v>75505.936826910212</v>
      </c>
      <c r="J9" s="500">
        <f>$E$9*'Allocation Factors'!I12</f>
        <v>8131.0466709988914</v>
      </c>
      <c r="K9" s="500">
        <f>$E$9*'Allocation Factors'!J12</f>
        <v>59066.197081342623</v>
      </c>
      <c r="L9" s="500">
        <f>$E$9*'Allocation Factors'!K12</f>
        <v>3899.4237609311531</v>
      </c>
      <c r="M9" s="86"/>
      <c r="N9" s="718">
        <f t="shared" ref="N9:N15" si="0">SUM(F9:L9)-E9</f>
        <v>0</v>
      </c>
      <c r="O9" s="719"/>
    </row>
    <row r="10" spans="1:15" s="217" customFormat="1" x14ac:dyDescent="0.25">
      <c r="A10" s="86"/>
      <c r="B10" s="86"/>
      <c r="C10" s="161" t="s">
        <v>228</v>
      </c>
      <c r="D10" s="164">
        <v>380</v>
      </c>
      <c r="E10" s="499">
        <f>('2022 CAP CRM'!$E$29+'2022 CAP CRM'!$E$35)*'2022 C&amp;OM'!$L$4</f>
        <v>375205.43761433393</v>
      </c>
      <c r="F10" s="500">
        <f>$E$10*'Allocation Factors'!E17</f>
        <v>215923.60726024312</v>
      </c>
      <c r="G10" s="500">
        <f>$E$10*'Allocation Factors'!F17</f>
        <v>152592.27456460407</v>
      </c>
      <c r="H10" s="500">
        <f>$E$10*'Allocation Factors'!G17</f>
        <v>2710.8792701825796</v>
      </c>
      <c r="I10" s="500">
        <f>$E$10*'Allocation Factors'!H17</f>
        <v>2721.3523076510974</v>
      </c>
      <c r="J10" s="500">
        <f>$E$10*'Allocation Factors'!I17</f>
        <v>428.93262588101061</v>
      </c>
      <c r="K10" s="500">
        <f>$E$10*'Allocation Factors'!J17</f>
        <v>350.22387325767625</v>
      </c>
      <c r="L10" s="500">
        <f>$E$10*'Allocation Factors'!K17</f>
        <v>478.16771251446335</v>
      </c>
      <c r="M10" s="86"/>
      <c r="N10" s="718">
        <f t="shared" si="0"/>
        <v>0</v>
      </c>
      <c r="O10" s="719"/>
    </row>
    <row r="11" spans="1:15" s="217" customFormat="1" x14ac:dyDescent="0.25">
      <c r="A11" s="86"/>
      <c r="B11" s="86"/>
      <c r="C11" s="86" t="s">
        <v>90</v>
      </c>
      <c r="D11" s="164"/>
      <c r="E11" s="268">
        <f>SUM(E9:E10)</f>
        <v>3316331.6741600679</v>
      </c>
      <c r="F11" s="89">
        <f t="shared" ref="F11:L11" si="1">SUM(F9:F10)</f>
        <v>2150808.3006668035</v>
      </c>
      <c r="G11" s="89">
        <f t="shared" si="1"/>
        <v>857212.2626271632</v>
      </c>
      <c r="H11" s="89">
        <f t="shared" si="1"/>
        <v>157729.83000661383</v>
      </c>
      <c r="I11" s="89">
        <f t="shared" si="1"/>
        <v>78227.289134561317</v>
      </c>
      <c r="J11" s="89">
        <f t="shared" si="1"/>
        <v>8559.9792968799011</v>
      </c>
      <c r="K11" s="89">
        <f t="shared" si="1"/>
        <v>59416.420954600297</v>
      </c>
      <c r="L11" s="89">
        <f t="shared" si="1"/>
        <v>4377.5914734456164</v>
      </c>
      <c r="M11" s="86"/>
      <c r="N11" s="718">
        <f t="shared" si="0"/>
        <v>0</v>
      </c>
      <c r="O11" s="718">
        <f>E11-('2022 CAP CRM'!$E$29+'2022 CAP CRM'!$E$35)</f>
        <v>0</v>
      </c>
    </row>
    <row r="12" spans="1:15" s="217" customFormat="1" x14ac:dyDescent="0.25">
      <c r="A12" s="86"/>
      <c r="B12" s="86"/>
      <c r="C12" s="86"/>
      <c r="D12" s="164"/>
      <c r="E12" s="269"/>
      <c r="F12" s="90"/>
      <c r="G12" s="90"/>
      <c r="H12" s="90"/>
      <c r="I12" s="90"/>
      <c r="J12" s="90"/>
      <c r="K12" s="90"/>
      <c r="L12" s="90"/>
      <c r="M12" s="86"/>
      <c r="N12" s="718"/>
      <c r="O12" s="719"/>
    </row>
    <row r="13" spans="1:15" s="86" customFormat="1" x14ac:dyDescent="0.25">
      <c r="B13" s="86" t="s">
        <v>53</v>
      </c>
      <c r="D13" s="164"/>
      <c r="E13" s="501"/>
      <c r="F13" s="88"/>
      <c r="G13" s="88"/>
      <c r="H13" s="88"/>
      <c r="I13" s="88"/>
      <c r="J13" s="88"/>
      <c r="K13" s="88"/>
      <c r="L13" s="88"/>
      <c r="N13" s="718"/>
      <c r="O13" s="720"/>
    </row>
    <row r="14" spans="1:15" s="86" customFormat="1" x14ac:dyDescent="0.25">
      <c r="C14" s="161" t="s">
        <v>227</v>
      </c>
      <c r="D14" s="164">
        <v>376</v>
      </c>
      <c r="E14" s="502">
        <f>'2022 CAP CRM'!$E$27*'2022 C&amp;OM'!$M$5</f>
        <v>847089.81739839958</v>
      </c>
      <c r="F14" s="92">
        <f>$E$14*'Allocation Factors'!E12</f>
        <v>557276.69940128224</v>
      </c>
      <c r="G14" s="92">
        <f>$E$14*'Allocation Factors'!F12</f>
        <v>202941.44794144895</v>
      </c>
      <c r="H14" s="92">
        <f>$E$14*'Allocation Factors'!G12</f>
        <v>44647.853955034792</v>
      </c>
      <c r="I14" s="92">
        <f>$E$14*'Allocation Factors'!H12</f>
        <v>21746.876908732065</v>
      </c>
      <c r="J14" s="92">
        <f>$E$14*'Allocation Factors'!I12</f>
        <v>2341.8671236239584</v>
      </c>
      <c r="K14" s="92">
        <f>$E$14*'Allocation Factors'!J12</f>
        <v>17011.977751358372</v>
      </c>
      <c r="L14" s="92">
        <f>$E$14*'Allocation Factors'!K12</f>
        <v>1123.0943169190921</v>
      </c>
      <c r="N14" s="718">
        <f t="shared" si="0"/>
        <v>0</v>
      </c>
      <c r="O14" s="720"/>
    </row>
    <row r="15" spans="1:15" s="86" customFormat="1" x14ac:dyDescent="0.25">
      <c r="C15" s="161" t="s">
        <v>228</v>
      </c>
      <c r="D15" s="164">
        <v>380</v>
      </c>
      <c r="E15" s="502">
        <f>'2022 CAP CRM'!$E$27*'2022 C&amp;OM'!$M$4</f>
        <v>141326.69638826349</v>
      </c>
      <c r="F15" s="92">
        <f>$E$15*'Allocation Factors'!E17</f>
        <v>81330.831131753395</v>
      </c>
      <c r="G15" s="92">
        <f>$E$15*'Allocation Factors'!F17</f>
        <v>57476.144790718463</v>
      </c>
      <c r="H15" s="92">
        <f>$E$15*'Allocation Factors'!G17</f>
        <v>1021.0929084565444</v>
      </c>
      <c r="I15" s="92">
        <f>$E$15*'Allocation Factors'!H17</f>
        <v>1025.0377334462544</v>
      </c>
      <c r="J15" s="92">
        <f>$E$15*'Allocation Factors'!I17</f>
        <v>161.56383919791665</v>
      </c>
      <c r="K15" s="92">
        <f>$E$15*'Allocation Factors'!J17</f>
        <v>131.91701942946042</v>
      </c>
      <c r="L15" s="92">
        <f>$E$15*'Allocation Factors'!K17</f>
        <v>180.10896526148946</v>
      </c>
      <c r="N15" s="718">
        <f t="shared" si="0"/>
        <v>0</v>
      </c>
      <c r="O15" s="720"/>
    </row>
    <row r="16" spans="1:15" s="86" customFormat="1" x14ac:dyDescent="0.25">
      <c r="C16" s="86" t="s">
        <v>90</v>
      </c>
      <c r="D16" s="164"/>
      <c r="E16" s="268">
        <f>SUM(E14:E15)</f>
        <v>988416.51378666307</v>
      </c>
      <c r="F16" s="89">
        <f t="shared" ref="F16:L16" si="2">SUM(F14:F15)</f>
        <v>638607.53053303564</v>
      </c>
      <c r="G16" s="89">
        <f t="shared" si="2"/>
        <v>260417.5927321674</v>
      </c>
      <c r="H16" s="89">
        <f t="shared" si="2"/>
        <v>45668.946863491336</v>
      </c>
      <c r="I16" s="89">
        <f t="shared" si="2"/>
        <v>22771.914642178319</v>
      </c>
      <c r="J16" s="89">
        <f t="shared" si="2"/>
        <v>2503.4309628218753</v>
      </c>
      <c r="K16" s="89">
        <f t="shared" si="2"/>
        <v>17143.894770787832</v>
      </c>
      <c r="L16" s="89">
        <f t="shared" si="2"/>
        <v>1303.2032821805815</v>
      </c>
      <c r="N16" s="718">
        <f>SUM(F16:L16)-E16</f>
        <v>0</v>
      </c>
      <c r="O16" s="718">
        <f>E11+E16-'2022 CAP CRM'!E37</f>
        <v>0</v>
      </c>
    </row>
    <row r="17" spans="1:15" s="86" customFormat="1" x14ac:dyDescent="0.25">
      <c r="D17" s="164"/>
      <c r="E17" s="269"/>
      <c r="F17" s="90"/>
      <c r="G17" s="90"/>
      <c r="H17" s="90"/>
      <c r="I17" s="90"/>
      <c r="J17" s="90"/>
      <c r="K17" s="90"/>
      <c r="L17" s="90"/>
      <c r="N17" s="718"/>
      <c r="O17" s="720"/>
    </row>
    <row r="18" spans="1:15" s="86" customFormat="1" x14ac:dyDescent="0.25">
      <c r="B18" s="161" t="s">
        <v>215</v>
      </c>
      <c r="D18" s="164"/>
      <c r="E18" s="269"/>
      <c r="F18" s="90"/>
      <c r="G18" s="90"/>
      <c r="H18" s="90"/>
      <c r="I18" s="90"/>
      <c r="J18" s="90"/>
      <c r="K18" s="90"/>
      <c r="L18" s="90"/>
      <c r="N18" s="718"/>
      <c r="O18" s="720"/>
    </row>
    <row r="19" spans="1:15" s="86" customFormat="1" x14ac:dyDescent="0.25">
      <c r="C19" s="161" t="s">
        <v>229</v>
      </c>
      <c r="D19" s="503">
        <f>'2022 C&amp;OM'!O13</f>
        <v>874</v>
      </c>
      <c r="E19" s="502">
        <f>'2022 C&amp;OM'!F14*'2022 C&amp;OM'!O14+'2022 C&amp;OM'!F16*'2022 C&amp;OM'!O16+'2022 C&amp;OM'!F18*'2022 C&amp;OM'!O18</f>
        <v>3064864.3889060919</v>
      </c>
      <c r="F19" s="92">
        <f>$E$19*'Allocation Factors'!E20</f>
        <v>1922354.3976887555</v>
      </c>
      <c r="G19" s="92">
        <f>$E$19*'Allocation Factors'!F20</f>
        <v>924792.75205823081</v>
      </c>
      <c r="H19" s="92">
        <f>$E$19*'Allocation Factors'!G20</f>
        <v>109686.40676424216</v>
      </c>
      <c r="I19" s="92">
        <f>$E$19*'Allocation Factors'!H20</f>
        <v>57682.499465942834</v>
      </c>
      <c r="J19" s="92">
        <f>$E$19*'Allocation Factors'!I20</f>
        <v>6624.5617546360445</v>
      </c>
      <c r="K19" s="92">
        <f>$E$19*'Allocation Factors'!J20</f>
        <v>39718.905841631858</v>
      </c>
      <c r="L19" s="92">
        <f>$E$19*'Allocation Factors'!K20</f>
        <v>4004.865332652143</v>
      </c>
      <c r="N19" s="718">
        <f t="shared" ref="N19:N21" si="3">SUM(F19:L19)-E19</f>
        <v>0</v>
      </c>
      <c r="O19" s="720"/>
    </row>
    <row r="20" spans="1:15" s="86" customFormat="1" x14ac:dyDescent="0.25">
      <c r="C20" s="161" t="str">
        <f>'Allocation Factors'!C22&amp;" (FERC "&amp;'Allocation Factors'!B22&amp;")"</f>
        <v>Oper Meter &amp; House Reg (FERC 878)</v>
      </c>
      <c r="D20" s="503">
        <f>'2022 C&amp;OM'!M13</f>
        <v>878</v>
      </c>
      <c r="E20" s="502">
        <f>'2022 C&amp;OM'!F14*'2022 C&amp;OM'!M14</f>
        <v>0</v>
      </c>
      <c r="F20" s="92">
        <f>$E$20*'Allocation Factors'!E23</f>
        <v>0</v>
      </c>
      <c r="G20" s="92">
        <f>$E$20*'Allocation Factors'!F23</f>
        <v>0</v>
      </c>
      <c r="H20" s="92">
        <f>$E$20*'Allocation Factors'!G23</f>
        <v>0</v>
      </c>
      <c r="I20" s="92">
        <f>$E$20*'Allocation Factors'!H23</f>
        <v>0</v>
      </c>
      <c r="J20" s="92">
        <f>$E$20*'Allocation Factors'!I23</f>
        <v>0</v>
      </c>
      <c r="K20" s="92">
        <f>$E$20*'Allocation Factors'!J23</f>
        <v>0</v>
      </c>
      <c r="L20" s="92">
        <f>$E$20*'Allocation Factors'!K23</f>
        <v>0</v>
      </c>
      <c r="N20" s="718">
        <f t="shared" ref="N20" si="4">SUM(F20:L20)-E20</f>
        <v>0</v>
      </c>
      <c r="O20" s="720"/>
    </row>
    <row r="21" spans="1:15" s="86" customFormat="1" x14ac:dyDescent="0.25">
      <c r="C21" s="161" t="str">
        <f>'Allocation Factors'!C25&amp;" (FERC "&amp;'Allocation Factors'!B25&amp;")"</f>
        <v>Maint Mains (FERC 887)</v>
      </c>
      <c r="D21" s="503">
        <f>'2022 C&amp;OM'!N13</f>
        <v>887</v>
      </c>
      <c r="E21" s="502">
        <f>'2022 C&amp;OM'!F17*'2022 C&amp;OM'!N17</f>
        <v>36404.316557550315</v>
      </c>
      <c r="F21" s="92">
        <f>$E$21*'Allocation Factors'!E26</f>
        <v>23949.381704832453</v>
      </c>
      <c r="G21" s="92">
        <f>$E$21*'Allocation Factors'!F26</f>
        <v>8721.560053924557</v>
      </c>
      <c r="H21" s="92">
        <f>$E$21*'Allocation Factors'!G26</f>
        <v>1918.7748165669695</v>
      </c>
      <c r="I21" s="92">
        <f>$E$21*'Allocation Factors'!H26</f>
        <v>934.58825128483852</v>
      </c>
      <c r="J21" s="92">
        <f>$E$21*'Allocation Factors'!I26</f>
        <v>100.64348591269879</v>
      </c>
      <c r="K21" s="92">
        <f>$E$21*'Allocation Factors'!J26</f>
        <v>731.10242929432172</v>
      </c>
      <c r="L21" s="92">
        <f>$E$21*'Allocation Factors'!K26</f>
        <v>48.265815734483432</v>
      </c>
      <c r="N21" s="718">
        <f t="shared" si="3"/>
        <v>0</v>
      </c>
      <c r="O21" s="720"/>
    </row>
    <row r="22" spans="1:15" s="86" customFormat="1" x14ac:dyDescent="0.25">
      <c r="C22" s="161" t="str">
        <f>'Allocation Factors'!C28&amp;" (FERC "&amp;'Allocation Factors'!B28&amp;")"</f>
        <v>Maint Services (FERC 892)</v>
      </c>
      <c r="D22" s="503">
        <f>'2022 C&amp;OM'!K13</f>
        <v>892</v>
      </c>
      <c r="E22" s="502">
        <f>'2022 C&amp;OM'!F14*'2022 C&amp;OM'!K14+'2022 C&amp;OM'!F15*'2022 C&amp;OM'!K15+'2022 C&amp;OM'!F17*'2022 C&amp;OM'!K17</f>
        <v>843836.38563523919</v>
      </c>
      <c r="F22" s="92">
        <f>$E$22*'Allocation Factors'!E29</f>
        <v>485611.82237206917</v>
      </c>
      <c r="G22" s="92">
        <f>$E$22*'Allocation Factors'!F29</f>
        <v>343179.76376666554</v>
      </c>
      <c r="H22" s="92">
        <f>$E$22*'Allocation Factors'!G29</f>
        <v>6096.7628288896949</v>
      </c>
      <c r="I22" s="92">
        <f>$E$22*'Allocation Factors'!H29</f>
        <v>6120.316672192841</v>
      </c>
      <c r="J22" s="92">
        <f>$E$22*'Allocation Factors'!I29</f>
        <v>964.66873989311478</v>
      </c>
      <c r="K22" s="92">
        <f>$E$22*'Allocation Factors'!J29</f>
        <v>787.65289024596302</v>
      </c>
      <c r="L22" s="92">
        <f>$E$22*'Allocation Factors'!K29</f>
        <v>1075.3983652828065</v>
      </c>
      <c r="N22" s="718">
        <f>SUM(F22:L22)-E22</f>
        <v>0</v>
      </c>
      <c r="O22" s="720"/>
    </row>
    <row r="23" spans="1:15" s="86" customFormat="1" x14ac:dyDescent="0.25">
      <c r="C23" s="161" t="str">
        <f>'Allocation Factors'!C31&amp;" (FERC "&amp;'Allocation Factors'!B31&amp;")"</f>
        <v>Maint Meters &amp; House Reg (FERC 893)</v>
      </c>
      <c r="D23" s="503">
        <f>'2022 C&amp;OM'!L13</f>
        <v>893</v>
      </c>
      <c r="E23" s="502">
        <f>'2022 C&amp;OM'!F14*'2022 C&amp;OM'!L14</f>
        <v>2022.7569011186747</v>
      </c>
      <c r="F23" s="92">
        <f>$E$23*'Allocation Factors'!E32</f>
        <v>1601.6922236715243</v>
      </c>
      <c r="G23" s="92">
        <f>$E$23*'Allocation Factors'!F32</f>
        <v>412.79282127736167</v>
      </c>
      <c r="H23" s="92">
        <f>$E$23*'Allocation Factors'!G32</f>
        <v>8.1829005221093372</v>
      </c>
      <c r="I23" s="92">
        <f>$E$23*'Allocation Factors'!H32</f>
        <v>4.644358090296527E-2</v>
      </c>
      <c r="J23" s="92">
        <f>$E$23*'Allocation Factors'!I32</f>
        <v>2.7030873142139117E-2</v>
      </c>
      <c r="K23" s="92">
        <f>$E$23*'Allocation Factors'!J32</f>
        <v>0</v>
      </c>
      <c r="L23" s="92">
        <f>$E$23*'Allocation Factors'!K32</f>
        <v>1.5481193634321757E-2</v>
      </c>
      <c r="N23" s="718">
        <f>SUM(F23:L23)-E23</f>
        <v>0</v>
      </c>
      <c r="O23" s="720"/>
    </row>
    <row r="24" spans="1:15" s="86" customFormat="1" x14ac:dyDescent="0.25">
      <c r="C24" s="161" t="s">
        <v>90</v>
      </c>
      <c r="E24" s="89">
        <f t="shared" ref="E24:L24" si="5">SUM(E19:E23)</f>
        <v>3947127.8480000002</v>
      </c>
      <c r="F24" s="89">
        <f t="shared" si="5"/>
        <v>2433517.2939893287</v>
      </c>
      <c r="G24" s="89">
        <f t="shared" si="5"/>
        <v>1277106.8687000982</v>
      </c>
      <c r="H24" s="89">
        <f t="shared" si="5"/>
        <v>117710.12731022094</v>
      </c>
      <c r="I24" s="89">
        <f t="shared" si="5"/>
        <v>64737.450833001421</v>
      </c>
      <c r="J24" s="89">
        <f t="shared" si="5"/>
        <v>7689.9010113149998</v>
      </c>
      <c r="K24" s="89">
        <f t="shared" si="5"/>
        <v>41237.661161172138</v>
      </c>
      <c r="L24" s="89">
        <f t="shared" si="5"/>
        <v>5128.5449948630676</v>
      </c>
      <c r="N24" s="718">
        <f>SUM(F24:L24)-E24</f>
        <v>0</v>
      </c>
      <c r="O24" s="718">
        <f>E24-'2022 C&amp;OM'!F19</f>
        <v>0</v>
      </c>
    </row>
    <row r="25" spans="1:15" s="86" customFormat="1" x14ac:dyDescent="0.25">
      <c r="E25" s="88"/>
      <c r="F25" s="88"/>
      <c r="G25" s="88"/>
      <c r="H25" s="88"/>
      <c r="I25" s="88"/>
      <c r="J25" s="88"/>
      <c r="K25" s="88"/>
      <c r="L25" s="88"/>
      <c r="N25" s="718"/>
      <c r="O25" s="720"/>
    </row>
    <row r="26" spans="1:15" s="86" customFormat="1" x14ac:dyDescent="0.25">
      <c r="B26" s="86" t="s">
        <v>136</v>
      </c>
      <c r="E26" s="88">
        <f t="shared" ref="E26:L26" si="6">E11+E16+E24</f>
        <v>8251876.0359467315</v>
      </c>
      <c r="F26" s="88">
        <f t="shared" si="6"/>
        <v>5222933.1251891684</v>
      </c>
      <c r="G26" s="88">
        <f t="shared" si="6"/>
        <v>2394736.724059429</v>
      </c>
      <c r="H26" s="88">
        <f t="shared" si="6"/>
        <v>321108.90418032615</v>
      </c>
      <c r="I26" s="88">
        <f t="shared" si="6"/>
        <v>165736.65460974106</v>
      </c>
      <c r="J26" s="88">
        <f t="shared" si="6"/>
        <v>18753.311271016777</v>
      </c>
      <c r="K26" s="88">
        <f t="shared" si="6"/>
        <v>117797.97688656027</v>
      </c>
      <c r="L26" s="88">
        <f t="shared" si="6"/>
        <v>10809.339750489265</v>
      </c>
      <c r="N26" s="718">
        <f t="shared" ref="N26" si="7">SUM(F26:L26)-E26</f>
        <v>0</v>
      </c>
      <c r="O26" s="720"/>
    </row>
    <row r="27" spans="1:15" s="86" customFormat="1" x14ac:dyDescent="0.25">
      <c r="B27" s="86" t="s">
        <v>137</v>
      </c>
      <c r="E27" s="504">
        <f>'2019 GRC'!$J$40</f>
        <v>0.95255299999999998</v>
      </c>
      <c r="F27" s="88"/>
      <c r="G27" s="88"/>
      <c r="H27" s="88"/>
      <c r="I27" s="88"/>
      <c r="J27" s="88"/>
      <c r="K27" s="88"/>
      <c r="L27" s="88"/>
      <c r="N27" s="718"/>
      <c r="O27" s="720"/>
    </row>
    <row r="28" spans="1:15" s="86" customFormat="1" x14ac:dyDescent="0.25">
      <c r="B28" s="87" t="s">
        <v>138</v>
      </c>
      <c r="C28" s="87"/>
      <c r="D28" s="87"/>
      <c r="E28" s="93">
        <f>E26/$E$27</f>
        <v>8662904.883976778</v>
      </c>
      <c r="F28" s="93">
        <f t="shared" ref="F28:L28" si="8">F26/$E$27</f>
        <v>5483089.2613735599</v>
      </c>
      <c r="G28" s="93">
        <f t="shared" si="8"/>
        <v>2514019.4026573105</v>
      </c>
      <c r="H28" s="93">
        <f t="shared" si="8"/>
        <v>337103.45165080176</v>
      </c>
      <c r="I28" s="93">
        <f t="shared" si="8"/>
        <v>173992.05567537036</v>
      </c>
      <c r="J28" s="93">
        <f t="shared" si="8"/>
        <v>19687.420302090042</v>
      </c>
      <c r="K28" s="93">
        <f t="shared" si="8"/>
        <v>123665.53555189083</v>
      </c>
      <c r="L28" s="93">
        <f t="shared" si="8"/>
        <v>11347.756765753995</v>
      </c>
      <c r="N28" s="718">
        <f t="shared" ref="N28" si="9">SUM(F28:L28)-E28</f>
        <v>0</v>
      </c>
      <c r="O28" s="718">
        <f>E28-'Summary - Revenue Requirement'!B14</f>
        <v>0</v>
      </c>
    </row>
    <row r="29" spans="1:15" s="86" customFormat="1" x14ac:dyDescent="0.25">
      <c r="F29" s="88"/>
      <c r="G29" s="88"/>
      <c r="H29" s="88"/>
      <c r="I29" s="88"/>
      <c r="J29" s="88"/>
      <c r="K29" s="88"/>
      <c r="L29" s="88"/>
    </row>
    <row r="30" spans="1:15" s="217" customFormat="1" x14ac:dyDescent="0.25">
      <c r="A30" s="86"/>
      <c r="B30" s="86" t="s">
        <v>139</v>
      </c>
      <c r="C30" s="86"/>
      <c r="D30" s="86"/>
      <c r="E30" s="505">
        <f>SUM(F30:L30)</f>
        <v>0.99999999999999989</v>
      </c>
      <c r="F30" s="505">
        <f>F28/$E28</f>
        <v>0.63293887383148806</v>
      </c>
      <c r="G30" s="505">
        <f t="shared" ref="G30:L30" si="10">G28/$E28</f>
        <v>0.29020512591651926</v>
      </c>
      <c r="H30" s="505">
        <f t="shared" si="10"/>
        <v>3.8913442565243962E-2</v>
      </c>
      <c r="I30" s="505">
        <f t="shared" si="10"/>
        <v>2.0084724235769038E-2</v>
      </c>
      <c r="J30" s="505">
        <f t="shared" si="10"/>
        <v>2.2726118508474688E-3</v>
      </c>
      <c r="K30" s="505">
        <f t="shared" si="10"/>
        <v>1.4275296474814941E-2</v>
      </c>
      <c r="L30" s="505">
        <f t="shared" si="10"/>
        <v>1.3099251253171687E-3</v>
      </c>
      <c r="M30" s="86"/>
      <c r="N30" s="86"/>
    </row>
    <row r="31" spans="1:15" s="217" customFormat="1" x14ac:dyDescent="0.25">
      <c r="A31" s="86"/>
      <c r="B31" s="86"/>
      <c r="C31" s="86"/>
      <c r="D31" s="86"/>
      <c r="E31" s="86"/>
      <c r="F31" s="88"/>
      <c r="G31" s="88"/>
      <c r="H31" s="88"/>
      <c r="I31" s="88"/>
      <c r="J31" s="88"/>
      <c r="K31" s="88"/>
      <c r="L31" s="88"/>
      <c r="M31" s="86"/>
      <c r="N31" s="86"/>
    </row>
    <row r="32" spans="1:15" customFormat="1" x14ac:dyDescent="0.25">
      <c r="A32" s="82"/>
      <c r="B32" s="82"/>
      <c r="C32" s="82"/>
      <c r="D32" s="82"/>
      <c r="E32" s="82"/>
      <c r="F32" s="82"/>
      <c r="G32" s="82"/>
      <c r="H32" s="82"/>
      <c r="I32" s="82"/>
      <c r="J32" s="82"/>
      <c r="K32" s="82"/>
      <c r="L32" s="82"/>
      <c r="M32" s="82"/>
      <c r="N32" s="82"/>
    </row>
    <row r="33" spans="1:14" customFormat="1" x14ac:dyDescent="0.25">
      <c r="A33" s="82"/>
      <c r="B33" s="82"/>
      <c r="C33" s="82"/>
      <c r="D33" s="82"/>
      <c r="E33" s="82"/>
      <c r="F33" s="82"/>
      <c r="G33" s="82"/>
      <c r="H33" s="82"/>
      <c r="I33" s="82"/>
      <c r="J33" s="82"/>
      <c r="K33" s="82"/>
      <c r="L33" s="82"/>
      <c r="M33" s="82"/>
      <c r="N33" s="82"/>
    </row>
    <row r="34" spans="1:14" customFormat="1" x14ac:dyDescent="0.25">
      <c r="A34" s="82"/>
      <c r="B34" s="82"/>
      <c r="C34" s="82"/>
      <c r="D34" s="82"/>
      <c r="E34" s="82"/>
      <c r="F34" s="82"/>
      <c r="G34" s="82"/>
      <c r="H34" s="82"/>
      <c r="I34" s="82"/>
      <c r="J34" s="82"/>
      <c r="K34" s="82"/>
      <c r="L34" s="82"/>
      <c r="M34" s="82"/>
      <c r="N34" s="82"/>
    </row>
    <row r="35" spans="1:14" customFormat="1" x14ac:dyDescent="0.25">
      <c r="A35" s="82"/>
      <c r="B35" s="82"/>
      <c r="C35" s="82"/>
      <c r="D35" s="82"/>
      <c r="E35" s="82"/>
      <c r="F35" s="82"/>
      <c r="G35" s="82"/>
      <c r="H35" s="82"/>
      <c r="I35" s="82"/>
      <c r="J35" s="82"/>
      <c r="K35" s="82"/>
      <c r="L35" s="82"/>
      <c r="M35" s="82"/>
      <c r="N35" s="82"/>
    </row>
    <row r="36" spans="1:14" customFormat="1" x14ac:dyDescent="0.25">
      <c r="A36" s="82"/>
      <c r="B36" s="82"/>
      <c r="C36" s="82"/>
      <c r="D36" s="82"/>
      <c r="E36" s="82"/>
      <c r="F36" s="82"/>
      <c r="G36" s="82"/>
      <c r="H36" s="82"/>
      <c r="I36" s="82"/>
      <c r="J36" s="82"/>
      <c r="K36" s="82"/>
      <c r="L36" s="82"/>
      <c r="M36" s="82"/>
      <c r="N36" s="82"/>
    </row>
    <row r="37" spans="1:14" customFormat="1" x14ac:dyDescent="0.25">
      <c r="A37" s="82"/>
      <c r="B37" s="82"/>
      <c r="C37" s="82"/>
      <c r="D37" s="82"/>
      <c r="E37" s="82"/>
      <c r="F37" s="82"/>
      <c r="G37" s="82"/>
      <c r="H37" s="82"/>
      <c r="I37" s="82"/>
      <c r="J37" s="82"/>
      <c r="K37" s="82"/>
      <c r="L37" s="82"/>
      <c r="M37" s="82"/>
      <c r="N37" s="82"/>
    </row>
    <row r="38" spans="1:14" customFormat="1" x14ac:dyDescent="0.25">
      <c r="A38" s="82"/>
      <c r="B38" s="82"/>
      <c r="C38" s="82"/>
      <c r="D38" s="82"/>
      <c r="E38" s="82"/>
      <c r="F38" s="82"/>
      <c r="G38" s="82"/>
      <c r="H38" s="82"/>
      <c r="I38" s="82"/>
      <c r="J38" s="82"/>
      <c r="K38" s="82"/>
      <c r="L38" s="82"/>
      <c r="M38" s="82"/>
      <c r="N38" s="82"/>
    </row>
    <row r="39" spans="1:14" customFormat="1" x14ac:dyDescent="0.25">
      <c r="A39" s="82"/>
      <c r="B39" s="82"/>
      <c r="C39" s="82"/>
      <c r="D39" s="82"/>
      <c r="E39" s="82"/>
      <c r="F39" s="82"/>
      <c r="G39" s="82"/>
      <c r="H39" s="82"/>
      <c r="I39" s="82"/>
      <c r="J39" s="82"/>
      <c r="K39" s="82"/>
      <c r="L39" s="82"/>
      <c r="M39" s="82"/>
      <c r="N39" s="82"/>
    </row>
    <row r="40" spans="1:14" customFormat="1" x14ac:dyDescent="0.25">
      <c r="A40" s="82"/>
      <c r="B40" s="82"/>
      <c r="C40" s="82"/>
      <c r="D40" s="82"/>
      <c r="E40" s="82"/>
      <c r="F40" s="82"/>
      <c r="G40" s="82"/>
      <c r="H40" s="82"/>
      <c r="I40" s="82"/>
      <c r="J40" s="82"/>
      <c r="K40" s="82"/>
      <c r="L40" s="82"/>
      <c r="M40" s="82"/>
      <c r="N40" s="82"/>
    </row>
    <row r="41" spans="1:14" customFormat="1" x14ac:dyDescent="0.25">
      <c r="A41" s="82"/>
      <c r="B41" s="82"/>
      <c r="C41" s="82"/>
      <c r="D41" s="82"/>
      <c r="E41" s="82"/>
      <c r="F41" s="82"/>
      <c r="G41" s="82"/>
      <c r="H41" s="82"/>
      <c r="I41" s="82"/>
      <c r="J41" s="82"/>
      <c r="K41" s="82"/>
      <c r="L41" s="82"/>
      <c r="M41" s="82"/>
      <c r="N41" s="82"/>
    </row>
    <row r="42" spans="1:14" customFormat="1" x14ac:dyDescent="0.25">
      <c r="A42" s="82"/>
      <c r="B42" s="82"/>
      <c r="C42" s="82"/>
      <c r="D42" s="82"/>
      <c r="E42" s="82"/>
      <c r="F42" s="82"/>
      <c r="G42" s="82"/>
      <c r="H42" s="82"/>
      <c r="I42" s="82"/>
      <c r="J42" s="82"/>
      <c r="K42" s="82"/>
      <c r="L42" s="82"/>
      <c r="M42" s="82"/>
      <c r="N42" s="82"/>
    </row>
    <row r="43" spans="1:14" customFormat="1" x14ac:dyDescent="0.25">
      <c r="A43" s="82"/>
      <c r="B43" s="82"/>
      <c r="C43" s="82"/>
      <c r="D43" s="82"/>
      <c r="E43" s="82"/>
      <c r="F43" s="82"/>
      <c r="G43" s="82"/>
      <c r="H43" s="82"/>
      <c r="I43" s="82"/>
      <c r="J43" s="82"/>
      <c r="K43" s="82"/>
      <c r="L43" s="82"/>
      <c r="M43" s="82"/>
      <c r="N43" s="82"/>
    </row>
    <row r="44" spans="1:14" customFormat="1" x14ac:dyDescent="0.25">
      <c r="A44" s="82"/>
      <c r="B44" s="82"/>
      <c r="C44" s="82"/>
      <c r="D44" s="82"/>
      <c r="E44" s="82"/>
      <c r="F44" s="82"/>
      <c r="G44" s="82"/>
      <c r="H44" s="82"/>
      <c r="I44" s="82"/>
      <c r="J44" s="82"/>
      <c r="K44" s="82"/>
      <c r="L44" s="82"/>
      <c r="M44" s="82"/>
      <c r="N44" s="82"/>
    </row>
    <row r="45" spans="1:14" customFormat="1" x14ac:dyDescent="0.25">
      <c r="A45" s="82"/>
      <c r="B45" s="82"/>
      <c r="C45" s="82"/>
      <c r="D45" s="82"/>
      <c r="E45" s="82"/>
      <c r="F45" s="82"/>
      <c r="G45" s="82"/>
      <c r="H45" s="82"/>
      <c r="I45" s="82"/>
      <c r="J45" s="82"/>
      <c r="K45" s="82"/>
      <c r="L45" s="82"/>
      <c r="M45" s="82"/>
      <c r="N45" s="82"/>
    </row>
    <row r="46" spans="1:14" customFormat="1" x14ac:dyDescent="0.25">
      <c r="A46" s="82"/>
      <c r="B46" s="82"/>
      <c r="C46" s="82"/>
      <c r="D46" s="82"/>
      <c r="E46" s="82"/>
      <c r="F46" s="82"/>
      <c r="G46" s="82"/>
      <c r="H46" s="82"/>
      <c r="I46" s="82"/>
      <c r="J46" s="82"/>
      <c r="K46" s="82"/>
      <c r="L46" s="82"/>
      <c r="M46" s="82"/>
      <c r="N46" s="82"/>
    </row>
    <row r="47" spans="1:14" customFormat="1" x14ac:dyDescent="0.25">
      <c r="A47" s="82"/>
      <c r="B47" s="82"/>
      <c r="C47" s="82"/>
      <c r="D47" s="82"/>
      <c r="E47" s="82"/>
      <c r="F47" s="82"/>
      <c r="G47" s="82"/>
      <c r="H47" s="82"/>
      <c r="I47" s="82"/>
      <c r="J47" s="82"/>
      <c r="K47" s="82"/>
      <c r="L47" s="82"/>
      <c r="M47" s="82"/>
      <c r="N47" s="82"/>
    </row>
    <row r="48" spans="1:14" customFormat="1" x14ac:dyDescent="0.25">
      <c r="A48" s="82"/>
      <c r="B48" s="82"/>
      <c r="C48" s="82"/>
      <c r="D48" s="82"/>
      <c r="E48" s="82"/>
      <c r="F48" s="82"/>
      <c r="G48" s="82"/>
      <c r="H48" s="82"/>
      <c r="I48" s="82"/>
      <c r="J48" s="82"/>
      <c r="K48" s="82"/>
      <c r="L48" s="82"/>
      <c r="M48" s="82"/>
      <c r="N48" s="82"/>
    </row>
    <row r="49" spans="1:14" customFormat="1" x14ac:dyDescent="0.25">
      <c r="A49" s="82"/>
      <c r="B49" s="82"/>
      <c r="C49" s="82"/>
      <c r="D49" s="82"/>
      <c r="E49" s="82"/>
      <c r="F49" s="82"/>
      <c r="G49" s="82"/>
      <c r="H49" s="82"/>
      <c r="I49" s="82"/>
      <c r="J49" s="82"/>
      <c r="K49" s="82"/>
      <c r="L49" s="82"/>
      <c r="M49" s="82"/>
      <c r="N49" s="82"/>
    </row>
    <row r="50" spans="1:14" customFormat="1" x14ac:dyDescent="0.25">
      <c r="A50" s="82"/>
      <c r="B50" s="82"/>
      <c r="C50" s="82"/>
      <c r="D50" s="82"/>
      <c r="E50" s="82"/>
      <c r="F50" s="82"/>
      <c r="G50" s="82"/>
      <c r="H50" s="82"/>
      <c r="I50" s="82"/>
      <c r="J50" s="82"/>
      <c r="K50" s="82"/>
      <c r="L50" s="82"/>
      <c r="M50" s="82"/>
      <c r="N50" s="82"/>
    </row>
    <row r="51" spans="1:14" customFormat="1" x14ac:dyDescent="0.25">
      <c r="A51" s="82"/>
      <c r="B51" s="82"/>
      <c r="C51" s="82"/>
      <c r="D51" s="82"/>
      <c r="E51" s="82"/>
      <c r="F51" s="82"/>
      <c r="G51" s="82"/>
      <c r="H51" s="82"/>
      <c r="I51" s="82"/>
      <c r="J51" s="82"/>
      <c r="K51" s="82"/>
      <c r="L51" s="82"/>
      <c r="M51" s="82"/>
      <c r="N51" s="82"/>
    </row>
    <row r="52" spans="1:14" customFormat="1" x14ac:dyDescent="0.25">
      <c r="A52" s="82"/>
      <c r="B52" s="82"/>
      <c r="C52" s="82"/>
      <c r="D52" s="82"/>
      <c r="E52" s="82"/>
      <c r="F52" s="82"/>
      <c r="G52" s="82"/>
      <c r="H52" s="82"/>
      <c r="I52" s="82"/>
      <c r="J52" s="82"/>
      <c r="K52" s="82"/>
      <c r="L52" s="82"/>
      <c r="M52" s="82"/>
      <c r="N52" s="82"/>
    </row>
    <row r="53" spans="1:14" customFormat="1" x14ac:dyDescent="0.25">
      <c r="A53" s="82"/>
      <c r="B53" s="82"/>
      <c r="C53" s="82"/>
      <c r="D53" s="82"/>
      <c r="E53" s="82"/>
      <c r="F53" s="82"/>
      <c r="G53" s="82"/>
      <c r="H53" s="82"/>
      <c r="I53" s="82"/>
      <c r="J53" s="82"/>
      <c r="K53" s="82"/>
      <c r="L53" s="82"/>
      <c r="M53" s="82"/>
      <c r="N53" s="82"/>
    </row>
    <row r="54" spans="1:14" customFormat="1" x14ac:dyDescent="0.25">
      <c r="A54" s="82"/>
      <c r="B54" s="82"/>
      <c r="C54" s="82"/>
      <c r="D54" s="82"/>
      <c r="E54" s="82"/>
      <c r="F54" s="82"/>
      <c r="G54" s="82"/>
      <c r="H54" s="82"/>
      <c r="I54" s="82"/>
      <c r="J54" s="82"/>
      <c r="K54" s="82"/>
      <c r="L54" s="82"/>
      <c r="M54" s="82"/>
      <c r="N54" s="82"/>
    </row>
    <row r="55" spans="1:14" customFormat="1" x14ac:dyDescent="0.25">
      <c r="A55" s="82"/>
      <c r="B55" s="82"/>
      <c r="C55" s="82"/>
      <c r="D55" s="82"/>
      <c r="E55" s="82"/>
      <c r="F55" s="82"/>
      <c r="G55" s="82"/>
      <c r="H55" s="82"/>
      <c r="I55" s="82"/>
      <c r="J55" s="82"/>
      <c r="K55" s="82"/>
      <c r="L55" s="82"/>
      <c r="M55" s="82"/>
      <c r="N55" s="82"/>
    </row>
    <row r="56" spans="1:14" customFormat="1" x14ac:dyDescent="0.25">
      <c r="A56" s="82"/>
      <c r="B56" s="82"/>
      <c r="C56" s="82"/>
      <c r="D56" s="82"/>
      <c r="E56" s="82"/>
      <c r="F56" s="82"/>
      <c r="G56" s="82"/>
      <c r="H56" s="82"/>
      <c r="I56" s="82"/>
      <c r="J56" s="82"/>
      <c r="K56" s="82"/>
      <c r="L56" s="82"/>
      <c r="M56" s="82"/>
      <c r="N56" s="82"/>
    </row>
    <row r="57" spans="1:14" customFormat="1" x14ac:dyDescent="0.25">
      <c r="A57" s="82"/>
      <c r="B57" s="82"/>
      <c r="C57" s="82"/>
      <c r="D57" s="82"/>
      <c r="E57" s="82"/>
      <c r="F57" s="82"/>
      <c r="G57" s="82"/>
      <c r="H57" s="82"/>
      <c r="I57" s="82"/>
      <c r="J57" s="82"/>
      <c r="K57" s="82"/>
      <c r="L57" s="82"/>
      <c r="M57" s="82"/>
      <c r="N57" s="82"/>
    </row>
    <row r="58" spans="1:14" customFormat="1" x14ac:dyDescent="0.25">
      <c r="A58" s="82"/>
      <c r="B58" s="82"/>
      <c r="C58" s="82"/>
      <c r="D58" s="82"/>
      <c r="E58" s="82"/>
      <c r="F58" s="82"/>
      <c r="G58" s="82"/>
      <c r="H58" s="82"/>
      <c r="I58" s="82"/>
      <c r="J58" s="82"/>
      <c r="K58" s="82"/>
      <c r="L58" s="82"/>
      <c r="M58" s="82"/>
      <c r="N58" s="82"/>
    </row>
    <row r="59" spans="1:14" customFormat="1" x14ac:dyDescent="0.25">
      <c r="A59" s="82"/>
      <c r="B59" s="82"/>
      <c r="C59" s="82"/>
      <c r="D59" s="82"/>
      <c r="E59" s="82"/>
      <c r="F59" s="82"/>
      <c r="G59" s="82"/>
      <c r="H59" s="82"/>
      <c r="I59" s="82"/>
      <c r="J59" s="82"/>
      <c r="K59" s="82"/>
      <c r="L59" s="82"/>
      <c r="M59" s="82"/>
      <c r="N59" s="82"/>
    </row>
    <row r="60" spans="1:14" customFormat="1" x14ac:dyDescent="0.25">
      <c r="A60" s="82"/>
      <c r="B60" s="82"/>
      <c r="C60" s="82"/>
      <c r="D60" s="82"/>
      <c r="E60" s="82"/>
      <c r="F60" s="82"/>
      <c r="G60" s="82"/>
      <c r="H60" s="82"/>
      <c r="I60" s="82"/>
      <c r="J60" s="82"/>
      <c r="K60" s="82"/>
      <c r="L60" s="82"/>
      <c r="M60" s="82"/>
      <c r="N60" s="82"/>
    </row>
    <row r="61" spans="1:14" customFormat="1" x14ac:dyDescent="0.25">
      <c r="A61" s="82"/>
      <c r="B61" s="82"/>
      <c r="C61" s="82"/>
      <c r="D61" s="82"/>
      <c r="E61" s="82"/>
      <c r="F61" s="82"/>
      <c r="G61" s="82"/>
      <c r="H61" s="82"/>
      <c r="I61" s="82"/>
      <c r="J61" s="82"/>
      <c r="K61" s="82"/>
      <c r="L61" s="82"/>
      <c r="M61" s="82"/>
      <c r="N61" s="82"/>
    </row>
    <row r="62" spans="1:14" customFormat="1" x14ac:dyDescent="0.25">
      <c r="A62" s="82"/>
      <c r="B62" s="82"/>
      <c r="C62" s="82"/>
      <c r="D62" s="82"/>
      <c r="E62" s="82"/>
      <c r="F62" s="82"/>
      <c r="G62" s="82"/>
      <c r="H62" s="82"/>
      <c r="I62" s="82"/>
      <c r="J62" s="82"/>
      <c r="K62" s="82"/>
      <c r="L62" s="82"/>
      <c r="M62" s="82"/>
      <c r="N62" s="82"/>
    </row>
    <row r="63" spans="1:14" customFormat="1" x14ac:dyDescent="0.25">
      <c r="A63" s="82"/>
      <c r="B63" s="82"/>
      <c r="C63" s="82"/>
      <c r="D63" s="82"/>
      <c r="E63" s="82"/>
      <c r="F63" s="82"/>
      <c r="G63" s="82"/>
      <c r="H63" s="82"/>
      <c r="I63" s="82"/>
      <c r="J63" s="82"/>
      <c r="K63" s="82"/>
      <c r="L63" s="82"/>
      <c r="M63" s="82"/>
      <c r="N63" s="82"/>
    </row>
    <row r="64" spans="1:14" customFormat="1" x14ac:dyDescent="0.25">
      <c r="A64" s="82"/>
      <c r="B64" s="82"/>
      <c r="C64" s="82"/>
      <c r="D64" s="82"/>
      <c r="E64" s="82"/>
      <c r="F64" s="82"/>
      <c r="G64" s="82"/>
      <c r="H64" s="82"/>
      <c r="I64" s="82"/>
      <c r="J64" s="82"/>
      <c r="K64" s="82"/>
      <c r="L64" s="82"/>
      <c r="M64" s="82"/>
      <c r="N64" s="82"/>
    </row>
    <row r="65" spans="1:14" customFormat="1" x14ac:dyDescent="0.25">
      <c r="A65" s="82"/>
      <c r="B65" s="82"/>
      <c r="C65" s="82"/>
      <c r="D65" s="82"/>
      <c r="E65" s="82"/>
      <c r="F65" s="82"/>
      <c r="G65" s="82"/>
      <c r="H65" s="82"/>
      <c r="I65" s="82"/>
      <c r="J65" s="82"/>
      <c r="K65" s="82"/>
      <c r="L65" s="82"/>
      <c r="M65" s="82"/>
      <c r="N65" s="82"/>
    </row>
    <row r="66" spans="1:14" customFormat="1" x14ac:dyDescent="0.25">
      <c r="A66" s="82"/>
      <c r="B66" s="82"/>
      <c r="C66" s="82"/>
      <c r="D66" s="82"/>
      <c r="E66" s="82"/>
      <c r="F66" s="82"/>
      <c r="G66" s="82"/>
      <c r="H66" s="82"/>
      <c r="I66" s="82"/>
      <c r="J66" s="82"/>
      <c r="K66" s="82"/>
      <c r="L66" s="82"/>
      <c r="M66" s="82"/>
      <c r="N66" s="82"/>
    </row>
    <row r="67" spans="1:14" customFormat="1" x14ac:dyDescent="0.25">
      <c r="A67" s="82"/>
      <c r="B67" s="82"/>
      <c r="C67" s="82"/>
      <c r="D67" s="82"/>
      <c r="E67" s="82"/>
      <c r="F67" s="82"/>
      <c r="G67" s="82"/>
      <c r="H67" s="82"/>
      <c r="I67" s="82"/>
      <c r="J67" s="82"/>
      <c r="K67" s="82"/>
      <c r="L67" s="82"/>
      <c r="M67" s="82"/>
      <c r="N67" s="82"/>
    </row>
    <row r="68" spans="1:14" customFormat="1" x14ac:dyDescent="0.25">
      <c r="A68" s="82"/>
      <c r="B68" s="82"/>
      <c r="C68" s="82"/>
      <c r="D68" s="82"/>
      <c r="E68" s="82"/>
      <c r="F68" s="82"/>
      <c r="G68" s="82"/>
      <c r="H68" s="82"/>
      <c r="I68" s="82"/>
      <c r="J68" s="82"/>
      <c r="K68" s="82"/>
      <c r="L68" s="82"/>
      <c r="M68" s="82"/>
      <c r="N68" s="82"/>
    </row>
    <row r="69" spans="1:14" customFormat="1" x14ac:dyDescent="0.25">
      <c r="A69" s="82"/>
      <c r="B69" s="82"/>
      <c r="C69" s="82"/>
      <c r="D69" s="82"/>
      <c r="E69" s="82"/>
      <c r="F69" s="82"/>
      <c r="G69" s="82"/>
      <c r="H69" s="82"/>
      <c r="I69" s="82"/>
      <c r="J69" s="82"/>
      <c r="K69" s="82"/>
      <c r="L69" s="82"/>
      <c r="M69" s="82"/>
      <c r="N69" s="82"/>
    </row>
    <row r="70" spans="1:14" customFormat="1" x14ac:dyDescent="0.25">
      <c r="A70" s="82"/>
      <c r="B70" s="82"/>
      <c r="C70" s="82"/>
      <c r="D70" s="82"/>
      <c r="E70" s="82"/>
      <c r="F70" s="82"/>
      <c r="G70" s="82"/>
      <c r="H70" s="82"/>
      <c r="I70" s="82"/>
      <c r="J70" s="82"/>
      <c r="K70" s="82"/>
      <c r="L70" s="82"/>
      <c r="M70" s="82"/>
      <c r="N70" s="82"/>
    </row>
    <row r="71" spans="1:14" customFormat="1" x14ac:dyDescent="0.25">
      <c r="A71" s="82"/>
      <c r="B71" s="82"/>
      <c r="C71" s="82"/>
      <c r="D71" s="82"/>
      <c r="E71" s="82"/>
      <c r="F71" s="82"/>
      <c r="G71" s="82"/>
      <c r="H71" s="82"/>
      <c r="I71" s="82"/>
      <c r="J71" s="82"/>
      <c r="K71" s="82"/>
      <c r="L71" s="82"/>
      <c r="M71" s="82"/>
      <c r="N71" s="82"/>
    </row>
    <row r="72" spans="1:14" customFormat="1" x14ac:dyDescent="0.25">
      <c r="A72" s="82"/>
      <c r="B72" s="82"/>
      <c r="C72" s="82"/>
      <c r="D72" s="82"/>
      <c r="E72" s="82"/>
      <c r="F72" s="82"/>
      <c r="G72" s="82"/>
      <c r="H72" s="82"/>
      <c r="I72" s="82"/>
      <c r="J72" s="82"/>
      <c r="K72" s="82"/>
      <c r="L72" s="82"/>
      <c r="M72" s="82"/>
      <c r="N72" s="82"/>
    </row>
    <row r="73" spans="1:14" customFormat="1" x14ac:dyDescent="0.25">
      <c r="A73" s="82"/>
      <c r="B73" s="82"/>
      <c r="C73" s="82"/>
      <c r="D73" s="82"/>
      <c r="E73" s="82"/>
      <c r="F73" s="82"/>
      <c r="G73" s="82"/>
      <c r="H73" s="82"/>
      <c r="I73" s="82"/>
      <c r="J73" s="82"/>
      <c r="K73" s="82"/>
      <c r="L73" s="82"/>
      <c r="M73" s="82"/>
      <c r="N73" s="82"/>
    </row>
    <row r="74" spans="1:14" customFormat="1" x14ac:dyDescent="0.25">
      <c r="A74" s="82"/>
      <c r="B74" s="82"/>
      <c r="C74" s="82"/>
      <c r="D74" s="82"/>
      <c r="E74" s="82"/>
      <c r="F74" s="82"/>
      <c r="G74" s="82"/>
      <c r="H74" s="82"/>
      <c r="I74" s="82"/>
      <c r="J74" s="82"/>
      <c r="K74" s="82"/>
      <c r="L74" s="82"/>
      <c r="M74" s="82"/>
      <c r="N74" s="82"/>
    </row>
    <row r="75" spans="1:14" customFormat="1" x14ac:dyDescent="0.25">
      <c r="A75" s="82"/>
      <c r="B75" s="82"/>
      <c r="C75" s="82"/>
      <c r="D75" s="82"/>
      <c r="E75" s="82"/>
      <c r="F75" s="82"/>
      <c r="G75" s="82"/>
      <c r="H75" s="82"/>
      <c r="I75" s="82"/>
      <c r="J75" s="82"/>
      <c r="K75" s="82"/>
      <c r="L75" s="82"/>
      <c r="M75" s="82"/>
      <c r="N75" s="82"/>
    </row>
    <row r="76" spans="1:14" customFormat="1" x14ac:dyDescent="0.25">
      <c r="A76" s="82"/>
      <c r="B76" s="82"/>
      <c r="C76" s="82"/>
      <c r="D76" s="82"/>
      <c r="E76" s="82"/>
      <c r="F76" s="82"/>
      <c r="G76" s="82"/>
      <c r="H76" s="82"/>
      <c r="I76" s="82"/>
      <c r="J76" s="82"/>
      <c r="K76" s="82"/>
      <c r="L76" s="82"/>
      <c r="M76" s="82"/>
      <c r="N76" s="82"/>
    </row>
    <row r="77" spans="1:14" customFormat="1" x14ac:dyDescent="0.25">
      <c r="A77" s="82"/>
      <c r="B77" s="82"/>
      <c r="C77" s="82"/>
      <c r="D77" s="82"/>
      <c r="E77" s="82"/>
      <c r="F77" s="82"/>
      <c r="G77" s="82"/>
      <c r="H77" s="82"/>
      <c r="I77" s="82"/>
      <c r="J77" s="82"/>
      <c r="K77" s="82"/>
      <c r="L77" s="82"/>
      <c r="M77" s="82"/>
      <c r="N77" s="82"/>
    </row>
    <row r="78" spans="1:14" customFormat="1" x14ac:dyDescent="0.25">
      <c r="A78" s="82"/>
      <c r="B78" s="82"/>
      <c r="C78" s="82"/>
      <c r="D78" s="82"/>
      <c r="E78" s="82"/>
      <c r="F78" s="82"/>
      <c r="G78" s="82"/>
      <c r="H78" s="82"/>
      <c r="I78" s="82"/>
      <c r="J78" s="82"/>
      <c r="K78" s="82"/>
      <c r="L78" s="82"/>
      <c r="M78" s="82"/>
      <c r="N78" s="82"/>
    </row>
    <row r="79" spans="1:14" customFormat="1" x14ac:dyDescent="0.25">
      <c r="A79" s="82"/>
      <c r="B79" s="82"/>
      <c r="C79" s="82"/>
      <c r="D79" s="82"/>
      <c r="E79" s="82"/>
      <c r="F79" s="82"/>
      <c r="G79" s="82"/>
      <c r="H79" s="82"/>
      <c r="I79" s="82"/>
      <c r="J79" s="82"/>
      <c r="K79" s="82"/>
      <c r="L79" s="82"/>
      <c r="M79" s="82"/>
      <c r="N79" s="82"/>
    </row>
    <row r="80" spans="1:14" customFormat="1" x14ac:dyDescent="0.25">
      <c r="A80" s="82"/>
      <c r="B80" s="82"/>
      <c r="C80" s="82"/>
      <c r="D80" s="82"/>
      <c r="E80" s="82"/>
      <c r="F80" s="82"/>
      <c r="G80" s="82"/>
      <c r="H80" s="82"/>
      <c r="I80" s="82"/>
      <c r="J80" s="82"/>
      <c r="K80" s="82"/>
      <c r="L80" s="82"/>
      <c r="M80" s="82"/>
      <c r="N80" s="82"/>
    </row>
    <row r="81" spans="1:14" customFormat="1" x14ac:dyDescent="0.25">
      <c r="A81" s="82"/>
      <c r="B81" s="82"/>
      <c r="C81" s="82"/>
      <c r="D81" s="82"/>
      <c r="E81" s="82"/>
      <c r="F81" s="82"/>
      <c r="G81" s="82"/>
      <c r="H81" s="82"/>
      <c r="I81" s="82"/>
      <c r="J81" s="82"/>
      <c r="K81" s="82"/>
      <c r="L81" s="82"/>
      <c r="M81" s="82"/>
      <c r="N81" s="82"/>
    </row>
    <row r="82" spans="1:14" customFormat="1" x14ac:dyDescent="0.25">
      <c r="A82" s="82"/>
      <c r="B82" s="82"/>
      <c r="C82" s="82"/>
      <c r="D82" s="82"/>
      <c r="E82" s="82"/>
      <c r="F82" s="82"/>
      <c r="G82" s="82"/>
      <c r="H82" s="82"/>
      <c r="I82" s="82"/>
      <c r="J82" s="82"/>
      <c r="K82" s="82"/>
      <c r="L82" s="82"/>
      <c r="M82" s="82"/>
      <c r="N82" s="82"/>
    </row>
    <row r="83" spans="1:14" customFormat="1" x14ac:dyDescent="0.25">
      <c r="A83" s="82"/>
      <c r="B83" s="82"/>
      <c r="C83" s="82"/>
      <c r="D83" s="82"/>
      <c r="E83" s="82"/>
      <c r="F83" s="82"/>
      <c r="G83" s="82"/>
      <c r="H83" s="82"/>
      <c r="I83" s="82"/>
      <c r="J83" s="82"/>
      <c r="K83" s="82"/>
      <c r="L83" s="82"/>
      <c r="M83" s="82"/>
      <c r="N83" s="82"/>
    </row>
    <row r="84" spans="1:14" customFormat="1" x14ac:dyDescent="0.25">
      <c r="A84" s="82"/>
      <c r="B84" s="82"/>
      <c r="C84" s="82"/>
      <c r="D84" s="82"/>
      <c r="E84" s="82"/>
      <c r="F84" s="82"/>
      <c r="G84" s="82"/>
      <c r="H84" s="82"/>
      <c r="I84" s="82"/>
      <c r="J84" s="82"/>
      <c r="K84" s="82"/>
      <c r="L84" s="82"/>
      <c r="M84" s="82"/>
      <c r="N84" s="82"/>
    </row>
    <row r="85" spans="1:14" customFormat="1" x14ac:dyDescent="0.25">
      <c r="A85" s="82"/>
      <c r="B85" s="82"/>
      <c r="C85" s="82"/>
      <c r="D85" s="82"/>
      <c r="E85" s="82"/>
      <c r="F85" s="82"/>
      <c r="G85" s="82"/>
      <c r="H85" s="82"/>
      <c r="I85" s="82"/>
      <c r="J85" s="82"/>
      <c r="K85" s="82"/>
      <c r="L85" s="82"/>
      <c r="M85" s="82"/>
      <c r="N85" s="82"/>
    </row>
    <row r="86" spans="1:14" customFormat="1" x14ac:dyDescent="0.25">
      <c r="A86" s="82"/>
      <c r="B86" s="82"/>
      <c r="C86" s="82"/>
      <c r="D86" s="82"/>
      <c r="E86" s="82"/>
      <c r="F86" s="82"/>
      <c r="G86" s="82"/>
      <c r="H86" s="82"/>
      <c r="I86" s="82"/>
      <c r="J86" s="82"/>
      <c r="K86" s="82"/>
      <c r="L86" s="82"/>
      <c r="M86" s="82"/>
      <c r="N86" s="82"/>
    </row>
    <row r="87" spans="1:14" customFormat="1" x14ac:dyDescent="0.25">
      <c r="A87" s="82"/>
      <c r="B87" s="82"/>
      <c r="C87" s="82"/>
      <c r="D87" s="82"/>
      <c r="E87" s="82"/>
      <c r="F87" s="82"/>
      <c r="G87" s="82"/>
      <c r="H87" s="82"/>
      <c r="I87" s="82"/>
      <c r="J87" s="82"/>
      <c r="K87" s="82"/>
      <c r="L87" s="82"/>
      <c r="M87" s="82"/>
      <c r="N87" s="82"/>
    </row>
    <row r="88" spans="1:14" customFormat="1" x14ac:dyDescent="0.25">
      <c r="A88" s="82"/>
      <c r="B88" s="82"/>
      <c r="C88" s="82"/>
      <c r="D88" s="82"/>
      <c r="E88" s="82"/>
      <c r="F88" s="82"/>
      <c r="G88" s="82"/>
      <c r="H88" s="82"/>
      <c r="I88" s="82"/>
      <c r="J88" s="82"/>
      <c r="K88" s="82"/>
      <c r="L88" s="82"/>
      <c r="M88" s="82"/>
      <c r="N88" s="82"/>
    </row>
    <row r="89" spans="1:14" customFormat="1" x14ac:dyDescent="0.25">
      <c r="A89" s="82"/>
      <c r="B89" s="82"/>
      <c r="C89" s="82"/>
      <c r="D89" s="82"/>
      <c r="E89" s="82"/>
      <c r="F89" s="82"/>
      <c r="G89" s="82"/>
      <c r="H89" s="82"/>
      <c r="I89" s="82"/>
      <c r="J89" s="82"/>
      <c r="K89" s="82"/>
      <c r="L89" s="82"/>
      <c r="M89" s="82"/>
      <c r="N89" s="82"/>
    </row>
    <row r="90" spans="1:14" customFormat="1" x14ac:dyDescent="0.25">
      <c r="A90" s="82"/>
      <c r="B90" s="82"/>
      <c r="C90" s="82"/>
      <c r="D90" s="82"/>
      <c r="E90" s="82"/>
      <c r="F90" s="82"/>
      <c r="G90" s="82"/>
      <c r="H90" s="82"/>
      <c r="I90" s="82"/>
      <c r="J90" s="82"/>
      <c r="K90" s="82"/>
      <c r="L90" s="82"/>
      <c r="M90" s="82"/>
      <c r="N90" s="82"/>
    </row>
    <row r="91" spans="1:14" customFormat="1" x14ac:dyDescent="0.25">
      <c r="A91" s="82"/>
      <c r="B91" s="82"/>
      <c r="C91" s="82"/>
      <c r="D91" s="82"/>
      <c r="E91" s="82"/>
      <c r="F91" s="82"/>
      <c r="G91" s="82"/>
      <c r="H91" s="82"/>
      <c r="I91" s="82"/>
      <c r="J91" s="82"/>
      <c r="K91" s="82"/>
      <c r="L91" s="82"/>
      <c r="M91" s="82"/>
      <c r="N91" s="82"/>
    </row>
    <row r="92" spans="1:14" customFormat="1" x14ac:dyDescent="0.25">
      <c r="A92" s="82"/>
      <c r="B92" s="82"/>
      <c r="C92" s="82"/>
      <c r="D92" s="82"/>
      <c r="E92" s="82"/>
      <c r="F92" s="82"/>
      <c r="G92" s="82"/>
      <c r="H92" s="82"/>
      <c r="I92" s="82"/>
      <c r="J92" s="82"/>
      <c r="K92" s="82"/>
      <c r="L92" s="82"/>
      <c r="M92" s="82"/>
      <c r="N92" s="82"/>
    </row>
    <row r="93" spans="1:14" customFormat="1" x14ac:dyDescent="0.25">
      <c r="A93" s="82"/>
      <c r="B93" s="82"/>
      <c r="C93" s="82"/>
      <c r="D93" s="82"/>
      <c r="E93" s="82"/>
      <c r="F93" s="82"/>
      <c r="G93" s="82"/>
      <c r="H93" s="82"/>
      <c r="I93" s="82"/>
      <c r="J93" s="82"/>
      <c r="K93" s="82"/>
      <c r="L93" s="82"/>
      <c r="M93" s="82"/>
      <c r="N93" s="82"/>
    </row>
    <row r="94" spans="1:14" customFormat="1" x14ac:dyDescent="0.25">
      <c r="A94" s="82"/>
      <c r="B94" s="82"/>
      <c r="C94" s="82"/>
      <c r="D94" s="82"/>
      <c r="E94" s="82"/>
      <c r="F94" s="82"/>
      <c r="G94" s="82"/>
      <c r="H94" s="82"/>
      <c r="I94" s="82"/>
      <c r="J94" s="82"/>
      <c r="K94" s="82"/>
      <c r="L94" s="82"/>
      <c r="M94" s="82"/>
      <c r="N94" s="82"/>
    </row>
    <row r="95" spans="1:14" customFormat="1" x14ac:dyDescent="0.25">
      <c r="A95" s="82"/>
      <c r="B95" s="82"/>
      <c r="C95" s="82"/>
      <c r="D95" s="82"/>
      <c r="E95" s="82"/>
      <c r="F95" s="82"/>
      <c r="G95" s="82"/>
      <c r="H95" s="82"/>
      <c r="I95" s="82"/>
      <c r="J95" s="82"/>
      <c r="K95" s="82"/>
      <c r="L95" s="82"/>
      <c r="M95" s="82"/>
      <c r="N95" s="82"/>
    </row>
    <row r="96" spans="1:14" customFormat="1" x14ac:dyDescent="0.25">
      <c r="A96" s="82"/>
      <c r="B96" s="82"/>
      <c r="C96" s="82"/>
      <c r="D96" s="82"/>
      <c r="E96" s="82"/>
      <c r="F96" s="82"/>
      <c r="G96" s="82"/>
      <c r="H96" s="82"/>
      <c r="I96" s="82"/>
      <c r="J96" s="82"/>
      <c r="K96" s="82"/>
      <c r="L96" s="82"/>
      <c r="M96" s="82"/>
      <c r="N96" s="82"/>
    </row>
    <row r="97" spans="1:14" customFormat="1" x14ac:dyDescent="0.25">
      <c r="A97" s="82"/>
      <c r="B97" s="82"/>
      <c r="C97" s="82"/>
      <c r="D97" s="82"/>
      <c r="E97" s="82"/>
      <c r="F97" s="82"/>
      <c r="G97" s="82"/>
      <c r="H97" s="82"/>
      <c r="I97" s="82"/>
      <c r="J97" s="82"/>
      <c r="K97" s="82"/>
      <c r="L97" s="82"/>
      <c r="M97" s="82"/>
      <c r="N97" s="82"/>
    </row>
    <row r="98" spans="1:14" customFormat="1" x14ac:dyDescent="0.25">
      <c r="A98" s="82"/>
      <c r="B98" s="82"/>
      <c r="C98" s="82"/>
      <c r="D98" s="82"/>
      <c r="E98" s="82"/>
      <c r="F98" s="82"/>
      <c r="G98" s="82"/>
      <c r="H98" s="82"/>
      <c r="I98" s="82"/>
      <c r="J98" s="82"/>
      <c r="K98" s="82"/>
      <c r="L98" s="82"/>
      <c r="M98" s="82"/>
      <c r="N98" s="82"/>
    </row>
    <row r="99" spans="1:14" customFormat="1" x14ac:dyDescent="0.25">
      <c r="A99" s="82"/>
      <c r="B99" s="82"/>
      <c r="C99" s="82"/>
      <c r="D99" s="82"/>
      <c r="E99" s="82"/>
      <c r="F99" s="82"/>
      <c r="G99" s="82"/>
      <c r="H99" s="82"/>
      <c r="I99" s="82"/>
      <c r="J99" s="82"/>
      <c r="K99" s="82"/>
      <c r="L99" s="82"/>
      <c r="M99" s="82"/>
      <c r="N99" s="82"/>
    </row>
    <row r="100" spans="1:14" customFormat="1" x14ac:dyDescent="0.25">
      <c r="A100" s="82"/>
      <c r="B100" s="82"/>
      <c r="C100" s="82"/>
      <c r="D100" s="82"/>
      <c r="E100" s="82"/>
      <c r="F100" s="82"/>
      <c r="G100" s="82"/>
      <c r="H100" s="82"/>
      <c r="I100" s="82"/>
      <c r="J100" s="82"/>
      <c r="K100" s="82"/>
      <c r="L100" s="82"/>
      <c r="M100" s="82"/>
      <c r="N100" s="82"/>
    </row>
    <row r="101" spans="1:14" customFormat="1" x14ac:dyDescent="0.25">
      <c r="A101" s="82"/>
      <c r="B101" s="82"/>
      <c r="C101" s="82"/>
      <c r="D101" s="82"/>
      <c r="E101" s="82"/>
      <c r="F101" s="82"/>
      <c r="G101" s="82"/>
      <c r="H101" s="82"/>
      <c r="I101" s="82"/>
      <c r="J101" s="82"/>
      <c r="K101" s="82"/>
      <c r="L101" s="82"/>
      <c r="M101" s="82"/>
      <c r="N101" s="82"/>
    </row>
    <row r="102" spans="1:14" customFormat="1" x14ac:dyDescent="0.25">
      <c r="A102" s="82"/>
      <c r="B102" s="82"/>
      <c r="C102" s="82"/>
      <c r="D102" s="82"/>
      <c r="E102" s="82"/>
      <c r="F102" s="82"/>
      <c r="G102" s="82"/>
      <c r="H102" s="82"/>
      <c r="I102" s="82"/>
      <c r="J102" s="82"/>
      <c r="K102" s="82"/>
      <c r="L102" s="82"/>
      <c r="M102" s="82"/>
      <c r="N102" s="82"/>
    </row>
    <row r="103" spans="1:14" customFormat="1" x14ac:dyDescent="0.25">
      <c r="A103" s="82"/>
      <c r="B103" s="82"/>
      <c r="C103" s="82"/>
      <c r="D103" s="82"/>
      <c r="E103" s="82"/>
      <c r="F103" s="82"/>
      <c r="G103" s="82"/>
      <c r="H103" s="82"/>
      <c r="I103" s="82"/>
      <c r="J103" s="82"/>
      <c r="K103" s="82"/>
      <c r="L103" s="82"/>
      <c r="M103" s="82"/>
      <c r="N103" s="82"/>
    </row>
    <row r="104" spans="1:14" customFormat="1" x14ac:dyDescent="0.25">
      <c r="A104" s="82"/>
      <c r="B104" s="82"/>
      <c r="C104" s="82"/>
      <c r="D104" s="82"/>
      <c r="E104" s="82"/>
      <c r="F104" s="82"/>
      <c r="G104" s="82"/>
      <c r="H104" s="82"/>
      <c r="I104" s="82"/>
      <c r="J104" s="82"/>
      <c r="K104" s="82"/>
      <c r="L104" s="82"/>
      <c r="M104" s="82"/>
      <c r="N104" s="82"/>
    </row>
    <row r="105" spans="1:14" customFormat="1" x14ac:dyDescent="0.25">
      <c r="A105" s="82"/>
      <c r="B105" s="82"/>
      <c r="C105" s="82"/>
      <c r="D105" s="82"/>
      <c r="E105" s="82"/>
      <c r="F105" s="82"/>
      <c r="G105" s="82"/>
      <c r="H105" s="82"/>
      <c r="I105" s="82"/>
      <c r="J105" s="82"/>
      <c r="K105" s="82"/>
      <c r="L105" s="82"/>
      <c r="M105" s="82"/>
      <c r="N105" s="82"/>
    </row>
    <row r="106" spans="1:14" customFormat="1" x14ac:dyDescent="0.25">
      <c r="A106" s="82"/>
      <c r="B106" s="82"/>
      <c r="C106" s="82"/>
      <c r="D106" s="82"/>
      <c r="E106" s="82"/>
      <c r="F106" s="82"/>
      <c r="G106" s="82"/>
      <c r="H106" s="82"/>
      <c r="I106" s="82"/>
      <c r="J106" s="82"/>
      <c r="K106" s="82"/>
      <c r="L106" s="82"/>
      <c r="M106" s="82"/>
      <c r="N106" s="82"/>
    </row>
    <row r="107" spans="1:14" customFormat="1" x14ac:dyDescent="0.25">
      <c r="A107" s="82"/>
      <c r="B107" s="82"/>
      <c r="C107" s="82"/>
      <c r="D107" s="82"/>
      <c r="E107" s="82"/>
      <c r="F107" s="82"/>
      <c r="G107" s="82"/>
      <c r="H107" s="82"/>
      <c r="I107" s="82"/>
      <c r="J107" s="82"/>
      <c r="K107" s="82"/>
      <c r="L107" s="82"/>
      <c r="M107" s="82"/>
      <c r="N107" s="82"/>
    </row>
    <row r="108" spans="1:14" customFormat="1" x14ac:dyDescent="0.25">
      <c r="A108" s="82"/>
      <c r="B108" s="82"/>
      <c r="C108" s="82"/>
      <c r="D108" s="82"/>
      <c r="E108" s="82"/>
      <c r="F108" s="82"/>
      <c r="G108" s="82"/>
      <c r="H108" s="82"/>
      <c r="I108" s="82"/>
      <c r="J108" s="82"/>
      <c r="K108" s="82"/>
      <c r="L108" s="82"/>
      <c r="M108" s="82"/>
      <c r="N108" s="82"/>
    </row>
    <row r="109" spans="1:14" customFormat="1" x14ac:dyDescent="0.25">
      <c r="A109" s="82"/>
      <c r="B109" s="82"/>
      <c r="C109" s="82"/>
      <c r="D109" s="82"/>
      <c r="E109" s="82"/>
      <c r="F109" s="82"/>
      <c r="G109" s="82"/>
      <c r="H109" s="82"/>
      <c r="I109" s="82"/>
      <c r="J109" s="82"/>
      <c r="K109" s="82"/>
      <c r="L109" s="82"/>
      <c r="M109" s="82"/>
      <c r="N109" s="82"/>
    </row>
    <row r="110" spans="1:14" customFormat="1" x14ac:dyDescent="0.25">
      <c r="A110" s="82"/>
      <c r="B110" s="82"/>
      <c r="C110" s="82"/>
      <c r="D110" s="82"/>
      <c r="E110" s="82"/>
      <c r="F110" s="82"/>
      <c r="G110" s="82"/>
      <c r="H110" s="82"/>
      <c r="I110" s="82"/>
      <c r="J110" s="82"/>
      <c r="K110" s="82"/>
      <c r="L110" s="82"/>
      <c r="M110" s="82"/>
      <c r="N110" s="82"/>
    </row>
    <row r="111" spans="1:14" customFormat="1" x14ac:dyDescent="0.25">
      <c r="A111" s="82"/>
      <c r="B111" s="82"/>
      <c r="C111" s="82"/>
      <c r="D111" s="82"/>
      <c r="E111" s="82"/>
      <c r="F111" s="82"/>
      <c r="G111" s="82"/>
      <c r="H111" s="82"/>
      <c r="I111" s="82"/>
      <c r="J111" s="82"/>
      <c r="K111" s="82"/>
      <c r="L111" s="82"/>
      <c r="M111" s="82"/>
      <c r="N111" s="82"/>
    </row>
    <row r="112" spans="1:14" customFormat="1" x14ac:dyDescent="0.25">
      <c r="A112" s="82"/>
      <c r="B112" s="82"/>
      <c r="C112" s="82"/>
      <c r="D112" s="82"/>
      <c r="E112" s="82"/>
      <c r="F112" s="82"/>
      <c r="G112" s="82"/>
      <c r="H112" s="82"/>
      <c r="I112" s="82"/>
      <c r="J112" s="82"/>
      <c r="K112" s="82"/>
      <c r="L112" s="82"/>
      <c r="M112" s="82"/>
      <c r="N112" s="82"/>
    </row>
    <row r="113" spans="1:14" customFormat="1" x14ac:dyDescent="0.25">
      <c r="A113" s="82"/>
      <c r="B113" s="82"/>
      <c r="C113" s="82"/>
      <c r="D113" s="82"/>
      <c r="E113" s="82"/>
      <c r="F113" s="82"/>
      <c r="G113" s="82"/>
      <c r="H113" s="82"/>
      <c r="I113" s="82"/>
      <c r="J113" s="82"/>
      <c r="K113" s="82"/>
      <c r="L113" s="82"/>
      <c r="M113" s="82"/>
      <c r="N113" s="82"/>
    </row>
    <row r="114" spans="1:14" customFormat="1" x14ac:dyDescent="0.25">
      <c r="A114" s="82"/>
      <c r="B114" s="82"/>
      <c r="C114" s="82"/>
      <c r="D114" s="82"/>
      <c r="E114" s="82"/>
      <c r="F114" s="82"/>
      <c r="G114" s="82"/>
      <c r="H114" s="82"/>
      <c r="I114" s="82"/>
      <c r="J114" s="82"/>
      <c r="K114" s="82"/>
      <c r="L114" s="82"/>
      <c r="M114" s="82"/>
      <c r="N114" s="82"/>
    </row>
    <row r="115" spans="1:14" customFormat="1" x14ac:dyDescent="0.25">
      <c r="A115" s="82"/>
      <c r="B115" s="82"/>
      <c r="C115" s="82"/>
      <c r="D115" s="82"/>
      <c r="E115" s="82"/>
      <c r="F115" s="82"/>
      <c r="G115" s="82"/>
      <c r="H115" s="82"/>
      <c r="I115" s="82"/>
      <c r="J115" s="82"/>
      <c r="K115" s="82"/>
      <c r="L115" s="82"/>
      <c r="M115" s="82"/>
      <c r="N115" s="82"/>
    </row>
    <row r="116" spans="1:14" customFormat="1" x14ac:dyDescent="0.25">
      <c r="A116" s="82"/>
      <c r="B116" s="82"/>
      <c r="C116" s="82"/>
      <c r="D116" s="82"/>
      <c r="E116" s="82"/>
      <c r="F116" s="82"/>
      <c r="G116" s="82"/>
      <c r="H116" s="82"/>
      <c r="I116" s="82"/>
      <c r="J116" s="82"/>
      <c r="K116" s="82"/>
      <c r="L116" s="82"/>
      <c r="M116" s="82"/>
      <c r="N116" s="82"/>
    </row>
    <row r="117" spans="1:14" customFormat="1" x14ac:dyDescent="0.25">
      <c r="A117" s="82"/>
      <c r="B117" s="82"/>
      <c r="C117" s="82"/>
      <c r="D117" s="82"/>
      <c r="E117" s="82"/>
      <c r="F117" s="82"/>
      <c r="G117" s="82"/>
      <c r="H117" s="82"/>
      <c r="I117" s="82"/>
      <c r="J117" s="82"/>
      <c r="K117" s="82"/>
      <c r="L117" s="82"/>
      <c r="M117" s="82"/>
      <c r="N117" s="82"/>
    </row>
    <row r="118" spans="1:14" customFormat="1" x14ac:dyDescent="0.25">
      <c r="A118" s="82"/>
      <c r="B118" s="82"/>
      <c r="C118" s="82"/>
      <c r="D118" s="82"/>
      <c r="E118" s="82"/>
      <c r="F118" s="82"/>
      <c r="G118" s="82"/>
      <c r="H118" s="82"/>
      <c r="I118" s="82"/>
      <c r="J118" s="82"/>
      <c r="K118" s="82"/>
      <c r="L118" s="82"/>
      <c r="M118" s="82"/>
      <c r="N118" s="82"/>
    </row>
    <row r="119" spans="1:14" customFormat="1" x14ac:dyDescent="0.25">
      <c r="A119" s="82"/>
      <c r="B119" s="82"/>
      <c r="C119" s="82"/>
      <c r="D119" s="82"/>
      <c r="E119" s="82"/>
      <c r="F119" s="82"/>
      <c r="G119" s="82"/>
      <c r="H119" s="82"/>
      <c r="I119" s="82"/>
      <c r="J119" s="82"/>
      <c r="K119" s="82"/>
      <c r="L119" s="82"/>
      <c r="M119" s="82"/>
      <c r="N119" s="82"/>
    </row>
    <row r="120" spans="1:14" customFormat="1" x14ac:dyDescent="0.25">
      <c r="A120" s="82"/>
      <c r="B120" s="82"/>
      <c r="C120" s="82"/>
      <c r="D120" s="82"/>
      <c r="E120" s="82"/>
      <c r="F120" s="82"/>
      <c r="G120" s="82"/>
      <c r="H120" s="82"/>
      <c r="I120" s="82"/>
      <c r="J120" s="82"/>
      <c r="K120" s="82"/>
      <c r="L120" s="82"/>
      <c r="M120" s="82"/>
      <c r="N120" s="82"/>
    </row>
    <row r="121" spans="1:14" customFormat="1" x14ac:dyDescent="0.25">
      <c r="A121" s="82"/>
      <c r="B121" s="82"/>
      <c r="C121" s="82"/>
      <c r="D121" s="82"/>
      <c r="E121" s="82"/>
      <c r="F121" s="82"/>
      <c r="G121" s="82"/>
      <c r="H121" s="82"/>
      <c r="I121" s="82"/>
      <c r="J121" s="82"/>
      <c r="K121" s="82"/>
      <c r="L121" s="82"/>
      <c r="M121" s="82"/>
      <c r="N121" s="82"/>
    </row>
    <row r="122" spans="1:14" customFormat="1" x14ac:dyDescent="0.25">
      <c r="A122" s="82"/>
      <c r="B122" s="82"/>
      <c r="C122" s="82"/>
      <c r="D122" s="82"/>
      <c r="E122" s="82"/>
      <c r="F122" s="82"/>
      <c r="G122" s="82"/>
      <c r="H122" s="82"/>
      <c r="I122" s="82"/>
      <c r="J122" s="82"/>
      <c r="K122" s="82"/>
      <c r="L122" s="82"/>
      <c r="M122" s="82"/>
      <c r="N122" s="82"/>
    </row>
    <row r="123" spans="1:14" customFormat="1" x14ac:dyDescent="0.25">
      <c r="A123" s="82"/>
      <c r="B123" s="82"/>
      <c r="C123" s="82"/>
      <c r="D123" s="82"/>
      <c r="E123" s="82"/>
      <c r="F123" s="82"/>
      <c r="G123" s="82"/>
      <c r="H123" s="82"/>
      <c r="I123" s="82"/>
      <c r="J123" s="82"/>
      <c r="K123" s="82"/>
      <c r="L123" s="82"/>
      <c r="M123" s="82"/>
      <c r="N123" s="82"/>
    </row>
    <row r="124" spans="1:14" customFormat="1" x14ac:dyDescent="0.25">
      <c r="A124" s="82"/>
      <c r="B124" s="82"/>
      <c r="C124" s="82"/>
      <c r="D124" s="82"/>
      <c r="E124" s="82"/>
      <c r="F124" s="82"/>
      <c r="G124" s="82"/>
      <c r="H124" s="82"/>
      <c r="I124" s="82"/>
      <c r="J124" s="82"/>
      <c r="K124" s="82"/>
      <c r="L124" s="82"/>
      <c r="M124" s="82"/>
      <c r="N124" s="82"/>
    </row>
    <row r="125" spans="1:14" customFormat="1" x14ac:dyDescent="0.25">
      <c r="A125" s="82"/>
      <c r="B125" s="82"/>
      <c r="C125" s="82"/>
      <c r="D125" s="82"/>
      <c r="E125" s="82"/>
      <c r="F125" s="82"/>
      <c r="G125" s="82"/>
      <c r="H125" s="82"/>
      <c r="I125" s="82"/>
      <c r="J125" s="82"/>
      <c r="K125" s="82"/>
      <c r="L125" s="82"/>
      <c r="M125" s="82"/>
      <c r="N125" s="82"/>
    </row>
    <row r="126" spans="1:14" customFormat="1" x14ac:dyDescent="0.25">
      <c r="A126" s="82"/>
      <c r="B126" s="82"/>
      <c r="C126" s="82"/>
      <c r="D126" s="82"/>
      <c r="E126" s="82"/>
      <c r="F126" s="82"/>
      <c r="G126" s="82"/>
      <c r="H126" s="82"/>
      <c r="I126" s="82"/>
      <c r="J126" s="82"/>
      <c r="K126" s="82"/>
      <c r="L126" s="82"/>
      <c r="M126" s="82"/>
      <c r="N126" s="82"/>
    </row>
    <row r="127" spans="1:14" customFormat="1" x14ac:dyDescent="0.25">
      <c r="A127" s="82"/>
      <c r="B127" s="82"/>
      <c r="C127" s="82"/>
      <c r="D127" s="82"/>
      <c r="E127" s="82"/>
      <c r="F127" s="82"/>
      <c r="G127" s="82"/>
      <c r="H127" s="82"/>
      <c r="I127" s="82"/>
      <c r="J127" s="82"/>
      <c r="K127" s="82"/>
      <c r="L127" s="82"/>
      <c r="M127" s="82"/>
      <c r="N127" s="82"/>
    </row>
    <row r="128" spans="1:14" customFormat="1" x14ac:dyDescent="0.25">
      <c r="A128" s="82"/>
      <c r="B128" s="82"/>
      <c r="C128" s="82"/>
      <c r="D128" s="82"/>
      <c r="E128" s="82"/>
      <c r="F128" s="82"/>
      <c r="G128" s="82"/>
      <c r="H128" s="82"/>
      <c r="I128" s="82"/>
      <c r="J128" s="82"/>
      <c r="K128" s="82"/>
      <c r="L128" s="82"/>
      <c r="M128" s="82"/>
      <c r="N128" s="82"/>
    </row>
    <row r="129" spans="1:14" customFormat="1" x14ac:dyDescent="0.25">
      <c r="A129" s="82"/>
      <c r="B129" s="82"/>
      <c r="C129" s="82"/>
      <c r="D129" s="82"/>
      <c r="E129" s="82"/>
      <c r="F129" s="82"/>
      <c r="G129" s="82"/>
      <c r="H129" s="82"/>
      <c r="I129" s="82"/>
      <c r="J129" s="82"/>
      <c r="K129" s="82"/>
      <c r="L129" s="82"/>
      <c r="M129" s="82"/>
      <c r="N129" s="82"/>
    </row>
    <row r="130" spans="1:14" customFormat="1" x14ac:dyDescent="0.25">
      <c r="A130" s="82"/>
      <c r="B130" s="82"/>
      <c r="C130" s="82"/>
      <c r="D130" s="82"/>
      <c r="E130" s="82"/>
      <c r="F130" s="82"/>
      <c r="G130" s="82"/>
      <c r="H130" s="82"/>
      <c r="I130" s="82"/>
      <c r="J130" s="82"/>
      <c r="K130" s="82"/>
      <c r="L130" s="82"/>
      <c r="M130" s="82"/>
      <c r="N130" s="82"/>
    </row>
    <row r="131" spans="1:14" customFormat="1" x14ac:dyDescent="0.25">
      <c r="A131" s="82"/>
      <c r="B131" s="82"/>
      <c r="C131" s="82"/>
      <c r="D131" s="82"/>
      <c r="E131" s="82"/>
      <c r="F131" s="82"/>
      <c r="G131" s="82"/>
      <c r="H131" s="82"/>
      <c r="I131" s="82"/>
      <c r="J131" s="82"/>
      <c r="K131" s="82"/>
      <c r="L131" s="82"/>
      <c r="M131" s="82"/>
      <c r="N131" s="82"/>
    </row>
    <row r="132" spans="1:14" customFormat="1" x14ac:dyDescent="0.25">
      <c r="A132" s="82"/>
      <c r="B132" s="82"/>
      <c r="C132" s="82"/>
      <c r="D132" s="82"/>
      <c r="E132" s="82"/>
      <c r="F132" s="82"/>
      <c r="G132" s="82"/>
      <c r="H132" s="82"/>
      <c r="I132" s="82"/>
      <c r="J132" s="82"/>
      <c r="K132" s="82"/>
      <c r="L132" s="82"/>
      <c r="M132" s="82"/>
      <c r="N132" s="82"/>
    </row>
    <row r="133" spans="1:14" customFormat="1" x14ac:dyDescent="0.25">
      <c r="A133" s="82"/>
      <c r="B133" s="82"/>
      <c r="C133" s="82"/>
      <c r="D133" s="82"/>
      <c r="E133" s="82"/>
      <c r="F133" s="82"/>
      <c r="G133" s="82"/>
      <c r="H133" s="82"/>
      <c r="I133" s="82"/>
      <c r="J133" s="82"/>
      <c r="K133" s="82"/>
      <c r="L133" s="82"/>
      <c r="M133" s="82"/>
      <c r="N133" s="82"/>
    </row>
    <row r="134" spans="1:14" customFormat="1" x14ac:dyDescent="0.25">
      <c r="A134" s="82"/>
      <c r="B134" s="82"/>
      <c r="C134" s="82"/>
      <c r="D134" s="82"/>
      <c r="E134" s="82"/>
      <c r="F134" s="82"/>
      <c r="G134" s="82"/>
      <c r="H134" s="82"/>
      <c r="I134" s="82"/>
      <c r="J134" s="82"/>
      <c r="K134" s="82"/>
      <c r="L134" s="82"/>
      <c r="M134" s="82"/>
      <c r="N134" s="82"/>
    </row>
    <row r="135" spans="1:14" customFormat="1" x14ac:dyDescent="0.25">
      <c r="A135" s="82"/>
      <c r="B135" s="82"/>
      <c r="C135" s="82"/>
      <c r="D135" s="82"/>
      <c r="E135" s="82"/>
      <c r="F135" s="82"/>
      <c r="G135" s="82"/>
      <c r="H135" s="82"/>
      <c r="I135" s="82"/>
      <c r="J135" s="82"/>
      <c r="K135" s="82"/>
      <c r="L135" s="82"/>
      <c r="M135" s="82"/>
      <c r="N135" s="82"/>
    </row>
    <row r="136" spans="1:14" customFormat="1" x14ac:dyDescent="0.25">
      <c r="A136" s="82"/>
      <c r="B136" s="82"/>
      <c r="C136" s="82"/>
      <c r="D136" s="82"/>
      <c r="E136" s="82"/>
      <c r="F136" s="82"/>
      <c r="G136" s="82"/>
      <c r="H136" s="82"/>
      <c r="I136" s="82"/>
      <c r="J136" s="82"/>
      <c r="K136" s="82"/>
      <c r="L136" s="82"/>
      <c r="M136" s="82"/>
      <c r="N136" s="82"/>
    </row>
    <row r="137" spans="1:14" customFormat="1" x14ac:dyDescent="0.25">
      <c r="A137" s="82"/>
      <c r="B137" s="82"/>
      <c r="C137" s="82"/>
      <c r="D137" s="82"/>
      <c r="E137" s="82"/>
      <c r="F137" s="82"/>
      <c r="G137" s="82"/>
      <c r="H137" s="82"/>
      <c r="I137" s="82"/>
      <c r="J137" s="82"/>
      <c r="K137" s="82"/>
      <c r="L137" s="82"/>
      <c r="M137" s="82"/>
      <c r="N137" s="82"/>
    </row>
    <row r="138" spans="1:14" customFormat="1" x14ac:dyDescent="0.25">
      <c r="A138" s="82"/>
      <c r="B138" s="82"/>
      <c r="C138" s="82"/>
      <c r="D138" s="82"/>
      <c r="E138" s="82"/>
      <c r="F138" s="82"/>
      <c r="G138" s="82"/>
      <c r="H138" s="82"/>
      <c r="I138" s="82"/>
      <c r="J138" s="82"/>
      <c r="K138" s="82"/>
      <c r="L138" s="82"/>
      <c r="M138" s="82"/>
      <c r="N138" s="82"/>
    </row>
    <row r="139" spans="1:14" customFormat="1" x14ac:dyDescent="0.25">
      <c r="A139" s="82"/>
      <c r="B139" s="82"/>
      <c r="C139" s="82"/>
      <c r="D139" s="82"/>
      <c r="E139" s="82"/>
      <c r="F139" s="82"/>
      <c r="G139" s="82"/>
      <c r="H139" s="82"/>
      <c r="I139" s="82"/>
      <c r="J139" s="82"/>
      <c r="K139" s="82"/>
      <c r="L139" s="82"/>
      <c r="M139" s="82"/>
      <c r="N139" s="82"/>
    </row>
    <row r="140" spans="1:14" customFormat="1" x14ac:dyDescent="0.25">
      <c r="A140" s="82"/>
      <c r="B140" s="82"/>
      <c r="C140" s="82"/>
      <c r="D140" s="82"/>
      <c r="E140" s="82"/>
      <c r="F140" s="82"/>
      <c r="G140" s="82"/>
      <c r="H140" s="82"/>
      <c r="I140" s="82"/>
      <c r="J140" s="82"/>
      <c r="K140" s="82"/>
      <c r="L140" s="82"/>
      <c r="M140" s="82"/>
      <c r="N140" s="82"/>
    </row>
    <row r="141" spans="1:14" customFormat="1" x14ac:dyDescent="0.25">
      <c r="A141" s="82"/>
      <c r="B141" s="82"/>
      <c r="C141" s="82"/>
      <c r="D141" s="82"/>
      <c r="E141" s="82"/>
      <c r="F141" s="82"/>
      <c r="G141" s="82"/>
      <c r="H141" s="82"/>
      <c r="I141" s="82"/>
      <c r="J141" s="82"/>
      <c r="K141" s="82"/>
      <c r="L141" s="82"/>
      <c r="M141" s="82"/>
      <c r="N141" s="82"/>
    </row>
    <row r="142" spans="1:14" customFormat="1" x14ac:dyDescent="0.25">
      <c r="A142" s="82"/>
      <c r="B142" s="82"/>
      <c r="C142" s="82"/>
      <c r="D142" s="82"/>
      <c r="E142" s="82"/>
      <c r="F142" s="82"/>
      <c r="G142" s="82"/>
      <c r="H142" s="82"/>
      <c r="I142" s="82"/>
      <c r="J142" s="82"/>
      <c r="K142" s="82"/>
      <c r="L142" s="82"/>
      <c r="M142" s="82"/>
      <c r="N142" s="82"/>
    </row>
    <row r="143" spans="1:14" customFormat="1" x14ac:dyDescent="0.25">
      <c r="A143" s="82"/>
      <c r="B143" s="82"/>
      <c r="C143" s="82"/>
      <c r="D143" s="82"/>
      <c r="E143" s="82"/>
      <c r="F143" s="82"/>
      <c r="G143" s="82"/>
      <c r="H143" s="82"/>
      <c r="I143" s="82"/>
      <c r="J143" s="82"/>
      <c r="K143" s="82"/>
      <c r="L143" s="82"/>
      <c r="M143" s="82"/>
      <c r="N143" s="82"/>
    </row>
    <row r="144" spans="1:14" customFormat="1" x14ac:dyDescent="0.25">
      <c r="A144" s="82"/>
      <c r="B144" s="82"/>
      <c r="C144" s="82"/>
      <c r="D144" s="82"/>
      <c r="E144" s="82"/>
      <c r="F144" s="82"/>
      <c r="G144" s="82"/>
      <c r="H144" s="82"/>
      <c r="I144" s="82"/>
      <c r="J144" s="82"/>
      <c r="K144" s="82"/>
      <c r="L144" s="82"/>
      <c r="M144" s="82"/>
      <c r="N144" s="82"/>
    </row>
    <row r="145" spans="1:14" customFormat="1" x14ac:dyDescent="0.25">
      <c r="A145" s="82"/>
      <c r="B145" s="82"/>
      <c r="C145" s="82"/>
      <c r="D145" s="82"/>
      <c r="E145" s="82"/>
      <c r="F145" s="82"/>
      <c r="G145" s="82"/>
      <c r="H145" s="82"/>
      <c r="I145" s="82"/>
      <c r="J145" s="82"/>
      <c r="K145" s="82"/>
      <c r="L145" s="82"/>
      <c r="M145" s="82"/>
      <c r="N145" s="82"/>
    </row>
    <row r="146" spans="1:14" customFormat="1" x14ac:dyDescent="0.25">
      <c r="A146" s="82"/>
      <c r="B146" s="82"/>
      <c r="C146" s="82"/>
      <c r="D146" s="82"/>
      <c r="E146" s="82"/>
      <c r="F146" s="82"/>
      <c r="G146" s="82"/>
      <c r="H146" s="82"/>
      <c r="I146" s="82"/>
      <c r="J146" s="82"/>
      <c r="K146" s="82"/>
      <c r="L146" s="82"/>
      <c r="M146" s="82"/>
      <c r="N146" s="82"/>
    </row>
    <row r="147" spans="1:14" customFormat="1" x14ac:dyDescent="0.25">
      <c r="A147" s="82"/>
      <c r="B147" s="82"/>
      <c r="C147" s="82"/>
      <c r="D147" s="82"/>
      <c r="E147" s="82"/>
      <c r="F147" s="82"/>
      <c r="G147" s="82"/>
      <c r="H147" s="82"/>
      <c r="I147" s="82"/>
      <c r="J147" s="82"/>
      <c r="K147" s="82"/>
      <c r="L147" s="82"/>
      <c r="M147" s="82"/>
      <c r="N147" s="82"/>
    </row>
    <row r="148" spans="1:14" customFormat="1" x14ac:dyDescent="0.25">
      <c r="A148" s="82"/>
      <c r="B148" s="82"/>
      <c r="C148" s="82"/>
      <c r="D148" s="82"/>
      <c r="E148" s="82"/>
      <c r="F148" s="82"/>
      <c r="G148" s="82"/>
      <c r="H148" s="82"/>
      <c r="I148" s="82"/>
      <c r="J148" s="82"/>
      <c r="K148" s="82"/>
      <c r="L148" s="82"/>
      <c r="M148" s="82"/>
      <c r="N148" s="82"/>
    </row>
    <row r="149" spans="1:14" customFormat="1" x14ac:dyDescent="0.25">
      <c r="A149" s="82"/>
      <c r="B149" s="82"/>
      <c r="C149" s="82"/>
      <c r="D149" s="82"/>
      <c r="E149" s="82"/>
      <c r="F149" s="82"/>
      <c r="G149" s="82"/>
      <c r="H149" s="82"/>
      <c r="I149" s="82"/>
      <c r="J149" s="82"/>
      <c r="K149" s="82"/>
      <c r="L149" s="82"/>
      <c r="M149" s="82"/>
      <c r="N149" s="82"/>
    </row>
    <row r="150" spans="1:14" customFormat="1" x14ac:dyDescent="0.25">
      <c r="A150" s="82"/>
      <c r="B150" s="82"/>
      <c r="C150" s="82"/>
      <c r="D150" s="82"/>
      <c r="E150" s="82"/>
      <c r="F150" s="82"/>
      <c r="G150" s="82"/>
      <c r="H150" s="82"/>
      <c r="I150" s="82"/>
      <c r="J150" s="82"/>
      <c r="K150" s="82"/>
      <c r="L150" s="82"/>
      <c r="M150" s="82"/>
      <c r="N150" s="82"/>
    </row>
    <row r="151" spans="1:14" customFormat="1" x14ac:dyDescent="0.25">
      <c r="A151" s="82"/>
      <c r="B151" s="82"/>
      <c r="C151" s="82"/>
      <c r="D151" s="82"/>
      <c r="E151" s="82"/>
      <c r="F151" s="82"/>
      <c r="G151" s="82"/>
      <c r="H151" s="82"/>
      <c r="I151" s="82"/>
      <c r="J151" s="82"/>
      <c r="K151" s="82"/>
      <c r="L151" s="82"/>
      <c r="M151" s="82"/>
      <c r="N151" s="82"/>
    </row>
    <row r="152" spans="1:14" customFormat="1" x14ac:dyDescent="0.25">
      <c r="A152" s="82"/>
      <c r="B152" s="82"/>
      <c r="C152" s="82"/>
      <c r="D152" s="82"/>
      <c r="E152" s="82"/>
      <c r="F152" s="82"/>
      <c r="G152" s="82"/>
      <c r="H152" s="82"/>
      <c r="I152" s="82"/>
      <c r="J152" s="82"/>
      <c r="K152" s="82"/>
      <c r="L152" s="82"/>
      <c r="M152" s="82"/>
      <c r="N152" s="82"/>
    </row>
  </sheetData>
  <printOptions horizontalCentered="1"/>
  <pageMargins left="0.7" right="0.7" top="0.75" bottom="0.75" header="0.3" footer="0.3"/>
  <pageSetup scale="82" orientation="landscape" blackAndWhite="1" horizontalDpi="300" verticalDpi="300" r:id="rId1"/>
  <headerFooter>
    <oddFooter>&amp;L&amp;F
&amp;A&amp;RPage &amp;P of &amp;N</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fitToPage="1"/>
  </sheetPr>
  <dimension ref="A1:O152"/>
  <sheetViews>
    <sheetView zoomScale="90" zoomScaleNormal="90" workbookViewId="0">
      <selection activeCell="E14" sqref="E14"/>
    </sheetView>
  </sheetViews>
  <sheetFormatPr defaultColWidth="8.7109375" defaultRowHeight="15" outlineLevelCol="1" x14ac:dyDescent="0.25"/>
  <cols>
    <col min="1" max="1" width="3.5703125" style="82" customWidth="1"/>
    <col min="2" max="2" width="2.5703125" style="82" customWidth="1"/>
    <col min="3" max="3" width="32.5703125" style="82" bestFit="1" customWidth="1"/>
    <col min="4" max="4" width="9.140625" style="82" bestFit="1" customWidth="1"/>
    <col min="5" max="5" width="13.85546875" style="82" customWidth="1"/>
    <col min="6" max="6" width="11.85546875" style="82" bestFit="1" customWidth="1"/>
    <col min="7" max="12" width="12.7109375" style="82" customWidth="1"/>
    <col min="13" max="13" width="9.140625" style="82"/>
    <col min="14" max="14" width="9.140625" style="82" customWidth="1" outlineLevel="1"/>
    <col min="15" max="15" width="9.140625" customWidth="1"/>
    <col min="16" max="16384" width="8.7109375" style="82"/>
  </cols>
  <sheetData>
    <row r="1" spans="1:15" x14ac:dyDescent="0.25">
      <c r="B1" s="245" t="s">
        <v>0</v>
      </c>
      <c r="C1" s="246"/>
      <c r="D1" s="246"/>
      <c r="E1" s="246"/>
      <c r="F1" s="246"/>
      <c r="G1" s="246"/>
      <c r="H1" s="246"/>
      <c r="I1" s="246"/>
      <c r="J1" s="246"/>
      <c r="K1" s="246"/>
      <c r="L1" s="246"/>
    </row>
    <row r="2" spans="1:15" s="509" customFormat="1" x14ac:dyDescent="0.25">
      <c r="A2" s="508"/>
      <c r="B2" s="244" t="str">
        <f>'CRM Rates'!A2</f>
        <v>2022 Gas Schedule 149 Cost Recovery Mechanism For Pipeline Replacement (CRM) Filing (FINAL - October Filing)</v>
      </c>
      <c r="C2" s="244"/>
      <c r="D2" s="244"/>
      <c r="E2" s="244"/>
      <c r="F2" s="244"/>
      <c r="G2" s="244"/>
      <c r="H2" s="244"/>
      <c r="I2" s="244"/>
      <c r="J2" s="244"/>
      <c r="K2" s="244"/>
      <c r="L2" s="244"/>
      <c r="M2" s="508"/>
      <c r="N2" s="508"/>
    </row>
    <row r="3" spans="1:15" s="7" customFormat="1" x14ac:dyDescent="0.25">
      <c r="A3" s="510"/>
      <c r="B3" s="511" t="s">
        <v>338</v>
      </c>
      <c r="C3" s="511"/>
      <c r="D3" s="511"/>
      <c r="E3" s="511"/>
      <c r="F3" s="511"/>
      <c r="G3" s="511"/>
      <c r="H3" s="511"/>
      <c r="I3" s="511"/>
      <c r="J3" s="511"/>
      <c r="K3" s="511"/>
      <c r="L3" s="511"/>
      <c r="M3" s="510"/>
      <c r="N3" s="510"/>
    </row>
    <row r="4" spans="1:15" s="217" customFormat="1" x14ac:dyDescent="0.25">
      <c r="A4" s="86"/>
      <c r="B4" s="495"/>
      <c r="C4" s="86"/>
      <c r="D4" s="86"/>
      <c r="E4" s="86"/>
      <c r="F4" s="86"/>
      <c r="G4" s="86"/>
      <c r="H4" s="86"/>
      <c r="I4" s="86"/>
      <c r="J4" s="86"/>
      <c r="K4" s="86"/>
      <c r="L4" s="86"/>
      <c r="M4" s="86"/>
      <c r="N4" s="86"/>
    </row>
    <row r="5" spans="1:15" s="217" customFormat="1" x14ac:dyDescent="0.25">
      <c r="A5" s="86"/>
      <c r="B5" s="86"/>
      <c r="C5" s="86"/>
      <c r="D5" s="86"/>
      <c r="E5" s="86"/>
      <c r="F5" s="496"/>
      <c r="G5" s="496" t="s">
        <v>115</v>
      </c>
      <c r="H5" s="496" t="s">
        <v>116</v>
      </c>
      <c r="I5" s="496"/>
      <c r="J5" s="496" t="s">
        <v>117</v>
      </c>
      <c r="K5" s="496" t="s">
        <v>118</v>
      </c>
      <c r="L5" s="496"/>
      <c r="M5" s="86"/>
      <c r="N5" s="86"/>
    </row>
    <row r="6" spans="1:15" s="217" customFormat="1" x14ac:dyDescent="0.25">
      <c r="A6" s="86"/>
      <c r="B6" s="86"/>
      <c r="C6" s="86"/>
      <c r="D6" s="496" t="s">
        <v>119</v>
      </c>
      <c r="E6" s="86"/>
      <c r="F6" s="496" t="s">
        <v>134</v>
      </c>
      <c r="G6" s="496" t="s">
        <v>121</v>
      </c>
      <c r="H6" s="496" t="s">
        <v>122</v>
      </c>
      <c r="I6" s="496" t="s">
        <v>123</v>
      </c>
      <c r="J6" s="496" t="s">
        <v>124</v>
      </c>
      <c r="K6" s="496" t="s">
        <v>125</v>
      </c>
      <c r="L6" s="496"/>
      <c r="M6" s="86"/>
      <c r="N6" s="86"/>
    </row>
    <row r="7" spans="1:15" s="217" customFormat="1" x14ac:dyDescent="0.25">
      <c r="A7" s="86"/>
      <c r="B7" s="86"/>
      <c r="C7" s="86"/>
      <c r="D7" s="497" t="s">
        <v>126</v>
      </c>
      <c r="E7" s="497" t="s">
        <v>90</v>
      </c>
      <c r="F7" s="497" t="s">
        <v>127</v>
      </c>
      <c r="G7" s="497" t="s">
        <v>128</v>
      </c>
      <c r="H7" s="497" t="s">
        <v>129</v>
      </c>
      <c r="I7" s="497" t="s">
        <v>130</v>
      </c>
      <c r="J7" s="497" t="s">
        <v>130</v>
      </c>
      <c r="K7" s="497" t="s">
        <v>130</v>
      </c>
      <c r="L7" s="497" t="s">
        <v>131</v>
      </c>
      <c r="M7" s="86"/>
      <c r="N7" s="74" t="s">
        <v>104</v>
      </c>
      <c r="O7" s="74" t="s">
        <v>254</v>
      </c>
    </row>
    <row r="8" spans="1:15" s="217" customFormat="1" x14ac:dyDescent="0.25">
      <c r="A8" s="86"/>
      <c r="B8" s="86" t="s">
        <v>135</v>
      </c>
      <c r="C8" s="86"/>
      <c r="D8" s="86"/>
      <c r="E8" s="90"/>
      <c r="F8" s="90"/>
      <c r="G8" s="90"/>
      <c r="H8" s="90"/>
      <c r="I8" s="90"/>
      <c r="J8" s="90"/>
      <c r="K8" s="90"/>
      <c r="L8" s="90"/>
      <c r="M8" s="86"/>
      <c r="N8" s="498"/>
    </row>
    <row r="9" spans="1:15" s="217" customFormat="1" x14ac:dyDescent="0.25">
      <c r="A9" s="86"/>
      <c r="B9" s="86"/>
      <c r="C9" s="161" t="s">
        <v>227</v>
      </c>
      <c r="D9" s="164">
        <v>376</v>
      </c>
      <c r="E9" s="499">
        <f>('2021TrueUp'!$F$14+'2021TrueUp'!$F$20)*'Summary 2021'!O15</f>
        <v>2533.4103340998613</v>
      </c>
      <c r="F9" s="500">
        <f>$E$9*'Allocation Factors'!E12</f>
        <v>1666.6598042132691</v>
      </c>
      <c r="G9" s="500">
        <f>$E$9*'Allocation Factors'!F12</f>
        <v>606.94149648861912</v>
      </c>
      <c r="H9" s="500">
        <f>$E$9*'Allocation Factors'!G12</f>
        <v>133.52932862828698</v>
      </c>
      <c r="I9" s="500">
        <f>$E$9*'Allocation Factors'!H12</f>
        <v>65.038867854868812</v>
      </c>
      <c r="J9" s="500">
        <f>$E$9*'Allocation Factors'!I12</f>
        <v>7.0038740287292498</v>
      </c>
      <c r="K9" s="500">
        <f>$E$9*'Allocation Factors'!J12</f>
        <v>50.878099764122659</v>
      </c>
      <c r="L9" s="500">
        <f>$E$9*'Allocation Factors'!K12</f>
        <v>3.3588631219651206</v>
      </c>
      <c r="M9" s="86"/>
      <c r="N9" s="718">
        <f t="shared" ref="N9:N16" si="0">SUM(F9:L9)-E9</f>
        <v>0</v>
      </c>
      <c r="O9" s="719"/>
    </row>
    <row r="10" spans="1:15" s="217" customFormat="1" x14ac:dyDescent="0.25">
      <c r="A10" s="86"/>
      <c r="B10" s="86"/>
      <c r="C10" s="161" t="s">
        <v>228</v>
      </c>
      <c r="D10" s="164">
        <v>380</v>
      </c>
      <c r="E10" s="499">
        <f>('2021TrueUp'!$F$14+'2021TrueUp'!$F$20)*'Summary 2021'!O16</f>
        <v>213.51439951457121</v>
      </c>
      <c r="F10" s="500">
        <f>$E$10*'Allocation Factors'!E17</f>
        <v>122.87348402604722</v>
      </c>
      <c r="G10" s="500">
        <f>$E$10*'Allocation Factors'!F17</f>
        <v>86.834156992450104</v>
      </c>
      <c r="H10" s="506">
        <f>$E$10*'Allocation Factors'!G17</f>
        <v>1.5426529082568399</v>
      </c>
      <c r="I10" s="506">
        <f>$E$10*'Allocation Factors'!H17</f>
        <v>1.54861269476847</v>
      </c>
      <c r="J10" s="506">
        <f>$E$10*'Allocation Factors'!I17</f>
        <v>0.24408839229384735</v>
      </c>
      <c r="K10" s="506">
        <f>$E$10*'Allocation Factors'!J17</f>
        <v>0.19929839095547083</v>
      </c>
      <c r="L10" s="506">
        <f>$E$10*'Allocation Factors'!K17</f>
        <v>0.27210610979930372</v>
      </c>
      <c r="M10" s="86"/>
      <c r="N10" s="718">
        <f t="shared" si="0"/>
        <v>0</v>
      </c>
      <c r="O10" s="719"/>
    </row>
    <row r="11" spans="1:15" s="217" customFormat="1" x14ac:dyDescent="0.25">
      <c r="A11" s="86"/>
      <c r="B11" s="86"/>
      <c r="C11" s="86" t="s">
        <v>90</v>
      </c>
      <c r="D11" s="164"/>
      <c r="E11" s="89">
        <f>SUM(E9:E10)</f>
        <v>2746.9247336144326</v>
      </c>
      <c r="F11" s="89">
        <f t="shared" ref="F11:L11" si="1">SUM(F9:F10)</f>
        <v>1789.5332882393163</v>
      </c>
      <c r="G11" s="89">
        <f t="shared" si="1"/>
        <v>693.77565348106918</v>
      </c>
      <c r="H11" s="89">
        <f t="shared" si="1"/>
        <v>135.0719815365438</v>
      </c>
      <c r="I11" s="89">
        <f t="shared" si="1"/>
        <v>66.587480549637277</v>
      </c>
      <c r="J11" s="89">
        <f t="shared" si="1"/>
        <v>7.2479624210230975</v>
      </c>
      <c r="K11" s="89">
        <f t="shared" si="1"/>
        <v>51.077398155078129</v>
      </c>
      <c r="L11" s="89">
        <f t="shared" si="1"/>
        <v>3.6309692317644244</v>
      </c>
      <c r="M11" s="86"/>
      <c r="N11" s="718">
        <f t="shared" si="0"/>
        <v>0</v>
      </c>
      <c r="O11" s="718">
        <f>E11-'2021TrueUp'!F14-'2021TrueUp'!F20</f>
        <v>0</v>
      </c>
    </row>
    <row r="12" spans="1:15" s="217" customFormat="1" x14ac:dyDescent="0.25">
      <c r="A12" s="86"/>
      <c r="B12" s="86"/>
      <c r="C12" s="86"/>
      <c r="D12" s="164"/>
      <c r="E12" s="90"/>
      <c r="F12" s="90"/>
      <c r="G12" s="90"/>
      <c r="H12" s="90"/>
      <c r="I12" s="90"/>
      <c r="J12" s="90"/>
      <c r="K12" s="90"/>
      <c r="L12" s="90"/>
      <c r="M12" s="86"/>
      <c r="N12" s="718"/>
      <c r="O12" s="719"/>
    </row>
    <row r="13" spans="1:15" s="86" customFormat="1" x14ac:dyDescent="0.25">
      <c r="B13" s="86" t="s">
        <v>53</v>
      </c>
      <c r="D13" s="164"/>
      <c r="E13" s="88"/>
      <c r="F13" s="88"/>
      <c r="G13" s="88"/>
      <c r="H13" s="88"/>
      <c r="I13" s="88"/>
      <c r="J13" s="88"/>
      <c r="K13" s="88"/>
      <c r="L13" s="88"/>
      <c r="N13" s="718"/>
      <c r="O13" s="720"/>
    </row>
    <row r="14" spans="1:15" s="86" customFormat="1" x14ac:dyDescent="0.25">
      <c r="C14" s="161" t="s">
        <v>227</v>
      </c>
      <c r="D14" s="164">
        <v>376</v>
      </c>
      <c r="E14" s="507">
        <f>'2021TrueUp'!F12*'Summary 2021'!I26</f>
        <v>2074.6270797723578</v>
      </c>
      <c r="F14" s="92">
        <f>$E$14*'Allocation Factors'!E12</f>
        <v>1364.8391324721933</v>
      </c>
      <c r="G14" s="92">
        <f>$E$14*'Allocation Factors'!F12</f>
        <v>497.02854981849725</v>
      </c>
      <c r="H14" s="92">
        <f>$E$14*'Allocation Factors'!G12</f>
        <v>109.34808206444573</v>
      </c>
      <c r="I14" s="92">
        <f>$E$14*'Allocation Factors'!H12</f>
        <v>53.260774487757367</v>
      </c>
      <c r="J14" s="92">
        <f>$E$14*'Allocation Factors'!I12</f>
        <v>5.7355204278342002</v>
      </c>
      <c r="K14" s="92">
        <f>$E$14*'Allocation Factors'!J12</f>
        <v>41.664424478442115</v>
      </c>
      <c r="L14" s="92">
        <f>$E$14*'Allocation Factors'!K12</f>
        <v>2.7505960231876454</v>
      </c>
      <c r="N14" s="718">
        <f t="shared" si="0"/>
        <v>0</v>
      </c>
      <c r="O14" s="720"/>
    </row>
    <row r="15" spans="1:15" s="86" customFormat="1" x14ac:dyDescent="0.25">
      <c r="C15" s="161" t="s">
        <v>228</v>
      </c>
      <c r="D15" s="164">
        <v>380</v>
      </c>
      <c r="E15" s="507">
        <f>'2021TrueUp'!F12*'Summary 2021'!I27</f>
        <v>228.66566654032579</v>
      </c>
      <c r="F15" s="92">
        <f>$E$15*'Allocation Factors'!E17</f>
        <v>131.59275060055467</v>
      </c>
      <c r="G15" s="92">
        <f>$E$15*'Allocation Factors'!F17</f>
        <v>92.996024775325878</v>
      </c>
      <c r="H15" s="201">
        <f>$E$15*'Allocation Factors'!G17</f>
        <v>1.6521216194734862</v>
      </c>
      <c r="I15" s="201">
        <f>$E$15*'Allocation Factors'!H17</f>
        <v>1.658504320397725</v>
      </c>
      <c r="J15" s="201">
        <f>$E$15*'Allocation Factors'!I17</f>
        <v>0.26140923069134769</v>
      </c>
      <c r="K15" s="201">
        <f>$E$15*'Allocation Factors'!J17</f>
        <v>0.21344087102255171</v>
      </c>
      <c r="L15" s="201">
        <f>$E$15*'Allocation Factors'!K17</f>
        <v>0.2914151228601638</v>
      </c>
      <c r="N15" s="718">
        <f t="shared" si="0"/>
        <v>0</v>
      </c>
      <c r="O15" s="720"/>
    </row>
    <row r="16" spans="1:15" s="86" customFormat="1" x14ac:dyDescent="0.25">
      <c r="C16" s="86" t="s">
        <v>90</v>
      </c>
      <c r="E16" s="89">
        <f>SUM(E14:E15)</f>
        <v>2303.2927463126834</v>
      </c>
      <c r="F16" s="89">
        <f t="shared" ref="F16:L16" si="2">SUM(F14:F15)</f>
        <v>1496.431883072748</v>
      </c>
      <c r="G16" s="89">
        <f t="shared" si="2"/>
        <v>590.0245745938231</v>
      </c>
      <c r="H16" s="89">
        <f t="shared" si="2"/>
        <v>111.00020368391922</v>
      </c>
      <c r="I16" s="89">
        <f t="shared" si="2"/>
        <v>54.919278808155092</v>
      </c>
      <c r="J16" s="89">
        <f t="shared" si="2"/>
        <v>5.9969296585255476</v>
      </c>
      <c r="K16" s="89">
        <f t="shared" si="2"/>
        <v>41.877865349464663</v>
      </c>
      <c r="L16" s="89">
        <f t="shared" si="2"/>
        <v>3.042011146047809</v>
      </c>
      <c r="N16" s="718">
        <f t="shared" si="0"/>
        <v>0</v>
      </c>
      <c r="O16" s="718">
        <f>E16-'2021TrueUp'!F12</f>
        <v>0</v>
      </c>
    </row>
    <row r="17" spans="1:15" s="86" customFormat="1" x14ac:dyDescent="0.25">
      <c r="E17" s="90"/>
      <c r="F17" s="90"/>
      <c r="G17" s="90"/>
      <c r="H17" s="90"/>
      <c r="I17" s="90"/>
      <c r="J17" s="90"/>
      <c r="K17" s="90"/>
      <c r="L17" s="90"/>
      <c r="N17" s="718"/>
      <c r="O17" s="718">
        <f>(E11+E16)-'2021TrueUp'!F22</f>
        <v>5.8207660913467407E-10</v>
      </c>
    </row>
    <row r="18" spans="1:15" s="86" customFormat="1" x14ac:dyDescent="0.25">
      <c r="B18" s="161" t="s">
        <v>215</v>
      </c>
      <c r="E18" s="88"/>
      <c r="F18" s="88"/>
      <c r="G18" s="88"/>
      <c r="H18" s="88"/>
      <c r="I18" s="88"/>
      <c r="J18" s="88"/>
      <c r="K18" s="88"/>
      <c r="L18" s="88"/>
      <c r="N18" s="718"/>
      <c r="O18" s="720"/>
    </row>
    <row r="19" spans="1:15" s="86" customFormat="1" x14ac:dyDescent="0.25">
      <c r="C19" s="161" t="s">
        <v>229</v>
      </c>
      <c r="D19" s="503">
        <f>'Summary 2021'!Q5</f>
        <v>874</v>
      </c>
      <c r="E19" s="507">
        <f>'Summary 2021'!J6*'Summary 2021'!Q6</f>
        <v>89113.738877661061</v>
      </c>
      <c r="F19" s="92">
        <f>$E$19*'Allocation Factors'!E20</f>
        <v>55894.214584516179</v>
      </c>
      <c r="G19" s="266">
        <f>$E$19*'Allocation Factors'!F20</f>
        <v>26889.196181461404</v>
      </c>
      <c r="H19" s="92">
        <f>$E$19*'Allocation Factors'!G20</f>
        <v>3189.2327263152806</v>
      </c>
      <c r="I19" s="92">
        <f>$E$19*'Allocation Factors'!H20</f>
        <v>1677.171496991919</v>
      </c>
      <c r="J19" s="92">
        <f>$E$19*'Allocation Factors'!I20</f>
        <v>192.61519971925412</v>
      </c>
      <c r="K19" s="92">
        <f>$E$19*'Allocation Factors'!J20</f>
        <v>1154.863561497056</v>
      </c>
      <c r="L19" s="92">
        <f>$E$19*'Allocation Factors'!K20</f>
        <v>116.44512715994607</v>
      </c>
      <c r="N19" s="718">
        <f t="shared" ref="N19:N24" si="3">SUM(F19:L19)-E19</f>
        <v>0</v>
      </c>
      <c r="O19" s="720"/>
    </row>
    <row r="20" spans="1:15" s="86" customFormat="1" x14ac:dyDescent="0.25">
      <c r="C20" s="161" t="str">
        <f>'Allocation Factors'!C22&amp;" (FERC "&amp;'Allocation Factors'!B22&amp;")"</f>
        <v>Oper Meter &amp; House Reg (FERC 878)</v>
      </c>
      <c r="D20" s="503">
        <f>'Summary 2021'!O5</f>
        <v>878</v>
      </c>
      <c r="E20" s="502">
        <f>'Summary 2021'!J8*'Summary 2021'!O8</f>
        <v>242.63489886466343</v>
      </c>
      <c r="F20" s="92">
        <f>$E$20*'Allocation Factors'!E23</f>
        <v>192.12710656823387</v>
      </c>
      <c r="G20" s="92">
        <f>$E$20*'Allocation Factors'!F23</f>
        <v>49.515561848930005</v>
      </c>
      <c r="H20" s="92">
        <f>$E$20*'Allocation Factors'!G23</f>
        <v>0.98155998850062232</v>
      </c>
      <c r="I20" s="92">
        <f>$E$20*'Allocation Factors'!H23</f>
        <v>5.5710271209909734E-3</v>
      </c>
      <c r="J20" s="92">
        <f>$E$20*'Allocation Factors'!I23</f>
        <v>3.2424228375833278E-3</v>
      </c>
      <c r="K20" s="92">
        <f>$E$20*'Allocation Factors'!J23</f>
        <v>0</v>
      </c>
      <c r="L20" s="92">
        <f>$E$20*'Allocation Factors'!K23</f>
        <v>1.8570090403303243E-3</v>
      </c>
      <c r="N20" s="718">
        <f t="shared" si="3"/>
        <v>0</v>
      </c>
      <c r="O20" s="720"/>
    </row>
    <row r="21" spans="1:15" s="86" customFormat="1" x14ac:dyDescent="0.25">
      <c r="C21" s="161" t="str">
        <f>'Allocation Factors'!C25&amp;" (FERC "&amp;'Allocation Factors'!B25&amp;")"</f>
        <v>Maint Mains (FERC 887)</v>
      </c>
      <c r="D21" s="503">
        <f>'Summary 2021'!P5</f>
        <v>887</v>
      </c>
      <c r="E21" s="502">
        <f>'Summary 2021'!J7*'Summary 2021'!P7</f>
        <v>764.32548799999904</v>
      </c>
      <c r="F21" s="92">
        <f>$E$21*'Allocation Factors'!E26</f>
        <v>502.82836184841932</v>
      </c>
      <c r="G21" s="92">
        <f>$E$21*'Allocation Factors'!F26</f>
        <v>183.1131930137725</v>
      </c>
      <c r="H21" s="92">
        <f>$E$21*'Allocation Factors'!G26</f>
        <v>40.285566018420113</v>
      </c>
      <c r="I21" s="92">
        <f>$E$21*'Allocation Factors'!H26</f>
        <v>19.622113221466229</v>
      </c>
      <c r="J21" s="92">
        <f>$E$21*'Allocation Factors'!I26</f>
        <v>2.1130566031266502</v>
      </c>
      <c r="K21" s="92">
        <f>$E$21*'Allocation Factors'!J26</f>
        <v>15.349834137525407</v>
      </c>
      <c r="L21" s="92">
        <f>$E$21*'Allocation Factors'!K26</f>
        <v>1.0133631572689383</v>
      </c>
      <c r="N21" s="718">
        <f t="shared" si="3"/>
        <v>0</v>
      </c>
      <c r="O21" s="720"/>
    </row>
    <row r="22" spans="1:15" s="86" customFormat="1" x14ac:dyDescent="0.25">
      <c r="C22" s="161" t="str">
        <f>'Allocation Factors'!C28&amp;" (FERC "&amp;'Allocation Factors'!B28&amp;")"</f>
        <v>Maint Services (FERC 892)</v>
      </c>
      <c r="D22" s="503">
        <f>'Summary 2021'!M5</f>
        <v>892</v>
      </c>
      <c r="E22" s="502">
        <f>'Summary 2021'!J7*'Summary 2021'!M7+'Summary 2021'!J8*'Summary 2021'!M8</f>
        <v>22354.626049499391</v>
      </c>
      <c r="F22" s="92">
        <f>$E$22*'Allocation Factors'!E29</f>
        <v>12864.662959717471</v>
      </c>
      <c r="G22" s="92">
        <f>$E$22*'Allocation Factors'!F29</f>
        <v>9091.4013869929713</v>
      </c>
      <c r="H22" s="92">
        <f>$E$22*'Allocation Factors'!G29</f>
        <v>161.51336381367054</v>
      </c>
      <c r="I22" s="92">
        <f>$E$22*'Allocation Factors'!H29</f>
        <v>162.13734420611826</v>
      </c>
      <c r="J22" s="92">
        <f>$E$22*'Allocation Factors'!I29</f>
        <v>25.555675613251033</v>
      </c>
      <c r="K22" s="92">
        <f>$E$22*'Allocation Factors'!J29</f>
        <v>20.866232030277814</v>
      </c>
      <c r="L22" s="92">
        <f>$E$22*'Allocation Factors'!K29</f>
        <v>28.489087125631237</v>
      </c>
      <c r="N22" s="718">
        <f>SUM(F22:L22)-E22</f>
        <v>0</v>
      </c>
      <c r="O22" s="720"/>
    </row>
    <row r="23" spans="1:15" s="86" customFormat="1" x14ac:dyDescent="0.25">
      <c r="C23" s="161" t="str">
        <f>'Allocation Factors'!C31&amp;" (FERC "&amp;'Allocation Factors'!B31&amp;")"</f>
        <v>Maint Meters &amp; House Reg (FERC 893)</v>
      </c>
      <c r="D23" s="503">
        <f>'Summary 2021'!N5</f>
        <v>893</v>
      </c>
      <c r="E23" s="502">
        <f>'Summary 2021'!J8*'Summary 2021'!N8</f>
        <v>16.28750521546279</v>
      </c>
      <c r="F23" s="92">
        <f>$E$23*'Allocation Factors'!E32</f>
        <v>12.897036926280443</v>
      </c>
      <c r="G23" s="92">
        <f>$E$23*'Allocation Factors'!F32</f>
        <v>3.3238622128750652</v>
      </c>
      <c r="H23" s="92">
        <f>$E$23*'Allocation Factors'!G32</f>
        <v>6.5889793705689384E-2</v>
      </c>
      <c r="I23" s="92">
        <f>$E$23*'Allocation Factors'!H32</f>
        <v>3.7396983580353341E-4</v>
      </c>
      <c r="J23" s="92">
        <f>$E$23*'Allocation Factors'!I32</f>
        <v>2.1765615385497755E-4</v>
      </c>
      <c r="K23" s="92">
        <f>$E$23*'Allocation Factors'!J32</f>
        <v>0</v>
      </c>
      <c r="L23" s="92">
        <f>$E$23*'Allocation Factors'!K32</f>
        <v>1.2465661193451115E-4</v>
      </c>
      <c r="N23" s="718">
        <f>SUM(F23:L23)-E23</f>
        <v>0</v>
      </c>
      <c r="O23" s="720"/>
    </row>
    <row r="24" spans="1:15" s="86" customFormat="1" x14ac:dyDescent="0.25">
      <c r="C24" s="161" t="s">
        <v>90</v>
      </c>
      <c r="E24" s="268">
        <f t="shared" ref="E24:L24" si="4">SUM(E19:E23)</f>
        <v>112491.61281924057</v>
      </c>
      <c r="F24" s="89">
        <f t="shared" si="4"/>
        <v>69466.730049576581</v>
      </c>
      <c r="G24" s="89">
        <f t="shared" si="4"/>
        <v>36216.550185529952</v>
      </c>
      <c r="H24" s="89">
        <f t="shared" si="4"/>
        <v>3392.0791059295771</v>
      </c>
      <c r="I24" s="89">
        <f t="shared" si="4"/>
        <v>1858.9368994164604</v>
      </c>
      <c r="J24" s="89">
        <f t="shared" si="4"/>
        <v>220.28739201462324</v>
      </c>
      <c r="K24" s="89">
        <f t="shared" si="4"/>
        <v>1191.0796276648593</v>
      </c>
      <c r="L24" s="89">
        <f t="shared" si="4"/>
        <v>145.94955910849853</v>
      </c>
      <c r="N24" s="718">
        <f t="shared" si="3"/>
        <v>0</v>
      </c>
      <c r="O24" s="718">
        <f>E24-'Summary 2021'!J9</f>
        <v>1.4551915228366852E-10</v>
      </c>
    </row>
    <row r="25" spans="1:15" s="86" customFormat="1" x14ac:dyDescent="0.25">
      <c r="E25" s="88"/>
      <c r="F25" s="88"/>
      <c r="G25" s="88"/>
      <c r="H25" s="88"/>
      <c r="I25" s="88"/>
      <c r="J25" s="88"/>
      <c r="K25" s="88"/>
      <c r="L25" s="88"/>
      <c r="N25" s="718"/>
      <c r="O25" s="720"/>
    </row>
    <row r="26" spans="1:15" s="86" customFormat="1" x14ac:dyDescent="0.25">
      <c r="B26" s="86" t="s">
        <v>136</v>
      </c>
      <c r="E26" s="88">
        <f t="shared" ref="E26:L26" si="5">E11+E16+E24</f>
        <v>117541.83029916769</v>
      </c>
      <c r="F26" s="88">
        <f t="shared" si="5"/>
        <v>72752.695220888651</v>
      </c>
      <c r="G26" s="88">
        <f t="shared" si="5"/>
        <v>37500.350413604843</v>
      </c>
      <c r="H26" s="88">
        <f t="shared" si="5"/>
        <v>3638.1512911500399</v>
      </c>
      <c r="I26" s="88">
        <f t="shared" si="5"/>
        <v>1980.4436587742528</v>
      </c>
      <c r="J26" s="88">
        <f t="shared" si="5"/>
        <v>233.53228409417187</v>
      </c>
      <c r="K26" s="88">
        <f t="shared" si="5"/>
        <v>1284.034891169402</v>
      </c>
      <c r="L26" s="88">
        <f t="shared" si="5"/>
        <v>152.62253948631076</v>
      </c>
      <c r="M26" s="88"/>
      <c r="N26" s="718">
        <f t="shared" ref="N26" si="6">SUM(F26:L26)-E26</f>
        <v>0</v>
      </c>
      <c r="O26" s="718"/>
    </row>
    <row r="27" spans="1:15" s="86" customFormat="1" x14ac:dyDescent="0.25">
      <c r="B27" s="86" t="s">
        <v>137</v>
      </c>
      <c r="E27" s="504">
        <f>'2019 GRC'!$J$18</f>
        <v>0.95455299999999998</v>
      </c>
      <c r="F27" s="88"/>
      <c r="G27" s="88"/>
      <c r="H27" s="88"/>
      <c r="I27" s="88"/>
      <c r="J27" s="88"/>
      <c r="K27" s="88"/>
      <c r="L27" s="88"/>
      <c r="N27" s="718"/>
      <c r="O27" s="720"/>
    </row>
    <row r="28" spans="1:15" s="86" customFormat="1" x14ac:dyDescent="0.25">
      <c r="B28" s="87" t="s">
        <v>138</v>
      </c>
      <c r="C28" s="87"/>
      <c r="D28" s="87"/>
      <c r="E28" s="93">
        <f>E26/$E$27</f>
        <v>123138.08693615513</v>
      </c>
      <c r="F28" s="93">
        <f t="shared" ref="F28:L28" si="7">F26/$E$27</f>
        <v>76216.506805686702</v>
      </c>
      <c r="G28" s="93">
        <f t="shared" si="7"/>
        <v>39285.770841016521</v>
      </c>
      <c r="H28" s="93">
        <f t="shared" si="7"/>
        <v>3811.3664627841931</v>
      </c>
      <c r="I28" s="93">
        <f t="shared" si="7"/>
        <v>2074.7340993891935</v>
      </c>
      <c r="J28" s="93">
        <f t="shared" si="7"/>
        <v>244.65093514364511</v>
      </c>
      <c r="K28" s="93">
        <f t="shared" si="7"/>
        <v>1345.168776557616</v>
      </c>
      <c r="L28" s="93">
        <f t="shared" si="7"/>
        <v>159.88901557725003</v>
      </c>
      <c r="N28" s="718">
        <f t="shared" ref="N28" si="8">SUM(F28:L28)-E28</f>
        <v>0</v>
      </c>
      <c r="O28" s="718">
        <f>E28-'2021TrueUp'!F7</f>
        <v>1.6007106751203537E-10</v>
      </c>
    </row>
    <row r="29" spans="1:15" s="86" customFormat="1" x14ac:dyDescent="0.25">
      <c r="F29" s="88"/>
      <c r="G29" s="88"/>
      <c r="H29" s="88"/>
      <c r="I29" s="88"/>
      <c r="J29" s="88"/>
      <c r="K29" s="88"/>
      <c r="L29" s="88"/>
      <c r="N29" s="720"/>
      <c r="O29" s="720"/>
    </row>
    <row r="30" spans="1:15" s="217" customFormat="1" x14ac:dyDescent="0.25">
      <c r="A30" s="86"/>
      <c r="B30" s="86" t="s">
        <v>139</v>
      </c>
      <c r="C30" s="86"/>
      <c r="D30" s="86"/>
      <c r="E30" s="505">
        <f>SUM(F30:L30)</f>
        <v>1</v>
      </c>
      <c r="F30" s="505">
        <f>F28/$E28</f>
        <v>0.61895152590119074</v>
      </c>
      <c r="G30" s="505">
        <f t="shared" ref="G30:L30" si="9">G28/$E28</f>
        <v>0.31903833995232916</v>
      </c>
      <c r="H30" s="505">
        <f t="shared" si="9"/>
        <v>3.095197073152775E-2</v>
      </c>
      <c r="I30" s="505">
        <f t="shared" si="9"/>
        <v>1.6848841418698551E-2</v>
      </c>
      <c r="J30" s="505">
        <f t="shared" si="9"/>
        <v>1.9868014944108415E-3</v>
      </c>
      <c r="K30" s="505">
        <f t="shared" si="9"/>
        <v>1.0924067524737993E-2</v>
      </c>
      <c r="L30" s="505">
        <f t="shared" si="9"/>
        <v>1.2984529771048791E-3</v>
      </c>
      <c r="M30" s="86"/>
      <c r="N30" s="86"/>
    </row>
    <row r="31" spans="1:15" customFormat="1" x14ac:dyDescent="0.25">
      <c r="A31" s="82"/>
      <c r="B31" s="82"/>
      <c r="C31" s="82"/>
      <c r="D31" s="82"/>
      <c r="E31" s="82"/>
      <c r="F31" s="85"/>
      <c r="G31" s="85"/>
      <c r="H31" s="85"/>
      <c r="I31" s="85"/>
      <c r="J31" s="85"/>
      <c r="K31" s="85"/>
      <c r="L31" s="85"/>
      <c r="M31" s="82"/>
      <c r="N31" s="82"/>
    </row>
    <row r="32" spans="1:15" customFormat="1" x14ac:dyDescent="0.25">
      <c r="A32" s="82"/>
      <c r="B32" s="82"/>
      <c r="C32" s="82"/>
      <c r="D32" s="82"/>
      <c r="E32" s="82"/>
      <c r="F32" s="82"/>
      <c r="G32" s="82"/>
      <c r="H32" s="82"/>
      <c r="I32" s="82"/>
      <c r="J32" s="82"/>
      <c r="K32" s="82"/>
      <c r="L32" s="82"/>
      <c r="M32" s="82"/>
      <c r="N32" s="82"/>
    </row>
    <row r="33" spans="1:14" customFormat="1" x14ac:dyDescent="0.25">
      <c r="A33" s="82"/>
      <c r="B33" s="82"/>
      <c r="C33" s="82"/>
      <c r="D33" s="82"/>
      <c r="E33" s="82"/>
      <c r="F33" s="82"/>
      <c r="G33" s="82"/>
      <c r="H33" s="82"/>
      <c r="I33" s="82"/>
      <c r="J33" s="82"/>
      <c r="K33" s="82"/>
      <c r="L33" s="82"/>
      <c r="M33" s="82"/>
      <c r="N33" s="82"/>
    </row>
    <row r="34" spans="1:14" customFormat="1" x14ac:dyDescent="0.25">
      <c r="A34" s="82"/>
      <c r="B34" s="82"/>
      <c r="C34" s="82"/>
      <c r="D34" s="82"/>
      <c r="E34" s="82"/>
      <c r="F34" s="82"/>
      <c r="G34" s="82"/>
      <c r="H34" s="82"/>
      <c r="I34" s="82"/>
      <c r="J34" s="82"/>
      <c r="K34" s="82"/>
      <c r="L34" s="82"/>
      <c r="M34" s="82"/>
      <c r="N34" s="82"/>
    </row>
    <row r="35" spans="1:14" customFormat="1" x14ac:dyDescent="0.25">
      <c r="A35" s="82"/>
      <c r="B35" s="82"/>
      <c r="C35" s="82"/>
      <c r="D35" s="82"/>
      <c r="E35" s="82"/>
      <c r="F35" s="82"/>
      <c r="G35" s="82"/>
      <c r="H35" s="82"/>
      <c r="I35" s="82"/>
      <c r="J35" s="82"/>
      <c r="K35" s="82"/>
      <c r="L35" s="82"/>
      <c r="M35" s="82"/>
      <c r="N35" s="82"/>
    </row>
    <row r="36" spans="1:14" customFormat="1" x14ac:dyDescent="0.25">
      <c r="A36" s="82"/>
      <c r="B36" s="82"/>
      <c r="C36" s="82"/>
      <c r="D36" s="82"/>
      <c r="E36" s="82"/>
      <c r="F36" s="82"/>
      <c r="G36" s="82"/>
      <c r="H36" s="82"/>
      <c r="I36" s="82"/>
      <c r="J36" s="82"/>
      <c r="K36" s="82"/>
      <c r="L36" s="82"/>
      <c r="M36" s="82"/>
      <c r="N36" s="82"/>
    </row>
    <row r="37" spans="1:14" customFormat="1" x14ac:dyDescent="0.25">
      <c r="A37" s="82"/>
      <c r="B37" s="82"/>
      <c r="C37" s="82"/>
      <c r="D37" s="82"/>
      <c r="E37" s="82"/>
      <c r="F37" s="82"/>
      <c r="G37" s="82"/>
      <c r="H37" s="82"/>
      <c r="I37" s="82"/>
      <c r="J37" s="82"/>
      <c r="K37" s="82"/>
      <c r="L37" s="82"/>
      <c r="M37" s="82"/>
      <c r="N37" s="82"/>
    </row>
    <row r="38" spans="1:14" customFormat="1" x14ac:dyDescent="0.25">
      <c r="A38" s="82"/>
      <c r="B38" s="82"/>
      <c r="C38" s="82"/>
      <c r="D38" s="82"/>
      <c r="E38" s="82"/>
      <c r="F38" s="82"/>
      <c r="G38" s="82"/>
      <c r="H38" s="82"/>
      <c r="I38" s="82"/>
      <c r="J38" s="82"/>
      <c r="K38" s="82"/>
      <c r="L38" s="82"/>
      <c r="M38" s="82"/>
      <c r="N38" s="82"/>
    </row>
    <row r="39" spans="1:14" customFormat="1" x14ac:dyDescent="0.25">
      <c r="A39" s="82"/>
      <c r="B39" s="82"/>
      <c r="C39" s="82"/>
      <c r="D39" s="82"/>
      <c r="E39" s="82"/>
      <c r="F39" s="82"/>
      <c r="G39" s="82"/>
      <c r="H39" s="82"/>
      <c r="I39" s="82"/>
      <c r="J39" s="82"/>
      <c r="K39" s="82"/>
      <c r="L39" s="82"/>
      <c r="M39" s="82"/>
      <c r="N39" s="82"/>
    </row>
    <row r="40" spans="1:14" customFormat="1" x14ac:dyDescent="0.25">
      <c r="A40" s="82"/>
      <c r="B40" s="82"/>
      <c r="C40" s="82"/>
      <c r="D40" s="82"/>
      <c r="E40" s="82"/>
      <c r="F40" s="82"/>
      <c r="G40" s="82"/>
      <c r="H40" s="82"/>
      <c r="I40" s="82"/>
      <c r="J40" s="82"/>
      <c r="K40" s="82"/>
      <c r="L40" s="82"/>
      <c r="M40" s="82"/>
      <c r="N40" s="82"/>
    </row>
    <row r="41" spans="1:14" customFormat="1" x14ac:dyDescent="0.25">
      <c r="A41" s="82"/>
      <c r="B41" s="82"/>
      <c r="C41" s="82"/>
      <c r="D41" s="82"/>
      <c r="E41" s="82"/>
      <c r="F41" s="82"/>
      <c r="G41" s="82"/>
      <c r="H41" s="82"/>
      <c r="I41" s="82"/>
      <c r="J41" s="82"/>
      <c r="K41" s="82"/>
      <c r="L41" s="82"/>
      <c r="M41" s="82"/>
      <c r="N41" s="82"/>
    </row>
    <row r="42" spans="1:14" customFormat="1" x14ac:dyDescent="0.25">
      <c r="A42" s="82"/>
      <c r="B42" s="82"/>
      <c r="C42" s="82"/>
      <c r="D42" s="82"/>
      <c r="E42" s="82"/>
      <c r="F42" s="82"/>
      <c r="G42" s="82"/>
      <c r="H42" s="82"/>
      <c r="I42" s="82"/>
      <c r="J42" s="82"/>
      <c r="K42" s="82"/>
      <c r="L42" s="82"/>
      <c r="M42" s="82"/>
      <c r="N42" s="82"/>
    </row>
    <row r="43" spans="1:14" customFormat="1" x14ac:dyDescent="0.25">
      <c r="A43" s="82"/>
      <c r="B43" s="82"/>
      <c r="C43" s="82"/>
      <c r="D43" s="82"/>
      <c r="E43" s="82"/>
      <c r="F43" s="82"/>
      <c r="G43" s="82"/>
      <c r="H43" s="82"/>
      <c r="I43" s="82"/>
      <c r="J43" s="82"/>
      <c r="K43" s="82"/>
      <c r="L43" s="82"/>
      <c r="M43" s="82"/>
      <c r="N43" s="82"/>
    </row>
    <row r="44" spans="1:14" customFormat="1" x14ac:dyDescent="0.25">
      <c r="A44" s="82"/>
      <c r="B44" s="82"/>
      <c r="C44" s="82"/>
      <c r="D44" s="82"/>
      <c r="E44" s="82"/>
      <c r="F44" s="82"/>
      <c r="G44" s="82"/>
      <c r="H44" s="82"/>
      <c r="I44" s="82"/>
      <c r="J44" s="82"/>
      <c r="K44" s="82"/>
      <c r="L44" s="82"/>
      <c r="M44" s="82"/>
      <c r="N44" s="82"/>
    </row>
    <row r="45" spans="1:14" customFormat="1" x14ac:dyDescent="0.25">
      <c r="A45" s="82"/>
      <c r="B45" s="82"/>
      <c r="C45" s="82"/>
      <c r="D45" s="82"/>
      <c r="E45" s="82"/>
      <c r="F45" s="82"/>
      <c r="G45" s="82"/>
      <c r="H45" s="82"/>
      <c r="I45" s="82"/>
      <c r="J45" s="82"/>
      <c r="K45" s="82"/>
      <c r="L45" s="82"/>
      <c r="M45" s="82"/>
      <c r="N45" s="82"/>
    </row>
    <row r="46" spans="1:14" customFormat="1" x14ac:dyDescent="0.25">
      <c r="A46" s="82"/>
      <c r="B46" s="82"/>
      <c r="C46" s="82"/>
      <c r="D46" s="82"/>
      <c r="E46" s="82"/>
      <c r="F46" s="82"/>
      <c r="G46" s="82"/>
      <c r="H46" s="82"/>
      <c r="I46" s="82"/>
      <c r="J46" s="82"/>
      <c r="K46" s="82"/>
      <c r="L46" s="82"/>
      <c r="M46" s="82"/>
      <c r="N46" s="82"/>
    </row>
    <row r="47" spans="1:14" customFormat="1" x14ac:dyDescent="0.25">
      <c r="A47" s="82"/>
      <c r="B47" s="82"/>
      <c r="C47" s="82"/>
      <c r="D47" s="82"/>
      <c r="E47" s="82"/>
      <c r="F47" s="82"/>
      <c r="G47" s="82"/>
      <c r="H47" s="82"/>
      <c r="I47" s="82"/>
      <c r="J47" s="82"/>
      <c r="K47" s="82"/>
      <c r="L47" s="82"/>
      <c r="M47" s="82"/>
      <c r="N47" s="82"/>
    </row>
    <row r="48" spans="1:14" customFormat="1" x14ac:dyDescent="0.25">
      <c r="A48" s="82"/>
      <c r="B48" s="82"/>
      <c r="C48" s="82"/>
      <c r="D48" s="82"/>
      <c r="E48" s="82"/>
      <c r="F48" s="82"/>
      <c r="G48" s="82"/>
      <c r="H48" s="82"/>
      <c r="I48" s="82"/>
      <c r="J48" s="82"/>
      <c r="K48" s="82"/>
      <c r="L48" s="82"/>
      <c r="M48" s="82"/>
      <c r="N48" s="82"/>
    </row>
    <row r="49" spans="1:14" customFormat="1" x14ac:dyDescent="0.25">
      <c r="A49" s="82"/>
      <c r="B49" s="82"/>
      <c r="C49" s="82"/>
      <c r="D49" s="82"/>
      <c r="E49" s="82"/>
      <c r="F49" s="82"/>
      <c r="G49" s="82"/>
      <c r="H49" s="82"/>
      <c r="I49" s="82"/>
      <c r="J49" s="82"/>
      <c r="K49" s="82"/>
      <c r="L49" s="82"/>
      <c r="M49" s="82"/>
      <c r="N49" s="82"/>
    </row>
    <row r="50" spans="1:14" customFormat="1" x14ac:dyDescent="0.25">
      <c r="A50" s="82"/>
      <c r="B50" s="82"/>
      <c r="C50" s="82"/>
      <c r="D50" s="82"/>
      <c r="E50" s="82"/>
      <c r="F50" s="82"/>
      <c r="G50" s="82"/>
      <c r="H50" s="82"/>
      <c r="I50" s="82"/>
      <c r="J50" s="82"/>
      <c r="K50" s="82"/>
      <c r="L50" s="82"/>
      <c r="M50" s="82"/>
      <c r="N50" s="82"/>
    </row>
    <row r="51" spans="1:14" customFormat="1" x14ac:dyDescent="0.25">
      <c r="A51" s="82"/>
      <c r="B51" s="82"/>
      <c r="C51" s="82"/>
      <c r="D51" s="82"/>
      <c r="E51" s="82"/>
      <c r="F51" s="82"/>
      <c r="G51" s="82"/>
      <c r="H51" s="82"/>
      <c r="I51" s="82"/>
      <c r="J51" s="82"/>
      <c r="K51" s="82"/>
      <c r="L51" s="82"/>
      <c r="M51" s="82"/>
      <c r="N51" s="82"/>
    </row>
    <row r="52" spans="1:14" customFormat="1" x14ac:dyDescent="0.25">
      <c r="A52" s="82"/>
      <c r="B52" s="82"/>
      <c r="C52" s="82"/>
      <c r="D52" s="82"/>
      <c r="E52" s="82"/>
      <c r="F52" s="82"/>
      <c r="G52" s="82"/>
      <c r="H52" s="82"/>
      <c r="I52" s="82"/>
      <c r="J52" s="82"/>
      <c r="K52" s="82"/>
      <c r="L52" s="82"/>
      <c r="M52" s="82"/>
      <c r="N52" s="82"/>
    </row>
    <row r="53" spans="1:14" customFormat="1" x14ac:dyDescent="0.25">
      <c r="A53" s="82"/>
      <c r="B53" s="82"/>
      <c r="C53" s="82"/>
      <c r="D53" s="82"/>
      <c r="E53" s="82"/>
      <c r="F53" s="82"/>
      <c r="G53" s="82"/>
      <c r="H53" s="82"/>
      <c r="I53" s="82"/>
      <c r="J53" s="82"/>
      <c r="K53" s="82"/>
      <c r="L53" s="82"/>
      <c r="M53" s="82"/>
      <c r="N53" s="82"/>
    </row>
    <row r="54" spans="1:14" customFormat="1" x14ac:dyDescent="0.25">
      <c r="A54" s="82"/>
      <c r="B54" s="82"/>
      <c r="C54" s="82"/>
      <c r="D54" s="82"/>
      <c r="E54" s="82"/>
      <c r="F54" s="82"/>
      <c r="G54" s="82"/>
      <c r="H54" s="82"/>
      <c r="I54" s="82"/>
      <c r="J54" s="82"/>
      <c r="K54" s="82"/>
      <c r="L54" s="82"/>
      <c r="M54" s="82"/>
      <c r="N54" s="82"/>
    </row>
    <row r="55" spans="1:14" customFormat="1" x14ac:dyDescent="0.25">
      <c r="A55" s="82"/>
      <c r="B55" s="82"/>
      <c r="C55" s="82"/>
      <c r="D55" s="82"/>
      <c r="E55" s="82"/>
      <c r="F55" s="82"/>
      <c r="G55" s="82"/>
      <c r="H55" s="82"/>
      <c r="I55" s="82"/>
      <c r="J55" s="82"/>
      <c r="K55" s="82"/>
      <c r="L55" s="82"/>
      <c r="M55" s="82"/>
      <c r="N55" s="82"/>
    </row>
    <row r="56" spans="1:14" customFormat="1" x14ac:dyDescent="0.25">
      <c r="A56" s="82"/>
      <c r="B56" s="82"/>
      <c r="C56" s="82"/>
      <c r="D56" s="82"/>
      <c r="E56" s="82"/>
      <c r="F56" s="82"/>
      <c r="G56" s="82"/>
      <c r="H56" s="82"/>
      <c r="I56" s="82"/>
      <c r="J56" s="82"/>
      <c r="K56" s="82"/>
      <c r="L56" s="82"/>
      <c r="M56" s="82"/>
      <c r="N56" s="82"/>
    </row>
    <row r="57" spans="1:14" customFormat="1" x14ac:dyDescent="0.25">
      <c r="A57" s="82"/>
      <c r="B57" s="82"/>
      <c r="C57" s="82"/>
      <c r="D57" s="82"/>
      <c r="E57" s="82"/>
      <c r="F57" s="82"/>
      <c r="G57" s="82"/>
      <c r="H57" s="82"/>
      <c r="I57" s="82"/>
      <c r="J57" s="82"/>
      <c r="K57" s="82"/>
      <c r="L57" s="82"/>
      <c r="M57" s="82"/>
      <c r="N57" s="82"/>
    </row>
    <row r="58" spans="1:14" customFormat="1" x14ac:dyDescent="0.25">
      <c r="A58" s="82"/>
      <c r="B58" s="82"/>
      <c r="C58" s="82"/>
      <c r="D58" s="82"/>
      <c r="E58" s="82"/>
      <c r="F58" s="82"/>
      <c r="G58" s="82"/>
      <c r="H58" s="82"/>
      <c r="I58" s="82"/>
      <c r="J58" s="82"/>
      <c r="K58" s="82"/>
      <c r="L58" s="82"/>
      <c r="M58" s="82"/>
      <c r="N58" s="82"/>
    </row>
    <row r="59" spans="1:14" customFormat="1" x14ac:dyDescent="0.25">
      <c r="A59" s="82"/>
      <c r="B59" s="82"/>
      <c r="C59" s="82"/>
      <c r="D59" s="82"/>
      <c r="E59" s="82"/>
      <c r="F59" s="82"/>
      <c r="G59" s="82"/>
      <c r="H59" s="82"/>
      <c r="I59" s="82"/>
      <c r="J59" s="82"/>
      <c r="K59" s="82"/>
      <c r="L59" s="82"/>
      <c r="M59" s="82"/>
      <c r="N59" s="82"/>
    </row>
    <row r="60" spans="1:14" customFormat="1" x14ac:dyDescent="0.25">
      <c r="A60" s="82"/>
      <c r="B60" s="82"/>
      <c r="C60" s="82"/>
      <c r="D60" s="82"/>
      <c r="E60" s="82"/>
      <c r="F60" s="82"/>
      <c r="G60" s="82"/>
      <c r="H60" s="82"/>
      <c r="I60" s="82"/>
      <c r="J60" s="82"/>
      <c r="K60" s="82"/>
      <c r="L60" s="82"/>
      <c r="M60" s="82"/>
      <c r="N60" s="82"/>
    </row>
    <row r="61" spans="1:14" customFormat="1" x14ac:dyDescent="0.25">
      <c r="A61" s="82"/>
      <c r="B61" s="82"/>
      <c r="C61" s="82"/>
      <c r="D61" s="82"/>
      <c r="E61" s="82"/>
      <c r="F61" s="82"/>
      <c r="G61" s="82"/>
      <c r="H61" s="82"/>
      <c r="I61" s="82"/>
      <c r="J61" s="82"/>
      <c r="K61" s="82"/>
      <c r="L61" s="82"/>
      <c r="M61" s="82"/>
      <c r="N61" s="82"/>
    </row>
    <row r="62" spans="1:14" customFormat="1" x14ac:dyDescent="0.25">
      <c r="A62" s="82"/>
      <c r="B62" s="82"/>
      <c r="C62" s="82"/>
      <c r="D62" s="82"/>
      <c r="E62" s="82"/>
      <c r="F62" s="82"/>
      <c r="G62" s="82"/>
      <c r="H62" s="82"/>
      <c r="I62" s="82"/>
      <c r="J62" s="82"/>
      <c r="K62" s="82"/>
      <c r="L62" s="82"/>
      <c r="M62" s="82"/>
      <c r="N62" s="82"/>
    </row>
    <row r="63" spans="1:14" customFormat="1" x14ac:dyDescent="0.25">
      <c r="A63" s="82"/>
      <c r="B63" s="82"/>
      <c r="C63" s="82"/>
      <c r="D63" s="82"/>
      <c r="E63" s="82"/>
      <c r="F63" s="82"/>
      <c r="G63" s="82"/>
      <c r="H63" s="82"/>
      <c r="I63" s="82"/>
      <c r="J63" s="82"/>
      <c r="K63" s="82"/>
      <c r="L63" s="82"/>
      <c r="M63" s="82"/>
      <c r="N63" s="82"/>
    </row>
    <row r="64" spans="1:14" customFormat="1" x14ac:dyDescent="0.25">
      <c r="A64" s="82"/>
      <c r="B64" s="82"/>
      <c r="C64" s="82"/>
      <c r="D64" s="82"/>
      <c r="E64" s="82"/>
      <c r="F64" s="82"/>
      <c r="G64" s="82"/>
      <c r="H64" s="82"/>
      <c r="I64" s="82"/>
      <c r="J64" s="82"/>
      <c r="K64" s="82"/>
      <c r="L64" s="82"/>
      <c r="M64" s="82"/>
      <c r="N64" s="82"/>
    </row>
    <row r="65" spans="1:14" customFormat="1" x14ac:dyDescent="0.25">
      <c r="A65" s="82"/>
      <c r="B65" s="82"/>
      <c r="C65" s="82"/>
      <c r="D65" s="82"/>
      <c r="E65" s="82"/>
      <c r="F65" s="82"/>
      <c r="G65" s="82"/>
      <c r="H65" s="82"/>
      <c r="I65" s="82"/>
      <c r="J65" s="82"/>
      <c r="K65" s="82"/>
      <c r="L65" s="82"/>
      <c r="M65" s="82"/>
      <c r="N65" s="82"/>
    </row>
    <row r="66" spans="1:14" customFormat="1" x14ac:dyDescent="0.25">
      <c r="A66" s="82"/>
      <c r="B66" s="82"/>
      <c r="C66" s="82"/>
      <c r="D66" s="82"/>
      <c r="E66" s="82"/>
      <c r="F66" s="82"/>
      <c r="G66" s="82"/>
      <c r="H66" s="82"/>
      <c r="I66" s="82"/>
      <c r="J66" s="82"/>
      <c r="K66" s="82"/>
      <c r="L66" s="82"/>
      <c r="M66" s="82"/>
      <c r="N66" s="82"/>
    </row>
    <row r="67" spans="1:14" customFormat="1" x14ac:dyDescent="0.25">
      <c r="A67" s="82"/>
      <c r="B67" s="82"/>
      <c r="C67" s="82"/>
      <c r="D67" s="82"/>
      <c r="E67" s="82"/>
      <c r="F67" s="82"/>
      <c r="G67" s="82"/>
      <c r="H67" s="82"/>
      <c r="I67" s="82"/>
      <c r="J67" s="82"/>
      <c r="K67" s="82"/>
      <c r="L67" s="82"/>
      <c r="M67" s="82"/>
      <c r="N67" s="82"/>
    </row>
    <row r="68" spans="1:14" customFormat="1" x14ac:dyDescent="0.25">
      <c r="A68" s="82"/>
      <c r="B68" s="82"/>
      <c r="C68" s="82"/>
      <c r="D68" s="82"/>
      <c r="E68" s="82"/>
      <c r="F68" s="82"/>
      <c r="G68" s="82"/>
      <c r="H68" s="82"/>
      <c r="I68" s="82"/>
      <c r="J68" s="82"/>
      <c r="K68" s="82"/>
      <c r="L68" s="82"/>
      <c r="M68" s="82"/>
      <c r="N68" s="82"/>
    </row>
    <row r="69" spans="1:14" customFormat="1" x14ac:dyDescent="0.25">
      <c r="A69" s="82"/>
      <c r="B69" s="82"/>
      <c r="C69" s="82"/>
      <c r="D69" s="82"/>
      <c r="E69" s="82"/>
      <c r="F69" s="82"/>
      <c r="G69" s="82"/>
      <c r="H69" s="82"/>
      <c r="I69" s="82"/>
      <c r="J69" s="82"/>
      <c r="K69" s="82"/>
      <c r="L69" s="82"/>
      <c r="M69" s="82"/>
      <c r="N69" s="82"/>
    </row>
    <row r="70" spans="1:14" customFormat="1" x14ac:dyDescent="0.25">
      <c r="A70" s="82"/>
      <c r="B70" s="82"/>
      <c r="C70" s="82"/>
      <c r="D70" s="82"/>
      <c r="E70" s="82"/>
      <c r="F70" s="82"/>
      <c r="G70" s="82"/>
      <c r="H70" s="82"/>
      <c r="I70" s="82"/>
      <c r="J70" s="82"/>
      <c r="K70" s="82"/>
      <c r="L70" s="82"/>
      <c r="M70" s="82"/>
      <c r="N70" s="82"/>
    </row>
    <row r="71" spans="1:14" customFormat="1" x14ac:dyDescent="0.25">
      <c r="A71" s="82"/>
      <c r="B71" s="82"/>
      <c r="C71" s="82"/>
      <c r="D71" s="82"/>
      <c r="E71" s="82"/>
      <c r="F71" s="82"/>
      <c r="G71" s="82"/>
      <c r="H71" s="82"/>
      <c r="I71" s="82"/>
      <c r="J71" s="82"/>
      <c r="K71" s="82"/>
      <c r="L71" s="82"/>
      <c r="M71" s="82"/>
      <c r="N71" s="82"/>
    </row>
    <row r="72" spans="1:14" customFormat="1" x14ac:dyDescent="0.25">
      <c r="A72" s="82"/>
      <c r="B72" s="82"/>
      <c r="C72" s="82"/>
      <c r="D72" s="82"/>
      <c r="E72" s="82"/>
      <c r="F72" s="82"/>
      <c r="G72" s="82"/>
      <c r="H72" s="82"/>
      <c r="I72" s="82"/>
      <c r="J72" s="82"/>
      <c r="K72" s="82"/>
      <c r="L72" s="82"/>
      <c r="M72" s="82"/>
      <c r="N72" s="82"/>
    </row>
    <row r="73" spans="1:14" customFormat="1" x14ac:dyDescent="0.25">
      <c r="A73" s="82"/>
      <c r="B73" s="82"/>
      <c r="C73" s="82"/>
      <c r="D73" s="82"/>
      <c r="E73" s="82"/>
      <c r="F73" s="82"/>
      <c r="G73" s="82"/>
      <c r="H73" s="82"/>
      <c r="I73" s="82"/>
      <c r="J73" s="82"/>
      <c r="K73" s="82"/>
      <c r="L73" s="82"/>
      <c r="M73" s="82"/>
      <c r="N73" s="82"/>
    </row>
    <row r="74" spans="1:14" customFormat="1" x14ac:dyDescent="0.25">
      <c r="A74" s="82"/>
      <c r="B74" s="82"/>
      <c r="C74" s="82"/>
      <c r="D74" s="82"/>
      <c r="E74" s="82"/>
      <c r="F74" s="82"/>
      <c r="G74" s="82"/>
      <c r="H74" s="82"/>
      <c r="I74" s="82"/>
      <c r="J74" s="82"/>
      <c r="K74" s="82"/>
      <c r="L74" s="82"/>
      <c r="M74" s="82"/>
      <c r="N74" s="82"/>
    </row>
    <row r="75" spans="1:14" customFormat="1" x14ac:dyDescent="0.25">
      <c r="A75" s="82"/>
      <c r="B75" s="82"/>
      <c r="C75" s="82"/>
      <c r="D75" s="82"/>
      <c r="E75" s="82"/>
      <c r="F75" s="82"/>
      <c r="G75" s="82"/>
      <c r="H75" s="82"/>
      <c r="I75" s="82"/>
      <c r="J75" s="82"/>
      <c r="K75" s="82"/>
      <c r="L75" s="82"/>
      <c r="M75" s="82"/>
      <c r="N75" s="82"/>
    </row>
    <row r="76" spans="1:14" customFormat="1" x14ac:dyDescent="0.25">
      <c r="A76" s="82"/>
      <c r="B76" s="82"/>
      <c r="C76" s="82"/>
      <c r="D76" s="82"/>
      <c r="E76" s="82"/>
      <c r="F76" s="82"/>
      <c r="G76" s="82"/>
      <c r="H76" s="82"/>
      <c r="I76" s="82"/>
      <c r="J76" s="82"/>
      <c r="K76" s="82"/>
      <c r="L76" s="82"/>
      <c r="M76" s="82"/>
      <c r="N76" s="82"/>
    </row>
    <row r="77" spans="1:14" customFormat="1" x14ac:dyDescent="0.25">
      <c r="A77" s="82"/>
      <c r="B77" s="82"/>
      <c r="C77" s="82"/>
      <c r="D77" s="82"/>
      <c r="E77" s="82"/>
      <c r="F77" s="82"/>
      <c r="G77" s="82"/>
      <c r="H77" s="82"/>
      <c r="I77" s="82"/>
      <c r="J77" s="82"/>
      <c r="K77" s="82"/>
      <c r="L77" s="82"/>
      <c r="M77" s="82"/>
      <c r="N77" s="82"/>
    </row>
    <row r="78" spans="1:14" customFormat="1" x14ac:dyDescent="0.25">
      <c r="A78" s="82"/>
      <c r="B78" s="82"/>
      <c r="C78" s="82"/>
      <c r="D78" s="82"/>
      <c r="E78" s="82"/>
      <c r="F78" s="82"/>
      <c r="G78" s="82"/>
      <c r="H78" s="82"/>
      <c r="I78" s="82"/>
      <c r="J78" s="82"/>
      <c r="K78" s="82"/>
      <c r="L78" s="82"/>
      <c r="M78" s="82"/>
      <c r="N78" s="82"/>
    </row>
    <row r="79" spans="1:14" customFormat="1" x14ac:dyDescent="0.25">
      <c r="A79" s="82"/>
      <c r="B79" s="82"/>
      <c r="C79" s="82"/>
      <c r="D79" s="82"/>
      <c r="E79" s="82"/>
      <c r="F79" s="82"/>
      <c r="G79" s="82"/>
      <c r="H79" s="82"/>
      <c r="I79" s="82"/>
      <c r="J79" s="82"/>
      <c r="K79" s="82"/>
      <c r="L79" s="82"/>
      <c r="M79" s="82"/>
      <c r="N79" s="82"/>
    </row>
    <row r="80" spans="1:14" customFormat="1" x14ac:dyDescent="0.25">
      <c r="A80" s="82"/>
      <c r="B80" s="82"/>
      <c r="C80" s="82"/>
      <c r="D80" s="82"/>
      <c r="E80" s="82"/>
      <c r="F80" s="82"/>
      <c r="G80" s="82"/>
      <c r="H80" s="82"/>
      <c r="I80" s="82"/>
      <c r="J80" s="82"/>
      <c r="K80" s="82"/>
      <c r="L80" s="82"/>
      <c r="M80" s="82"/>
      <c r="N80" s="82"/>
    </row>
    <row r="81" spans="1:14" customFormat="1" x14ac:dyDescent="0.25">
      <c r="A81" s="82"/>
      <c r="B81" s="82"/>
      <c r="C81" s="82"/>
      <c r="D81" s="82"/>
      <c r="E81" s="82"/>
      <c r="F81" s="82"/>
      <c r="G81" s="82"/>
      <c r="H81" s="82"/>
      <c r="I81" s="82"/>
      <c r="J81" s="82"/>
      <c r="K81" s="82"/>
      <c r="L81" s="82"/>
      <c r="M81" s="82"/>
      <c r="N81" s="82"/>
    </row>
    <row r="82" spans="1:14" customFormat="1" x14ac:dyDescent="0.25">
      <c r="A82" s="82"/>
      <c r="B82" s="82"/>
      <c r="C82" s="82"/>
      <c r="D82" s="82"/>
      <c r="E82" s="82"/>
      <c r="F82" s="82"/>
      <c r="G82" s="82"/>
      <c r="H82" s="82"/>
      <c r="I82" s="82"/>
      <c r="J82" s="82"/>
      <c r="K82" s="82"/>
      <c r="L82" s="82"/>
      <c r="M82" s="82"/>
      <c r="N82" s="82"/>
    </row>
    <row r="83" spans="1:14" customFormat="1" x14ac:dyDescent="0.25">
      <c r="A83" s="82"/>
      <c r="B83" s="82"/>
      <c r="C83" s="82"/>
      <c r="D83" s="82"/>
      <c r="E83" s="82"/>
      <c r="F83" s="82"/>
      <c r="G83" s="82"/>
      <c r="H83" s="82"/>
      <c r="I83" s="82"/>
      <c r="J83" s="82"/>
      <c r="K83" s="82"/>
      <c r="L83" s="82"/>
      <c r="M83" s="82"/>
      <c r="N83" s="82"/>
    </row>
    <row r="84" spans="1:14" customFormat="1" x14ac:dyDescent="0.25">
      <c r="A84" s="82"/>
      <c r="B84" s="82"/>
      <c r="C84" s="82"/>
      <c r="D84" s="82"/>
      <c r="E84" s="82"/>
      <c r="F84" s="82"/>
      <c r="G84" s="82"/>
      <c r="H84" s="82"/>
      <c r="I84" s="82"/>
      <c r="J84" s="82"/>
      <c r="K84" s="82"/>
      <c r="L84" s="82"/>
      <c r="M84" s="82"/>
      <c r="N84" s="82"/>
    </row>
    <row r="85" spans="1:14" customFormat="1" x14ac:dyDescent="0.25">
      <c r="A85" s="82"/>
      <c r="B85" s="82"/>
      <c r="C85" s="82"/>
      <c r="D85" s="82"/>
      <c r="E85" s="82"/>
      <c r="F85" s="82"/>
      <c r="G85" s="82"/>
      <c r="H85" s="82"/>
      <c r="I85" s="82"/>
      <c r="J85" s="82"/>
      <c r="K85" s="82"/>
      <c r="L85" s="82"/>
      <c r="M85" s="82"/>
      <c r="N85" s="82"/>
    </row>
    <row r="86" spans="1:14" customFormat="1" x14ac:dyDescent="0.25">
      <c r="A86" s="82"/>
      <c r="B86" s="82"/>
      <c r="C86" s="82"/>
      <c r="D86" s="82"/>
      <c r="E86" s="82"/>
      <c r="F86" s="82"/>
      <c r="G86" s="82"/>
      <c r="H86" s="82"/>
      <c r="I86" s="82"/>
      <c r="J86" s="82"/>
      <c r="K86" s="82"/>
      <c r="L86" s="82"/>
      <c r="M86" s="82"/>
      <c r="N86" s="82"/>
    </row>
    <row r="87" spans="1:14" customFormat="1" x14ac:dyDescent="0.25">
      <c r="A87" s="82"/>
      <c r="B87" s="82"/>
      <c r="C87" s="82"/>
      <c r="D87" s="82"/>
      <c r="E87" s="82"/>
      <c r="F87" s="82"/>
      <c r="G87" s="82"/>
      <c r="H87" s="82"/>
      <c r="I87" s="82"/>
      <c r="J87" s="82"/>
      <c r="K87" s="82"/>
      <c r="L87" s="82"/>
      <c r="M87" s="82"/>
      <c r="N87" s="82"/>
    </row>
    <row r="88" spans="1:14" customFormat="1" x14ac:dyDescent="0.25">
      <c r="A88" s="82"/>
      <c r="B88" s="82"/>
      <c r="C88" s="82"/>
      <c r="D88" s="82"/>
      <c r="E88" s="82"/>
      <c r="F88" s="82"/>
      <c r="G88" s="82"/>
      <c r="H88" s="82"/>
      <c r="I88" s="82"/>
      <c r="J88" s="82"/>
      <c r="K88" s="82"/>
      <c r="L88" s="82"/>
      <c r="M88" s="82"/>
      <c r="N88" s="82"/>
    </row>
    <row r="89" spans="1:14" customFormat="1" x14ac:dyDescent="0.25">
      <c r="A89" s="82"/>
      <c r="B89" s="82"/>
      <c r="C89" s="82"/>
      <c r="D89" s="82"/>
      <c r="E89" s="82"/>
      <c r="F89" s="82"/>
      <c r="G89" s="82"/>
      <c r="H89" s="82"/>
      <c r="I89" s="82"/>
      <c r="J89" s="82"/>
      <c r="K89" s="82"/>
      <c r="L89" s="82"/>
      <c r="M89" s="82"/>
      <c r="N89" s="82"/>
    </row>
    <row r="90" spans="1:14" customFormat="1" x14ac:dyDescent="0.25">
      <c r="A90" s="82"/>
      <c r="B90" s="82"/>
      <c r="C90" s="82"/>
      <c r="D90" s="82"/>
      <c r="E90" s="82"/>
      <c r="F90" s="82"/>
      <c r="G90" s="82"/>
      <c r="H90" s="82"/>
      <c r="I90" s="82"/>
      <c r="J90" s="82"/>
      <c r="K90" s="82"/>
      <c r="L90" s="82"/>
      <c r="M90" s="82"/>
      <c r="N90" s="82"/>
    </row>
    <row r="91" spans="1:14" customFormat="1" x14ac:dyDescent="0.25">
      <c r="A91" s="82"/>
      <c r="B91" s="82"/>
      <c r="C91" s="82"/>
      <c r="D91" s="82"/>
      <c r="E91" s="82"/>
      <c r="F91" s="82"/>
      <c r="G91" s="82"/>
      <c r="H91" s="82"/>
      <c r="I91" s="82"/>
      <c r="J91" s="82"/>
      <c r="K91" s="82"/>
      <c r="L91" s="82"/>
      <c r="M91" s="82"/>
      <c r="N91" s="82"/>
    </row>
    <row r="92" spans="1:14" customFormat="1" x14ac:dyDescent="0.25">
      <c r="A92" s="82"/>
      <c r="B92" s="82"/>
      <c r="C92" s="82"/>
      <c r="D92" s="82"/>
      <c r="E92" s="82"/>
      <c r="F92" s="82"/>
      <c r="G92" s="82"/>
      <c r="H92" s="82"/>
      <c r="I92" s="82"/>
      <c r="J92" s="82"/>
      <c r="K92" s="82"/>
      <c r="L92" s="82"/>
      <c r="M92" s="82"/>
      <c r="N92" s="82"/>
    </row>
    <row r="93" spans="1:14" customFormat="1" x14ac:dyDescent="0.25">
      <c r="A93" s="82"/>
      <c r="B93" s="82"/>
      <c r="C93" s="82"/>
      <c r="D93" s="82"/>
      <c r="E93" s="82"/>
      <c r="F93" s="82"/>
      <c r="G93" s="82"/>
      <c r="H93" s="82"/>
      <c r="I93" s="82"/>
      <c r="J93" s="82"/>
      <c r="K93" s="82"/>
      <c r="L93" s="82"/>
      <c r="M93" s="82"/>
      <c r="N93" s="82"/>
    </row>
    <row r="94" spans="1:14" customFormat="1" x14ac:dyDescent="0.25">
      <c r="A94" s="82"/>
      <c r="B94" s="82"/>
      <c r="C94" s="82"/>
      <c r="D94" s="82"/>
      <c r="E94" s="82"/>
      <c r="F94" s="82"/>
      <c r="G94" s="82"/>
      <c r="H94" s="82"/>
      <c r="I94" s="82"/>
      <c r="J94" s="82"/>
      <c r="K94" s="82"/>
      <c r="L94" s="82"/>
      <c r="M94" s="82"/>
      <c r="N94" s="82"/>
    </row>
    <row r="95" spans="1:14" customFormat="1" x14ac:dyDescent="0.25">
      <c r="A95" s="82"/>
      <c r="B95" s="82"/>
      <c r="C95" s="82"/>
      <c r="D95" s="82"/>
      <c r="E95" s="82"/>
      <c r="F95" s="82"/>
      <c r="G95" s="82"/>
      <c r="H95" s="82"/>
      <c r="I95" s="82"/>
      <c r="J95" s="82"/>
      <c r="K95" s="82"/>
      <c r="L95" s="82"/>
      <c r="M95" s="82"/>
      <c r="N95" s="82"/>
    </row>
    <row r="96" spans="1:14" customFormat="1" x14ac:dyDescent="0.25">
      <c r="A96" s="82"/>
      <c r="B96" s="82"/>
      <c r="C96" s="82"/>
      <c r="D96" s="82"/>
      <c r="E96" s="82"/>
      <c r="F96" s="82"/>
      <c r="G96" s="82"/>
      <c r="H96" s="82"/>
      <c r="I96" s="82"/>
      <c r="J96" s="82"/>
      <c r="K96" s="82"/>
      <c r="L96" s="82"/>
      <c r="M96" s="82"/>
      <c r="N96" s="82"/>
    </row>
    <row r="97" spans="1:14" customFormat="1" x14ac:dyDescent="0.25">
      <c r="A97" s="82"/>
      <c r="B97" s="82"/>
      <c r="C97" s="82"/>
      <c r="D97" s="82"/>
      <c r="E97" s="82"/>
      <c r="F97" s="82"/>
      <c r="G97" s="82"/>
      <c r="H97" s="82"/>
      <c r="I97" s="82"/>
      <c r="J97" s="82"/>
      <c r="K97" s="82"/>
      <c r="L97" s="82"/>
      <c r="M97" s="82"/>
      <c r="N97" s="82"/>
    </row>
    <row r="98" spans="1:14" customFormat="1" x14ac:dyDescent="0.25">
      <c r="A98" s="82"/>
      <c r="B98" s="82"/>
      <c r="C98" s="82"/>
      <c r="D98" s="82"/>
      <c r="E98" s="82"/>
      <c r="F98" s="82"/>
      <c r="G98" s="82"/>
      <c r="H98" s="82"/>
      <c r="I98" s="82"/>
      <c r="J98" s="82"/>
      <c r="K98" s="82"/>
      <c r="L98" s="82"/>
      <c r="M98" s="82"/>
      <c r="N98" s="82"/>
    </row>
    <row r="99" spans="1:14" customFormat="1" x14ac:dyDescent="0.25">
      <c r="A99" s="82"/>
      <c r="B99" s="82"/>
      <c r="C99" s="82"/>
      <c r="D99" s="82"/>
      <c r="E99" s="82"/>
      <c r="F99" s="82"/>
      <c r="G99" s="82"/>
      <c r="H99" s="82"/>
      <c r="I99" s="82"/>
      <c r="J99" s="82"/>
      <c r="K99" s="82"/>
      <c r="L99" s="82"/>
      <c r="M99" s="82"/>
      <c r="N99" s="82"/>
    </row>
    <row r="100" spans="1:14" customFormat="1" x14ac:dyDescent="0.25">
      <c r="A100" s="82"/>
      <c r="B100" s="82"/>
      <c r="C100" s="82"/>
      <c r="D100" s="82"/>
      <c r="E100" s="82"/>
      <c r="F100" s="82"/>
      <c r="G100" s="82"/>
      <c r="H100" s="82"/>
      <c r="I100" s="82"/>
      <c r="J100" s="82"/>
      <c r="K100" s="82"/>
      <c r="L100" s="82"/>
      <c r="M100" s="82"/>
      <c r="N100" s="82"/>
    </row>
    <row r="101" spans="1:14" customFormat="1" x14ac:dyDescent="0.25">
      <c r="A101" s="82"/>
      <c r="B101" s="82"/>
      <c r="C101" s="82"/>
      <c r="D101" s="82"/>
      <c r="E101" s="82"/>
      <c r="F101" s="82"/>
      <c r="G101" s="82"/>
      <c r="H101" s="82"/>
      <c r="I101" s="82"/>
      <c r="J101" s="82"/>
      <c r="K101" s="82"/>
      <c r="L101" s="82"/>
      <c r="M101" s="82"/>
      <c r="N101" s="82"/>
    </row>
    <row r="102" spans="1:14" customFormat="1" x14ac:dyDescent="0.25">
      <c r="A102" s="82"/>
      <c r="B102" s="82"/>
      <c r="C102" s="82"/>
      <c r="D102" s="82"/>
      <c r="E102" s="82"/>
      <c r="F102" s="82"/>
      <c r="G102" s="82"/>
      <c r="H102" s="82"/>
      <c r="I102" s="82"/>
      <c r="J102" s="82"/>
      <c r="K102" s="82"/>
      <c r="L102" s="82"/>
      <c r="M102" s="82"/>
      <c r="N102" s="82"/>
    </row>
    <row r="103" spans="1:14" customFormat="1" x14ac:dyDescent="0.25">
      <c r="A103" s="82"/>
      <c r="B103" s="82"/>
      <c r="C103" s="82"/>
      <c r="D103" s="82"/>
      <c r="E103" s="82"/>
      <c r="F103" s="82"/>
      <c r="G103" s="82"/>
      <c r="H103" s="82"/>
      <c r="I103" s="82"/>
      <c r="J103" s="82"/>
      <c r="K103" s="82"/>
      <c r="L103" s="82"/>
      <c r="M103" s="82"/>
      <c r="N103" s="82"/>
    </row>
    <row r="104" spans="1:14" customFormat="1" x14ac:dyDescent="0.25">
      <c r="A104" s="82"/>
      <c r="B104" s="82"/>
      <c r="C104" s="82"/>
      <c r="D104" s="82"/>
      <c r="E104" s="82"/>
      <c r="F104" s="82"/>
      <c r="G104" s="82"/>
      <c r="H104" s="82"/>
      <c r="I104" s="82"/>
      <c r="J104" s="82"/>
      <c r="K104" s="82"/>
      <c r="L104" s="82"/>
      <c r="M104" s="82"/>
      <c r="N104" s="82"/>
    </row>
    <row r="105" spans="1:14" customFormat="1" x14ac:dyDescent="0.25">
      <c r="A105" s="82"/>
      <c r="B105" s="82"/>
      <c r="C105" s="82"/>
      <c r="D105" s="82"/>
      <c r="E105" s="82"/>
      <c r="F105" s="82"/>
      <c r="G105" s="82"/>
      <c r="H105" s="82"/>
      <c r="I105" s="82"/>
      <c r="J105" s="82"/>
      <c r="K105" s="82"/>
      <c r="L105" s="82"/>
      <c r="M105" s="82"/>
      <c r="N105" s="82"/>
    </row>
    <row r="106" spans="1:14" customFormat="1" x14ac:dyDescent="0.25">
      <c r="A106" s="82"/>
      <c r="B106" s="82"/>
      <c r="C106" s="82"/>
      <c r="D106" s="82"/>
      <c r="E106" s="82"/>
      <c r="F106" s="82"/>
      <c r="G106" s="82"/>
      <c r="H106" s="82"/>
      <c r="I106" s="82"/>
      <c r="J106" s="82"/>
      <c r="K106" s="82"/>
      <c r="L106" s="82"/>
      <c r="M106" s="82"/>
      <c r="N106" s="82"/>
    </row>
    <row r="107" spans="1:14" customFormat="1" x14ac:dyDescent="0.25">
      <c r="A107" s="82"/>
      <c r="B107" s="82"/>
      <c r="C107" s="82"/>
      <c r="D107" s="82"/>
      <c r="E107" s="82"/>
      <c r="F107" s="82"/>
      <c r="G107" s="82"/>
      <c r="H107" s="82"/>
      <c r="I107" s="82"/>
      <c r="J107" s="82"/>
      <c r="K107" s="82"/>
      <c r="L107" s="82"/>
      <c r="M107" s="82"/>
      <c r="N107" s="82"/>
    </row>
    <row r="108" spans="1:14" customFormat="1" x14ac:dyDescent="0.25">
      <c r="A108" s="82"/>
      <c r="B108" s="82"/>
      <c r="C108" s="82"/>
      <c r="D108" s="82"/>
      <c r="E108" s="82"/>
      <c r="F108" s="82"/>
      <c r="G108" s="82"/>
      <c r="H108" s="82"/>
      <c r="I108" s="82"/>
      <c r="J108" s="82"/>
      <c r="K108" s="82"/>
      <c r="L108" s="82"/>
      <c r="M108" s="82"/>
      <c r="N108" s="82"/>
    </row>
    <row r="109" spans="1:14" customFormat="1" x14ac:dyDescent="0.25">
      <c r="A109" s="82"/>
      <c r="B109" s="82"/>
      <c r="C109" s="82"/>
      <c r="D109" s="82"/>
      <c r="E109" s="82"/>
      <c r="F109" s="82"/>
      <c r="G109" s="82"/>
      <c r="H109" s="82"/>
      <c r="I109" s="82"/>
      <c r="J109" s="82"/>
      <c r="K109" s="82"/>
      <c r="L109" s="82"/>
      <c r="M109" s="82"/>
      <c r="N109" s="82"/>
    </row>
    <row r="110" spans="1:14" customFormat="1" x14ac:dyDescent="0.25">
      <c r="A110" s="82"/>
      <c r="B110" s="82"/>
      <c r="C110" s="82"/>
      <c r="D110" s="82"/>
      <c r="E110" s="82"/>
      <c r="F110" s="82"/>
      <c r="G110" s="82"/>
      <c r="H110" s="82"/>
      <c r="I110" s="82"/>
      <c r="J110" s="82"/>
      <c r="K110" s="82"/>
      <c r="L110" s="82"/>
      <c r="M110" s="82"/>
      <c r="N110" s="82"/>
    </row>
    <row r="111" spans="1:14" customFormat="1" x14ac:dyDescent="0.25">
      <c r="A111" s="82"/>
      <c r="B111" s="82"/>
      <c r="C111" s="82"/>
      <c r="D111" s="82"/>
      <c r="E111" s="82"/>
      <c r="F111" s="82"/>
      <c r="G111" s="82"/>
      <c r="H111" s="82"/>
      <c r="I111" s="82"/>
      <c r="J111" s="82"/>
      <c r="K111" s="82"/>
      <c r="L111" s="82"/>
      <c r="M111" s="82"/>
      <c r="N111" s="82"/>
    </row>
    <row r="112" spans="1:14" customFormat="1" x14ac:dyDescent="0.25">
      <c r="A112" s="82"/>
      <c r="B112" s="82"/>
      <c r="C112" s="82"/>
      <c r="D112" s="82"/>
      <c r="E112" s="82"/>
      <c r="F112" s="82"/>
      <c r="G112" s="82"/>
      <c r="H112" s="82"/>
      <c r="I112" s="82"/>
      <c r="J112" s="82"/>
      <c r="K112" s="82"/>
      <c r="L112" s="82"/>
      <c r="M112" s="82"/>
      <c r="N112" s="82"/>
    </row>
    <row r="113" spans="1:14" customFormat="1" x14ac:dyDescent="0.25">
      <c r="A113" s="82"/>
      <c r="B113" s="82"/>
      <c r="C113" s="82"/>
      <c r="D113" s="82"/>
      <c r="E113" s="82"/>
      <c r="F113" s="82"/>
      <c r="G113" s="82"/>
      <c r="H113" s="82"/>
      <c r="I113" s="82"/>
      <c r="J113" s="82"/>
      <c r="K113" s="82"/>
      <c r="L113" s="82"/>
      <c r="M113" s="82"/>
      <c r="N113" s="82"/>
    </row>
    <row r="114" spans="1:14" customFormat="1" x14ac:dyDescent="0.25">
      <c r="A114" s="82"/>
      <c r="B114" s="82"/>
      <c r="C114" s="82"/>
      <c r="D114" s="82"/>
      <c r="E114" s="82"/>
      <c r="F114" s="82"/>
      <c r="G114" s="82"/>
      <c r="H114" s="82"/>
      <c r="I114" s="82"/>
      <c r="J114" s="82"/>
      <c r="K114" s="82"/>
      <c r="L114" s="82"/>
      <c r="M114" s="82"/>
      <c r="N114" s="82"/>
    </row>
    <row r="115" spans="1:14" customFormat="1" x14ac:dyDescent="0.25">
      <c r="A115" s="82"/>
      <c r="B115" s="82"/>
      <c r="C115" s="82"/>
      <c r="D115" s="82"/>
      <c r="E115" s="82"/>
      <c r="F115" s="82"/>
      <c r="G115" s="82"/>
      <c r="H115" s="82"/>
      <c r="I115" s="82"/>
      <c r="J115" s="82"/>
      <c r="K115" s="82"/>
      <c r="L115" s="82"/>
      <c r="M115" s="82"/>
      <c r="N115" s="82"/>
    </row>
    <row r="116" spans="1:14" customFormat="1" x14ac:dyDescent="0.25">
      <c r="A116" s="82"/>
      <c r="B116" s="82"/>
      <c r="C116" s="82"/>
      <c r="D116" s="82"/>
      <c r="E116" s="82"/>
      <c r="F116" s="82"/>
      <c r="G116" s="82"/>
      <c r="H116" s="82"/>
      <c r="I116" s="82"/>
      <c r="J116" s="82"/>
      <c r="K116" s="82"/>
      <c r="L116" s="82"/>
      <c r="M116" s="82"/>
      <c r="N116" s="82"/>
    </row>
    <row r="117" spans="1:14" customFormat="1" x14ac:dyDescent="0.25">
      <c r="A117" s="82"/>
      <c r="B117" s="82"/>
      <c r="C117" s="82"/>
      <c r="D117" s="82"/>
      <c r="E117" s="82"/>
      <c r="F117" s="82"/>
      <c r="G117" s="82"/>
      <c r="H117" s="82"/>
      <c r="I117" s="82"/>
      <c r="J117" s="82"/>
      <c r="K117" s="82"/>
      <c r="L117" s="82"/>
      <c r="M117" s="82"/>
      <c r="N117" s="82"/>
    </row>
    <row r="118" spans="1:14" customFormat="1" x14ac:dyDescent="0.25">
      <c r="A118" s="82"/>
      <c r="B118" s="82"/>
      <c r="C118" s="82"/>
      <c r="D118" s="82"/>
      <c r="E118" s="82"/>
      <c r="F118" s="82"/>
      <c r="G118" s="82"/>
      <c r="H118" s="82"/>
      <c r="I118" s="82"/>
      <c r="J118" s="82"/>
      <c r="K118" s="82"/>
      <c r="L118" s="82"/>
      <c r="M118" s="82"/>
      <c r="N118" s="82"/>
    </row>
    <row r="119" spans="1:14" customFormat="1" x14ac:dyDescent="0.25">
      <c r="A119" s="82"/>
      <c r="B119" s="82"/>
      <c r="C119" s="82"/>
      <c r="D119" s="82"/>
      <c r="E119" s="82"/>
      <c r="F119" s="82"/>
      <c r="G119" s="82"/>
      <c r="H119" s="82"/>
      <c r="I119" s="82"/>
      <c r="J119" s="82"/>
      <c r="K119" s="82"/>
      <c r="L119" s="82"/>
      <c r="M119" s="82"/>
      <c r="N119" s="82"/>
    </row>
    <row r="120" spans="1:14" customFormat="1" x14ac:dyDescent="0.25">
      <c r="A120" s="82"/>
      <c r="B120" s="82"/>
      <c r="C120" s="82"/>
      <c r="D120" s="82"/>
      <c r="E120" s="82"/>
      <c r="F120" s="82"/>
      <c r="G120" s="82"/>
      <c r="H120" s="82"/>
      <c r="I120" s="82"/>
      <c r="J120" s="82"/>
      <c r="K120" s="82"/>
      <c r="L120" s="82"/>
      <c r="M120" s="82"/>
      <c r="N120" s="82"/>
    </row>
    <row r="121" spans="1:14" customFormat="1" x14ac:dyDescent="0.25">
      <c r="A121" s="82"/>
      <c r="B121" s="82"/>
      <c r="C121" s="82"/>
      <c r="D121" s="82"/>
      <c r="E121" s="82"/>
      <c r="F121" s="82"/>
      <c r="G121" s="82"/>
      <c r="H121" s="82"/>
      <c r="I121" s="82"/>
      <c r="J121" s="82"/>
      <c r="K121" s="82"/>
      <c r="L121" s="82"/>
      <c r="M121" s="82"/>
      <c r="N121" s="82"/>
    </row>
    <row r="122" spans="1:14" customFormat="1" x14ac:dyDescent="0.25">
      <c r="A122" s="82"/>
      <c r="B122" s="82"/>
      <c r="C122" s="82"/>
      <c r="D122" s="82"/>
      <c r="E122" s="82"/>
      <c r="F122" s="82"/>
      <c r="G122" s="82"/>
      <c r="H122" s="82"/>
      <c r="I122" s="82"/>
      <c r="J122" s="82"/>
      <c r="K122" s="82"/>
      <c r="L122" s="82"/>
      <c r="M122" s="82"/>
      <c r="N122" s="82"/>
    </row>
    <row r="123" spans="1:14" customFormat="1" x14ac:dyDescent="0.25">
      <c r="A123" s="82"/>
      <c r="B123" s="82"/>
      <c r="C123" s="82"/>
      <c r="D123" s="82"/>
      <c r="E123" s="82"/>
      <c r="F123" s="82"/>
      <c r="G123" s="82"/>
      <c r="H123" s="82"/>
      <c r="I123" s="82"/>
      <c r="J123" s="82"/>
      <c r="K123" s="82"/>
      <c r="L123" s="82"/>
      <c r="M123" s="82"/>
      <c r="N123" s="82"/>
    </row>
    <row r="124" spans="1:14" customFormat="1" x14ac:dyDescent="0.25">
      <c r="A124" s="82"/>
      <c r="B124" s="82"/>
      <c r="C124" s="82"/>
      <c r="D124" s="82"/>
      <c r="E124" s="82"/>
      <c r="F124" s="82"/>
      <c r="G124" s="82"/>
      <c r="H124" s="82"/>
      <c r="I124" s="82"/>
      <c r="J124" s="82"/>
      <c r="K124" s="82"/>
      <c r="L124" s="82"/>
      <c r="M124" s="82"/>
      <c r="N124" s="82"/>
    </row>
    <row r="125" spans="1:14" customFormat="1" x14ac:dyDescent="0.25">
      <c r="A125" s="82"/>
      <c r="B125" s="82"/>
      <c r="C125" s="82"/>
      <c r="D125" s="82"/>
      <c r="E125" s="82"/>
      <c r="F125" s="82"/>
      <c r="G125" s="82"/>
      <c r="H125" s="82"/>
      <c r="I125" s="82"/>
      <c r="J125" s="82"/>
      <c r="K125" s="82"/>
      <c r="L125" s="82"/>
      <c r="M125" s="82"/>
      <c r="N125" s="82"/>
    </row>
    <row r="126" spans="1:14" customFormat="1" x14ac:dyDescent="0.25">
      <c r="A126" s="82"/>
      <c r="B126" s="82"/>
      <c r="C126" s="82"/>
      <c r="D126" s="82"/>
      <c r="E126" s="82"/>
      <c r="F126" s="82"/>
      <c r="G126" s="82"/>
      <c r="H126" s="82"/>
      <c r="I126" s="82"/>
      <c r="J126" s="82"/>
      <c r="K126" s="82"/>
      <c r="L126" s="82"/>
      <c r="M126" s="82"/>
      <c r="N126" s="82"/>
    </row>
    <row r="127" spans="1:14" customFormat="1" x14ac:dyDescent="0.25">
      <c r="A127" s="82"/>
      <c r="B127" s="82"/>
      <c r="C127" s="82"/>
      <c r="D127" s="82"/>
      <c r="E127" s="82"/>
      <c r="F127" s="82"/>
      <c r="G127" s="82"/>
      <c r="H127" s="82"/>
      <c r="I127" s="82"/>
      <c r="J127" s="82"/>
      <c r="K127" s="82"/>
      <c r="L127" s="82"/>
      <c r="M127" s="82"/>
      <c r="N127" s="82"/>
    </row>
    <row r="128" spans="1:14" customFormat="1" x14ac:dyDescent="0.25">
      <c r="A128" s="82"/>
      <c r="B128" s="82"/>
      <c r="C128" s="82"/>
      <c r="D128" s="82"/>
      <c r="E128" s="82"/>
      <c r="F128" s="82"/>
      <c r="G128" s="82"/>
      <c r="H128" s="82"/>
      <c r="I128" s="82"/>
      <c r="J128" s="82"/>
      <c r="K128" s="82"/>
      <c r="L128" s="82"/>
      <c r="M128" s="82"/>
      <c r="N128" s="82"/>
    </row>
    <row r="129" spans="1:14" customFormat="1" x14ac:dyDescent="0.25">
      <c r="A129" s="82"/>
      <c r="B129" s="82"/>
      <c r="C129" s="82"/>
      <c r="D129" s="82"/>
      <c r="E129" s="82"/>
      <c r="F129" s="82"/>
      <c r="G129" s="82"/>
      <c r="H129" s="82"/>
      <c r="I129" s="82"/>
      <c r="J129" s="82"/>
      <c r="K129" s="82"/>
      <c r="L129" s="82"/>
      <c r="M129" s="82"/>
      <c r="N129" s="82"/>
    </row>
    <row r="130" spans="1:14" customFormat="1" x14ac:dyDescent="0.25">
      <c r="A130" s="82"/>
      <c r="B130" s="82"/>
      <c r="C130" s="82"/>
      <c r="D130" s="82"/>
      <c r="E130" s="82"/>
      <c r="F130" s="82"/>
      <c r="G130" s="82"/>
      <c r="H130" s="82"/>
      <c r="I130" s="82"/>
      <c r="J130" s="82"/>
      <c r="K130" s="82"/>
      <c r="L130" s="82"/>
      <c r="M130" s="82"/>
      <c r="N130" s="82"/>
    </row>
    <row r="131" spans="1:14" customFormat="1" x14ac:dyDescent="0.25">
      <c r="A131" s="82"/>
      <c r="B131" s="82"/>
      <c r="C131" s="82"/>
      <c r="D131" s="82"/>
      <c r="E131" s="82"/>
      <c r="F131" s="82"/>
      <c r="G131" s="82"/>
      <c r="H131" s="82"/>
      <c r="I131" s="82"/>
      <c r="J131" s="82"/>
      <c r="K131" s="82"/>
      <c r="L131" s="82"/>
      <c r="M131" s="82"/>
      <c r="N131" s="82"/>
    </row>
    <row r="132" spans="1:14" customFormat="1" x14ac:dyDescent="0.25">
      <c r="A132" s="82"/>
      <c r="B132" s="82"/>
      <c r="C132" s="82"/>
      <c r="D132" s="82"/>
      <c r="E132" s="82"/>
      <c r="F132" s="82"/>
      <c r="G132" s="82"/>
      <c r="H132" s="82"/>
      <c r="I132" s="82"/>
      <c r="J132" s="82"/>
      <c r="K132" s="82"/>
      <c r="L132" s="82"/>
      <c r="M132" s="82"/>
      <c r="N132" s="82"/>
    </row>
    <row r="133" spans="1:14" customFormat="1" x14ac:dyDescent="0.25">
      <c r="A133" s="82"/>
      <c r="B133" s="82"/>
      <c r="C133" s="82"/>
      <c r="D133" s="82"/>
      <c r="E133" s="82"/>
      <c r="F133" s="82"/>
      <c r="G133" s="82"/>
      <c r="H133" s="82"/>
      <c r="I133" s="82"/>
      <c r="J133" s="82"/>
      <c r="K133" s="82"/>
      <c r="L133" s="82"/>
      <c r="M133" s="82"/>
      <c r="N133" s="82"/>
    </row>
    <row r="134" spans="1:14" customFormat="1" x14ac:dyDescent="0.25">
      <c r="A134" s="82"/>
      <c r="B134" s="82"/>
      <c r="C134" s="82"/>
      <c r="D134" s="82"/>
      <c r="E134" s="82"/>
      <c r="F134" s="82"/>
      <c r="G134" s="82"/>
      <c r="H134" s="82"/>
      <c r="I134" s="82"/>
      <c r="J134" s="82"/>
      <c r="K134" s="82"/>
      <c r="L134" s="82"/>
      <c r="M134" s="82"/>
      <c r="N134" s="82"/>
    </row>
    <row r="135" spans="1:14" customFormat="1" x14ac:dyDescent="0.25">
      <c r="A135" s="82"/>
      <c r="B135" s="82"/>
      <c r="C135" s="82"/>
      <c r="D135" s="82"/>
      <c r="E135" s="82"/>
      <c r="F135" s="82"/>
      <c r="G135" s="82"/>
      <c r="H135" s="82"/>
      <c r="I135" s="82"/>
      <c r="J135" s="82"/>
      <c r="K135" s="82"/>
      <c r="L135" s="82"/>
      <c r="M135" s="82"/>
      <c r="N135" s="82"/>
    </row>
    <row r="136" spans="1:14" customFormat="1" x14ac:dyDescent="0.25">
      <c r="A136" s="82"/>
      <c r="B136" s="82"/>
      <c r="C136" s="82"/>
      <c r="D136" s="82"/>
      <c r="E136" s="82"/>
      <c r="F136" s="82"/>
      <c r="G136" s="82"/>
      <c r="H136" s="82"/>
      <c r="I136" s="82"/>
      <c r="J136" s="82"/>
      <c r="K136" s="82"/>
      <c r="L136" s="82"/>
      <c r="M136" s="82"/>
      <c r="N136" s="82"/>
    </row>
    <row r="137" spans="1:14" customFormat="1" x14ac:dyDescent="0.25">
      <c r="A137" s="82"/>
      <c r="B137" s="82"/>
      <c r="C137" s="82"/>
      <c r="D137" s="82"/>
      <c r="E137" s="82"/>
      <c r="F137" s="82"/>
      <c r="G137" s="82"/>
      <c r="H137" s="82"/>
      <c r="I137" s="82"/>
      <c r="J137" s="82"/>
      <c r="K137" s="82"/>
      <c r="L137" s="82"/>
      <c r="M137" s="82"/>
      <c r="N137" s="82"/>
    </row>
    <row r="138" spans="1:14" customFormat="1" x14ac:dyDescent="0.25">
      <c r="A138" s="82"/>
      <c r="B138" s="82"/>
      <c r="C138" s="82"/>
      <c r="D138" s="82"/>
      <c r="E138" s="82"/>
      <c r="F138" s="82"/>
      <c r="G138" s="82"/>
      <c r="H138" s="82"/>
      <c r="I138" s="82"/>
      <c r="J138" s="82"/>
      <c r="K138" s="82"/>
      <c r="L138" s="82"/>
      <c r="M138" s="82"/>
      <c r="N138" s="82"/>
    </row>
    <row r="139" spans="1:14" customFormat="1" x14ac:dyDescent="0.25">
      <c r="A139" s="82"/>
      <c r="B139" s="82"/>
      <c r="C139" s="82"/>
      <c r="D139" s="82"/>
      <c r="E139" s="82"/>
      <c r="F139" s="82"/>
      <c r="G139" s="82"/>
      <c r="H139" s="82"/>
      <c r="I139" s="82"/>
      <c r="J139" s="82"/>
      <c r="K139" s="82"/>
      <c r="L139" s="82"/>
      <c r="M139" s="82"/>
      <c r="N139" s="82"/>
    </row>
    <row r="140" spans="1:14" customFormat="1" x14ac:dyDescent="0.25">
      <c r="A140" s="82"/>
      <c r="B140" s="82"/>
      <c r="C140" s="82"/>
      <c r="D140" s="82"/>
      <c r="E140" s="82"/>
      <c r="F140" s="82"/>
      <c r="G140" s="82"/>
      <c r="H140" s="82"/>
      <c r="I140" s="82"/>
      <c r="J140" s="82"/>
      <c r="K140" s="82"/>
      <c r="L140" s="82"/>
      <c r="M140" s="82"/>
      <c r="N140" s="82"/>
    </row>
    <row r="141" spans="1:14" customFormat="1" x14ac:dyDescent="0.25">
      <c r="A141" s="82"/>
      <c r="B141" s="82"/>
      <c r="C141" s="82"/>
      <c r="D141" s="82"/>
      <c r="E141" s="82"/>
      <c r="F141" s="82"/>
      <c r="G141" s="82"/>
      <c r="H141" s="82"/>
      <c r="I141" s="82"/>
      <c r="J141" s="82"/>
      <c r="K141" s="82"/>
      <c r="L141" s="82"/>
      <c r="M141" s="82"/>
      <c r="N141" s="82"/>
    </row>
    <row r="142" spans="1:14" customFormat="1" x14ac:dyDescent="0.25">
      <c r="A142" s="82"/>
      <c r="B142" s="82"/>
      <c r="C142" s="82"/>
      <c r="D142" s="82"/>
      <c r="E142" s="82"/>
      <c r="F142" s="82"/>
      <c r="G142" s="82"/>
      <c r="H142" s="82"/>
      <c r="I142" s="82"/>
      <c r="J142" s="82"/>
      <c r="K142" s="82"/>
      <c r="L142" s="82"/>
      <c r="M142" s="82"/>
      <c r="N142" s="82"/>
    </row>
    <row r="143" spans="1:14" customFormat="1" x14ac:dyDescent="0.25">
      <c r="A143" s="82"/>
      <c r="B143" s="82"/>
      <c r="C143" s="82"/>
      <c r="D143" s="82"/>
      <c r="E143" s="82"/>
      <c r="F143" s="82"/>
      <c r="G143" s="82"/>
      <c r="H143" s="82"/>
      <c r="I143" s="82"/>
      <c r="J143" s="82"/>
      <c r="K143" s="82"/>
      <c r="L143" s="82"/>
      <c r="M143" s="82"/>
      <c r="N143" s="82"/>
    </row>
    <row r="144" spans="1:14" customFormat="1" x14ac:dyDescent="0.25">
      <c r="A144" s="82"/>
      <c r="B144" s="82"/>
      <c r="C144" s="82"/>
      <c r="D144" s="82"/>
      <c r="E144" s="82"/>
      <c r="F144" s="82"/>
      <c r="G144" s="82"/>
      <c r="H144" s="82"/>
      <c r="I144" s="82"/>
      <c r="J144" s="82"/>
      <c r="K144" s="82"/>
      <c r="L144" s="82"/>
      <c r="M144" s="82"/>
      <c r="N144" s="82"/>
    </row>
    <row r="145" spans="1:14" customFormat="1" x14ac:dyDescent="0.25">
      <c r="A145" s="82"/>
      <c r="B145" s="82"/>
      <c r="C145" s="82"/>
      <c r="D145" s="82"/>
      <c r="E145" s="82"/>
      <c r="F145" s="82"/>
      <c r="G145" s="82"/>
      <c r="H145" s="82"/>
      <c r="I145" s="82"/>
      <c r="J145" s="82"/>
      <c r="K145" s="82"/>
      <c r="L145" s="82"/>
      <c r="M145" s="82"/>
      <c r="N145" s="82"/>
    </row>
    <row r="146" spans="1:14" customFormat="1" x14ac:dyDescent="0.25">
      <c r="A146" s="82"/>
      <c r="B146" s="82"/>
      <c r="C146" s="82"/>
      <c r="D146" s="82"/>
      <c r="E146" s="82"/>
      <c r="F146" s="82"/>
      <c r="G146" s="82"/>
      <c r="H146" s="82"/>
      <c r="I146" s="82"/>
      <c r="J146" s="82"/>
      <c r="K146" s="82"/>
      <c r="L146" s="82"/>
      <c r="M146" s="82"/>
      <c r="N146" s="82"/>
    </row>
    <row r="147" spans="1:14" customFormat="1" x14ac:dyDescent="0.25">
      <c r="A147" s="82"/>
      <c r="B147" s="82"/>
      <c r="C147" s="82"/>
      <c r="D147" s="82"/>
      <c r="E147" s="82"/>
      <c r="F147" s="82"/>
      <c r="G147" s="82"/>
      <c r="H147" s="82"/>
      <c r="I147" s="82"/>
      <c r="J147" s="82"/>
      <c r="K147" s="82"/>
      <c r="L147" s="82"/>
      <c r="M147" s="82"/>
      <c r="N147" s="82"/>
    </row>
    <row r="148" spans="1:14" customFormat="1" x14ac:dyDescent="0.25">
      <c r="A148" s="82"/>
      <c r="B148" s="82"/>
      <c r="C148" s="82"/>
      <c r="D148" s="82"/>
      <c r="E148" s="82"/>
      <c r="F148" s="82"/>
      <c r="G148" s="82"/>
      <c r="H148" s="82"/>
      <c r="I148" s="82"/>
      <c r="J148" s="82"/>
      <c r="K148" s="82"/>
      <c r="L148" s="82"/>
      <c r="M148" s="82"/>
      <c r="N148" s="82"/>
    </row>
    <row r="149" spans="1:14" customFormat="1" x14ac:dyDescent="0.25">
      <c r="A149" s="82"/>
      <c r="B149" s="82"/>
      <c r="C149" s="82"/>
      <c r="D149" s="82"/>
      <c r="E149" s="82"/>
      <c r="F149" s="82"/>
      <c r="G149" s="82"/>
      <c r="H149" s="82"/>
      <c r="I149" s="82"/>
      <c r="J149" s="82"/>
      <c r="K149" s="82"/>
      <c r="L149" s="82"/>
      <c r="M149" s="82"/>
      <c r="N149" s="82"/>
    </row>
    <row r="150" spans="1:14" customFormat="1" x14ac:dyDescent="0.25">
      <c r="A150" s="82"/>
      <c r="B150" s="82"/>
      <c r="C150" s="82"/>
      <c r="D150" s="82"/>
      <c r="E150" s="82"/>
      <c r="F150" s="82"/>
      <c r="G150" s="82"/>
      <c r="H150" s="82"/>
      <c r="I150" s="82"/>
      <c r="J150" s="82"/>
      <c r="K150" s="82"/>
      <c r="L150" s="82"/>
      <c r="M150" s="82"/>
      <c r="N150" s="82"/>
    </row>
    <row r="151" spans="1:14" customFormat="1" x14ac:dyDescent="0.25">
      <c r="A151" s="82"/>
      <c r="B151" s="82"/>
      <c r="C151" s="82"/>
      <c r="D151" s="82"/>
      <c r="E151" s="82"/>
      <c r="F151" s="82"/>
      <c r="G151" s="82"/>
      <c r="H151" s="82"/>
      <c r="I151" s="82"/>
      <c r="J151" s="82"/>
      <c r="K151" s="82"/>
      <c r="L151" s="82"/>
      <c r="M151" s="82"/>
      <c r="N151" s="82"/>
    </row>
    <row r="152" spans="1:14" customFormat="1" x14ac:dyDescent="0.25">
      <c r="A152" s="82"/>
      <c r="B152" s="82"/>
      <c r="C152" s="82"/>
      <c r="D152" s="82"/>
      <c r="E152" s="82"/>
      <c r="F152" s="82"/>
      <c r="G152" s="82"/>
      <c r="H152" s="82"/>
      <c r="I152" s="82"/>
      <c r="J152" s="82"/>
      <c r="K152" s="82"/>
      <c r="L152" s="82"/>
      <c r="M152" s="82"/>
      <c r="N152" s="82"/>
    </row>
  </sheetData>
  <printOptions horizontalCentered="1"/>
  <pageMargins left="0.7" right="0.7" top="0.75" bottom="0.75" header="0.3" footer="0.3"/>
  <pageSetup scale="85" orientation="landscape" blackAndWhite="1" horizontalDpi="300" verticalDpi="300" r:id="rId1"/>
  <headerFooter>
    <oddFooter>&amp;L&amp;F
&amp;A&amp;RPage &amp;P of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AECF9D527768241AD5A0852CBFBB79D" ma:contentTypeVersion="28" ma:contentTypeDescription="" ma:contentTypeScope="" ma:versionID="25c2c8d7475b94be9033807a831c385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2022-08-05T07:00:00+00:00</OpenedDate>
    <SignificantOrder xmlns="dc463f71-b30c-4ab2-9473-d307f9d35888">false</SignificantOrder>
    <Date1 xmlns="dc463f71-b30c-4ab2-9473-d307f9d35888">2022-10-13T07:00:00+00:00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220590</DocketNumber>
    <DelegatedOrder xmlns="dc463f71-b30c-4ab2-9473-d307f9d35888">false</DelegatedOrder>
  </documentManagement>
</p:properties>
</file>

<file path=customXml/itemProps1.xml><?xml version="1.0" encoding="utf-8"?>
<ds:datastoreItem xmlns:ds="http://schemas.openxmlformats.org/officeDocument/2006/customXml" ds:itemID="{67D33744-B641-4D16-8057-FB2115950E9E}">
  <ds:schemaRefs>
    <ds:schemaRef ds:uri="http://schemas.microsoft.com/PowerBIAddIn"/>
  </ds:schemaRefs>
</ds:datastoreItem>
</file>

<file path=customXml/itemProps2.xml><?xml version="1.0" encoding="utf-8"?>
<ds:datastoreItem xmlns:ds="http://schemas.openxmlformats.org/officeDocument/2006/customXml" ds:itemID="{9B8F949F-8333-47B4-A7EC-969C5143DB42}"/>
</file>

<file path=customXml/itemProps3.xml><?xml version="1.0" encoding="utf-8"?>
<ds:datastoreItem xmlns:ds="http://schemas.openxmlformats.org/officeDocument/2006/customXml" ds:itemID="{148DC41B-D2A4-437E-B633-7F176AF7C42C}"/>
</file>

<file path=customXml/itemProps4.xml><?xml version="1.0" encoding="utf-8"?>
<ds:datastoreItem xmlns:ds="http://schemas.openxmlformats.org/officeDocument/2006/customXml" ds:itemID="{794B5397-DB45-4E80-9134-A30A2BB00670}"/>
</file>

<file path=customXml/itemProps5.xml><?xml version="1.0" encoding="utf-8"?>
<ds:datastoreItem xmlns:ds="http://schemas.openxmlformats.org/officeDocument/2006/customXml" ds:itemID="{D7E6CF2F-1AEC-45E8-92D9-5DFEB89E3D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vt:i4>
      </vt:variant>
    </vt:vector>
  </HeadingPairs>
  <TitlesOfParts>
    <vt:vector size="41" baseType="lpstr">
      <vt:lpstr>CRM Rates</vt:lpstr>
      <vt:lpstr>Summary - Revenue Requirement</vt:lpstr>
      <vt:lpstr>Rate Impacts--&gt;</vt:lpstr>
      <vt:lpstr>Rate Impacts Sch 149</vt:lpstr>
      <vt:lpstr>Typical Res Bill Sch 149</vt:lpstr>
      <vt:lpstr>Sch. 149</vt:lpstr>
      <vt:lpstr>Work Papers--&gt;</vt:lpstr>
      <vt:lpstr>CRM 2022 Rev Req Alloc</vt:lpstr>
      <vt:lpstr>CRM 2021 Rev Req Alloc TrueUp</vt:lpstr>
      <vt:lpstr>CRM 2021 Rev Req Alloc (YEAR 2)</vt:lpstr>
      <vt:lpstr>CRM 2020 Rev Req Alloc (YEAR 3)</vt:lpstr>
      <vt:lpstr>CRM 2019 Rev Req Alloc (YEAR 4)</vt:lpstr>
      <vt:lpstr>Allocation Factors</vt:lpstr>
      <vt:lpstr>Forecasted Volume</vt:lpstr>
      <vt:lpstr>RR workpapers--&gt;</vt:lpstr>
      <vt:lpstr>2022 CAP CRM</vt:lpstr>
      <vt:lpstr>2022 C&amp;OM</vt:lpstr>
      <vt:lpstr>2021TrueUp</vt:lpstr>
      <vt:lpstr>Summary 2021</vt:lpstr>
      <vt:lpstr>2021 + true up CAP</vt:lpstr>
      <vt:lpstr>2021 CRM</vt:lpstr>
      <vt:lpstr>2020 CRM</vt:lpstr>
      <vt:lpstr>Summary 2020 (from 2020 filing)</vt:lpstr>
      <vt:lpstr>2019 CRM</vt:lpstr>
      <vt:lpstr>CRM CAP Forecast(from2019filin)</vt:lpstr>
      <vt:lpstr>2017 4.01 G</vt:lpstr>
      <vt:lpstr>2019 GRC</vt:lpstr>
      <vt:lpstr>MACRS 20</vt:lpstr>
      <vt:lpstr>'2017 4.01 G'!Print_Area</vt:lpstr>
      <vt:lpstr>'2020 CRM'!Print_Area</vt:lpstr>
      <vt:lpstr>'2021 CRM'!Print_Area</vt:lpstr>
      <vt:lpstr>'Allocation Factors'!Print_Area</vt:lpstr>
      <vt:lpstr>'CRM 2019 Rev Req Alloc (YEAR 4)'!Print_Area</vt:lpstr>
      <vt:lpstr>'CRM 2020 Rev Req Alloc (YEAR 3)'!Print_Area</vt:lpstr>
      <vt:lpstr>'CRM 2021 Rev Req Alloc (YEAR 2)'!Print_Area</vt:lpstr>
      <vt:lpstr>'CRM 2021 Rev Req Alloc TrueUp'!Print_Area</vt:lpstr>
      <vt:lpstr>'CRM 2022 Rev Req Alloc'!Print_Area</vt:lpstr>
      <vt:lpstr>'CRM Rates'!Print_Area</vt:lpstr>
      <vt:lpstr>'Rate Impacts Sch 149'!Print_Area</vt:lpstr>
      <vt:lpstr>'Sch. 149'!Print_Area</vt:lpstr>
      <vt:lpstr>'Typical Res Bill Sch 149'!Print_Area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Kelima.Yakupova@pse.com;Paul.Schmidt@pse.com;Birud.Jhaveri@pse.com</dc:creator>
  <cp:lastModifiedBy>Puget Sound Energy</cp:lastModifiedBy>
  <cp:lastPrinted>2022-10-11T03:36:05Z</cp:lastPrinted>
  <dcterms:created xsi:type="dcterms:W3CDTF">2017-05-26T23:01:59Z</dcterms:created>
  <dcterms:modified xsi:type="dcterms:W3CDTF">2022-10-12T18:22:02Z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0x0101006E56B4D1795A2E4DB2F0B01679ED314A008AECF9D527768241AD5A0852CBFBB79D</vt:lpwstr>
  </property>
  <property fmtid="{D5CDD505-2E9C-101B-9397-08002B2CF9AE}" pid="3" name="_docset_NoMedatataSyncRequired">
    <vt:lpwstr>False</vt:lpwstr>
  </property>
  <property fmtid="{D5CDD505-2E9C-101B-9397-08002B2CF9AE}" pid="4" name="IsEFSEC">
    <vt:bool>false</vt:bool>
  </property>
</Properties>
</file>