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4505" yWindow="-15" windowWidth="4695" windowHeight="6315" tabRatio="863" firstSheet="1" activeTab="1"/>
  </bookViews>
  <sheets>
    <sheet name="_com.sap.ip.bi.xl.hiddensheet" sheetId="74" state="veryHidden" r:id="rId1"/>
    <sheet name=" Elec" sheetId="28" r:id="rId2"/>
    <sheet name=" Gas" sheetId="15" r:id="rId3"/>
    <sheet name="Main wp use for 2021 CBR only" sheetId="82" r:id="rId4"/>
    <sheet name="CE Allocation" sheetId="68" r:id="rId5"/>
    <sheet name="Director's Fees" sheetId="26" r:id="rId6"/>
  </sheets>
  <externalReferences>
    <externalReference r:id="rId7"/>
    <externalReference r:id="rId8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a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62913"/>
</workbook>
</file>

<file path=xl/calcChain.xml><?xml version="1.0" encoding="utf-8"?>
<calcChain xmlns="http://schemas.openxmlformats.org/spreadsheetml/2006/main">
  <c r="L6" i="82" l="1"/>
  <c r="L8" i="82"/>
  <c r="L5" i="82"/>
  <c r="L9" i="82" l="1"/>
  <c r="G14" i="82"/>
  <c r="H14" i="82" s="1"/>
  <c r="I14" i="82" s="1"/>
  <c r="J14" i="82" s="1"/>
  <c r="K14" i="82" s="1"/>
  <c r="L14" i="82" s="1"/>
  <c r="M14" i="82" s="1"/>
  <c r="F15" i="82"/>
  <c r="C13" i="82"/>
  <c r="D13" i="82" s="1"/>
  <c r="A6" i="82"/>
  <c r="A5" i="82"/>
  <c r="B15" i="82" l="1"/>
  <c r="G13" i="82"/>
  <c r="E13" i="82"/>
  <c r="C14" i="82"/>
  <c r="D14" i="82" l="1"/>
  <c r="C15" i="82"/>
  <c r="G15" i="82"/>
  <c r="H13" i="82"/>
  <c r="M16" i="26"/>
  <c r="M14" i="26"/>
  <c r="M12" i="26"/>
  <c r="M10" i="26"/>
  <c r="M8" i="26"/>
  <c r="E18" i="26"/>
  <c r="G18" i="26"/>
  <c r="I18" i="26"/>
  <c r="K18" i="26"/>
  <c r="E14" i="82" l="1"/>
  <c r="E15" i="82" s="1"/>
  <c r="D15" i="82"/>
  <c r="N14" i="82"/>
  <c r="I13" i="82"/>
  <c r="H15" i="82"/>
  <c r="M18" i="26"/>
  <c r="O16" i="26" s="1"/>
  <c r="I15" i="82" l="1"/>
  <c r="J13" i="82"/>
  <c r="O8" i="26"/>
  <c r="O12" i="26"/>
  <c r="O10" i="26"/>
  <c r="O14" i="26"/>
  <c r="C36" i="82" l="1"/>
  <c r="C35" i="82"/>
  <c r="J15" i="82"/>
  <c r="K13" i="82"/>
  <c r="O18" i="26"/>
  <c r="C37" i="82" l="1"/>
  <c r="L13" i="82"/>
  <c r="K15" i="82"/>
  <c r="M13" i="82" l="1"/>
  <c r="L15" i="82"/>
  <c r="M15" i="82" l="1"/>
  <c r="N13" i="82"/>
  <c r="N6" i="82" l="1"/>
  <c r="N8" i="82"/>
  <c r="N5" i="82"/>
  <c r="N15" i="82"/>
  <c r="E36" i="82" s="1"/>
  <c r="C5" i="82"/>
  <c r="C12" i="28" s="1"/>
  <c r="C6" i="82"/>
  <c r="C12" i="15" s="1"/>
  <c r="N7" i="82" l="1"/>
  <c r="N9" i="82" s="1"/>
  <c r="E35" i="82"/>
  <c r="E37" i="82" s="1"/>
  <c r="C7" i="82"/>
  <c r="A5" i="15" l="1"/>
  <c r="D6" i="68" l="1"/>
  <c r="F6" i="68" s="1"/>
  <c r="E7" i="68" l="1"/>
  <c r="F7" i="68"/>
  <c r="B7" i="68"/>
  <c r="C7" i="68"/>
  <c r="B36" i="82" l="1"/>
  <c r="D36" i="82" s="1"/>
  <c r="D7" i="68"/>
  <c r="B35" i="82" l="1"/>
  <c r="F19" i="82"/>
  <c r="B19" i="82"/>
  <c r="C19" i="82"/>
  <c r="G19" i="82"/>
  <c r="D19" i="82"/>
  <c r="H19" i="82"/>
  <c r="E19" i="82"/>
  <c r="I19" i="82"/>
  <c r="J19" i="82"/>
  <c r="K19" i="82"/>
  <c r="L19" i="82"/>
  <c r="M19" i="82"/>
  <c r="F36" i="82"/>
  <c r="N19" i="82" l="1"/>
  <c r="O8" i="82" s="1"/>
  <c r="B37" i="82"/>
  <c r="D35" i="82"/>
  <c r="A6" i="15"/>
  <c r="B18" i="82" l="1"/>
  <c r="D37" i="82"/>
  <c r="F18" i="82"/>
  <c r="C18" i="82"/>
  <c r="C20" i="82" s="1"/>
  <c r="G18" i="82"/>
  <c r="G20" i="82" s="1"/>
  <c r="E18" i="82"/>
  <c r="E20" i="82" s="1"/>
  <c r="D18" i="82"/>
  <c r="H18" i="82"/>
  <c r="H20" i="82" s="1"/>
  <c r="I18" i="82"/>
  <c r="I20" i="82" s="1"/>
  <c r="J18" i="82"/>
  <c r="J20" i="82" s="1"/>
  <c r="K18" i="82"/>
  <c r="K20" i="82" s="1"/>
  <c r="L18" i="82"/>
  <c r="L20" i="82" s="1"/>
  <c r="M18" i="82"/>
  <c r="M20" i="82" s="1"/>
  <c r="F35" i="82"/>
  <c r="F37" i="82" s="1"/>
  <c r="A7" i="15"/>
  <c r="F20" i="82" l="1"/>
  <c r="B20" i="82"/>
  <c r="N18" i="82"/>
  <c r="N20" i="82" s="1"/>
  <c r="D20" i="82"/>
  <c r="A13" i="15"/>
  <c r="A14" i="15" s="1"/>
  <c r="A15" i="15" s="1"/>
  <c r="A16" i="15" s="1"/>
  <c r="A17" i="15" s="1"/>
  <c r="A18" i="15" s="1"/>
  <c r="A19" i="15" s="1"/>
  <c r="A20" i="15" s="1"/>
  <c r="A13" i="28"/>
  <c r="A14" i="28" s="1"/>
  <c r="A15" i="28" s="1"/>
  <c r="A16" i="28" s="1"/>
  <c r="A17" i="28" s="1"/>
  <c r="A18" i="28" s="1"/>
  <c r="A19" i="28" s="1"/>
  <c r="A20" i="28" s="1"/>
  <c r="O18" i="82" l="1"/>
  <c r="O19" i="82"/>
  <c r="C14" i="15"/>
  <c r="P19" i="82" l="1"/>
  <c r="Q19" i="82"/>
  <c r="O20" i="82"/>
  <c r="Q18" i="82"/>
  <c r="O7" i="82"/>
  <c r="D5" i="82"/>
  <c r="P18" i="82"/>
  <c r="D6" i="82"/>
  <c r="C14" i="28"/>
  <c r="E6" i="82" l="1"/>
  <c r="D12" i="15"/>
  <c r="E12" i="15" s="1"/>
  <c r="E14" i="15" s="1"/>
  <c r="E16" i="15" s="1"/>
  <c r="D12" i="28"/>
  <c r="D7" i="82"/>
  <c r="E5" i="82"/>
  <c r="O9" i="82"/>
  <c r="O5" i="82"/>
  <c r="O6" i="82" s="1"/>
  <c r="P20" i="82"/>
  <c r="D14" i="15" l="1"/>
  <c r="E7" i="82"/>
  <c r="D14" i="28"/>
  <c r="E12" i="28"/>
  <c r="E14" i="28" s="1"/>
  <c r="E16" i="28" s="1"/>
  <c r="E18" i="28" s="1"/>
  <c r="E20" i="28" s="1"/>
  <c r="E18" i="15"/>
  <c r="E20" i="15" s="1"/>
</calcChain>
</file>

<file path=xl/sharedStrings.xml><?xml version="1.0" encoding="utf-8"?>
<sst xmlns="http://schemas.openxmlformats.org/spreadsheetml/2006/main" count="127" uniqueCount="94">
  <si>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</si>
  <si>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</si>
  <si>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</si>
  <si>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</si>
  <si>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</si>
  <si>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</si>
  <si>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</si>
  <si>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</si>
  <si>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</si>
  <si>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 xml:space="preserve"> </t>
  </si>
  <si>
    <t>Total</t>
  </si>
  <si>
    <t>INCREASE (DECREASE) IN EXPENSE</t>
  </si>
  <si>
    <t>INCREASE(DECREASE) OPERATING EXPENSE (LINE 3)</t>
  </si>
  <si>
    <t>DIRECTORS &amp; OFFICERS INSURANCE</t>
  </si>
  <si>
    <t>PUGET SOUND ENERGY-GAS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</si>
  <si>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</si>
  <si>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</si>
  <si>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</si>
  <si>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</si>
  <si>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</si>
  <si>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</si>
  <si>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</si>
  <si>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</si>
  <si>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</si>
  <si>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</si>
  <si>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</si>
  <si>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PUGET SOUND ENERGY-ELECTRIC</t>
  </si>
  <si>
    <t>93020677</t>
  </si>
  <si>
    <t>400s</t>
  </si>
  <si>
    <t>COMMISSION BASIS REPORT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</si>
  <si>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</si>
  <si>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</si>
  <si>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</si>
  <si>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</si>
  <si>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</si>
  <si>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</si>
  <si>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</si>
  <si>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</si>
  <si>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</si>
  <si>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</si>
  <si>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</si>
  <si>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</si>
  <si>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</si>
  <si>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AFTER</t>
  </si>
  <si>
    <t>RECALCULATED</t>
  </si>
  <si>
    <t>FOR RECALCULATED</t>
  </si>
  <si>
    <t>total invoice</t>
  </si>
  <si>
    <t>|</t>
  </si>
  <si>
    <t>V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</si>
  <si>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</si>
  <si>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</si>
  <si>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</si>
  <si>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</si>
  <si>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</si>
  <si>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</si>
  <si>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</si>
  <si>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</si>
  <si>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UTILITY</t>
  </si>
  <si>
    <t>NON-UTILITY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</si>
  <si>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</si>
  <si>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</si>
  <si>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</si>
  <si>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</si>
  <si>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</si>
  <si>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</si>
  <si>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</si>
  <si>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</si>
  <si>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</si>
  <si>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</si>
  <si>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</si>
  <si>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Utility</t>
  </si>
  <si>
    <t>Non-utility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</si>
  <si>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</si>
  <si>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</si>
  <si>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</si>
  <si>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</si>
  <si>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ALLOC FACTOR</t>
  </si>
  <si>
    <t>O&amp;M % SPLIT</t>
  </si>
  <si>
    <t>RESTATE TO ADJUST ATL/BTL ALLOCATION</t>
  </si>
  <si>
    <t>RESTATED RATIO</t>
  </si>
  <si>
    <t>CBR</t>
  </si>
  <si>
    <t>AND GRC</t>
  </si>
  <si>
    <t>check= ok</t>
  </si>
  <si>
    <t>NU</t>
  </si>
  <si>
    <t>Q4 2020</t>
  </si>
  <si>
    <t>Q3 2020</t>
  </si>
  <si>
    <t>Q2 2020</t>
  </si>
  <si>
    <t>Q1 2020</t>
  </si>
  <si>
    <t>Puget Itermediate</t>
  </si>
  <si>
    <t>2/29/2121</t>
  </si>
  <si>
    <t>12 ME Dec 21</t>
  </si>
  <si>
    <t>DETAIL OF DIRECTOR COMPENSATION EXPENSE FOR 12 MONTHS ENDED DECEMBER 2021</t>
  </si>
  <si>
    <t>12 ME DEC 2021</t>
  </si>
  <si>
    <t>FOR THE TWELVE MONTHS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</si>
</sst>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  <numFmt numFmtId="170" formatCode="###,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C00000"/>
      <name val="Arial"/>
      <family val="2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43" fontId="18" fillId="0" borderId="0" applyFont="0" applyFill="0" applyBorder="0" applyAlignment="0" applyProtection="0"/>
    <xf numFmtId="0" fontId="3" fillId="0" borderId="0"/>
    <xf numFmtId="0" fontId="20" fillId="2" borderId="13" applyNumberFormat="0" applyAlignment="0" applyProtection="0">
      <alignment horizontal="left" vertical="center" indent="1"/>
    </xf>
    <xf numFmtId="170" fontId="21" fillId="0" borderId="14" applyNumberFormat="0" applyProtection="0">
      <alignment horizontal="right" vertical="center"/>
    </xf>
    <xf numFmtId="170" fontId="20" fillId="0" borderId="15" applyNumberFormat="0" applyProtection="0">
      <alignment horizontal="right" vertical="center"/>
    </xf>
    <xf numFmtId="170" fontId="21" fillId="3" borderId="13" applyNumberFormat="0" applyAlignment="0" applyProtection="0">
      <alignment horizontal="left" vertical="center" indent="1"/>
    </xf>
    <xf numFmtId="0" fontId="22" fillId="4" borderId="15" applyNumberFormat="0" applyAlignment="0">
      <alignment horizontal="left" vertical="center" indent="1"/>
      <protection locked="0"/>
    </xf>
    <xf numFmtId="0" fontId="22" fillId="5" borderId="15" applyNumberFormat="0" applyAlignment="0" applyProtection="0">
      <alignment horizontal="left" vertical="center" indent="1"/>
    </xf>
    <xf numFmtId="170" fontId="21" fillId="6" borderId="14" applyNumberFormat="0" applyBorder="0">
      <alignment horizontal="right" vertical="center"/>
      <protection locked="0"/>
    </xf>
    <xf numFmtId="0" fontId="22" fillId="4" borderId="15" applyNumberFormat="0" applyAlignment="0">
      <alignment horizontal="left" vertical="center" indent="1"/>
      <protection locked="0"/>
    </xf>
    <xf numFmtId="170" fontId="20" fillId="5" borderId="15" applyNumberFormat="0" applyProtection="0">
      <alignment horizontal="right" vertical="center"/>
    </xf>
    <xf numFmtId="170" fontId="20" fillId="6" borderId="15" applyNumberFormat="0" applyBorder="0">
      <alignment horizontal="right" vertical="center"/>
      <protection locked="0"/>
    </xf>
    <xf numFmtId="170" fontId="23" fillId="7" borderId="16" applyNumberFormat="0" applyBorder="0" applyAlignment="0" applyProtection="0">
      <alignment horizontal="right" vertical="center" indent="1"/>
    </xf>
    <xf numFmtId="170" fontId="24" fillId="8" borderId="16" applyNumberFormat="0" applyBorder="0" applyAlignment="0" applyProtection="0">
      <alignment horizontal="right" vertical="center" indent="1"/>
    </xf>
    <xf numFmtId="170" fontId="24" fillId="9" borderId="16" applyNumberFormat="0" applyBorder="0" applyAlignment="0" applyProtection="0">
      <alignment horizontal="right" vertical="center" indent="1"/>
    </xf>
    <xf numFmtId="170" fontId="25" fillId="10" borderId="16" applyNumberFormat="0" applyBorder="0" applyAlignment="0" applyProtection="0">
      <alignment horizontal="right" vertical="center" indent="1"/>
    </xf>
    <xf numFmtId="170" fontId="25" fillId="11" borderId="16" applyNumberFormat="0" applyBorder="0" applyAlignment="0" applyProtection="0">
      <alignment horizontal="right" vertical="center" indent="1"/>
    </xf>
    <xf numFmtId="170" fontId="25" fillId="12" borderId="16" applyNumberFormat="0" applyBorder="0" applyAlignment="0" applyProtection="0">
      <alignment horizontal="right" vertical="center" indent="1"/>
    </xf>
    <xf numFmtId="170" fontId="26" fillId="13" borderId="16" applyNumberFormat="0" applyBorder="0" applyAlignment="0" applyProtection="0">
      <alignment horizontal="right" vertical="center" indent="1"/>
    </xf>
    <xf numFmtId="170" fontId="26" fillId="14" borderId="16" applyNumberFormat="0" applyBorder="0" applyAlignment="0" applyProtection="0">
      <alignment horizontal="right" vertical="center" indent="1"/>
    </xf>
    <xf numFmtId="170" fontId="26" fillId="15" borderId="16" applyNumberFormat="0" applyBorder="0" applyAlignment="0" applyProtection="0">
      <alignment horizontal="right" vertical="center" indent="1"/>
    </xf>
    <xf numFmtId="0" fontId="27" fillId="0" borderId="13" applyNumberFormat="0" applyFont="0" applyFill="0" applyAlignment="0" applyProtection="0"/>
    <xf numFmtId="170" fontId="28" fillId="3" borderId="0" applyNumberFormat="0" applyAlignment="0" applyProtection="0">
      <alignment horizontal="left" vertical="center" indent="1"/>
    </xf>
    <xf numFmtId="0" fontId="27" fillId="0" borderId="17" applyNumberFormat="0" applyFont="0" applyFill="0" applyAlignment="0" applyProtection="0"/>
    <xf numFmtId="170" fontId="21" fillId="0" borderId="14" applyNumberFormat="0" applyFill="0" applyBorder="0" applyAlignment="0" applyProtection="0">
      <alignment horizontal="right" vertical="center"/>
    </xf>
    <xf numFmtId="170" fontId="21" fillId="3" borderId="13" applyNumberFormat="0" applyAlignment="0" applyProtection="0">
      <alignment horizontal="left" vertical="center" indent="1"/>
    </xf>
    <xf numFmtId="0" fontId="20" fillId="2" borderId="15" applyNumberFormat="0" applyAlignment="0" applyProtection="0">
      <alignment horizontal="left" vertical="center" indent="1"/>
    </xf>
    <xf numFmtId="0" fontId="22" fillId="16" borderId="13" applyNumberFormat="0" applyAlignment="0" applyProtection="0">
      <alignment horizontal="left" vertical="center" indent="1"/>
    </xf>
    <xf numFmtId="0" fontId="22" fillId="17" borderId="13" applyNumberFormat="0" applyAlignment="0" applyProtection="0">
      <alignment horizontal="left" vertical="center" indent="1"/>
    </xf>
    <xf numFmtId="0" fontId="22" fillId="18" borderId="13" applyNumberFormat="0" applyAlignment="0" applyProtection="0">
      <alignment horizontal="left" vertical="center" indent="1"/>
    </xf>
    <xf numFmtId="0" fontId="22" fillId="6" borderId="13" applyNumberFormat="0" applyAlignment="0" applyProtection="0">
      <alignment horizontal="left" vertical="center" indent="1"/>
    </xf>
    <xf numFmtId="0" fontId="22" fillId="5" borderId="15" applyNumberFormat="0" applyAlignment="0" applyProtection="0">
      <alignment horizontal="left" vertical="center" indent="1"/>
    </xf>
    <xf numFmtId="0" fontId="29" fillId="0" borderId="18" applyNumberFormat="0" applyFill="0" applyBorder="0" applyAlignment="0" applyProtection="0"/>
    <xf numFmtId="0" fontId="30" fillId="0" borderId="18" applyNumberFormat="0" applyBorder="0" applyAlignment="0" applyProtection="0"/>
    <xf numFmtId="0" fontId="29" fillId="4" borderId="15" applyNumberFormat="0" applyAlignment="0">
      <alignment horizontal="left" vertical="center" indent="1"/>
      <protection locked="0"/>
    </xf>
    <xf numFmtId="0" fontId="29" fillId="4" borderId="15" applyNumberFormat="0" applyAlignment="0">
      <alignment horizontal="left" vertical="center" indent="1"/>
      <protection locked="0"/>
    </xf>
    <xf numFmtId="0" fontId="29" fillId="5" borderId="15" applyNumberFormat="0" applyAlignment="0" applyProtection="0">
      <alignment horizontal="left" vertical="center" indent="1"/>
    </xf>
    <xf numFmtId="170" fontId="31" fillId="5" borderId="15" applyNumberFormat="0" applyProtection="0">
      <alignment horizontal="right" vertical="center"/>
    </xf>
    <xf numFmtId="170" fontId="32" fillId="6" borderId="14" applyNumberFormat="0" applyBorder="0">
      <alignment horizontal="right" vertical="center"/>
      <protection locked="0"/>
    </xf>
    <xf numFmtId="170" fontId="31" fillId="6" borderId="15" applyNumberFormat="0" applyBorder="0">
      <alignment horizontal="right" vertical="center"/>
      <protection locked="0"/>
    </xf>
    <xf numFmtId="170" fontId="21" fillId="0" borderId="14" applyNumberFormat="0" applyFill="0" applyBorder="0" applyAlignment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2" fontId="6" fillId="0" borderId="0" xfId="0" applyNumberFormat="1" applyFont="1" applyAlignment="1" applyProtection="1">
      <alignment horizontal="right"/>
      <protection locked="0"/>
    </xf>
    <xf numFmtId="164" fontId="6" fillId="0" borderId="5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>
      <alignment horizontal="right"/>
    </xf>
    <xf numFmtId="42" fontId="6" fillId="0" borderId="6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/>
    </xf>
    <xf numFmtId="41" fontId="6" fillId="0" borderId="0" xfId="0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41" fontId="6" fillId="0" borderId="5" xfId="0" applyNumberFormat="1" applyFont="1" applyBorder="1" applyAlignment="1" applyProtection="1">
      <alignment horizontal="right"/>
      <protection locked="0"/>
    </xf>
    <xf numFmtId="42" fontId="6" fillId="0" borderId="3" xfId="0" applyNumberFormat="1" applyFont="1" applyBorder="1" applyAlignment="1">
      <alignment horizontal="right"/>
    </xf>
    <xf numFmtId="41" fontId="6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5" fillId="0" borderId="0" xfId="0" applyFont="1"/>
    <xf numFmtId="0" fontId="11" fillId="0" borderId="0" xfId="0" applyFont="1" applyFill="1"/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18" fontId="7" fillId="0" borderId="0" xfId="0" applyNumberFormat="1" applyFont="1" applyFill="1" applyAlignment="1">
      <alignment horizontal="centerContinuous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Continuous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/>
    <xf numFmtId="0" fontId="10" fillId="0" borderId="0" xfId="0" applyFont="1"/>
    <xf numFmtId="0" fontId="4" fillId="0" borderId="0" xfId="0" applyFont="1" applyFill="1"/>
    <xf numFmtId="0" fontId="4" fillId="0" borderId="0" xfId="0" applyFont="1" applyFill="1"/>
    <xf numFmtId="42" fontId="6" fillId="0" borderId="0" xfId="0" applyNumberFormat="1" applyFont="1" applyFill="1" applyAlignment="1" applyProtection="1">
      <alignment horizontal="right"/>
      <protection locked="0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167" fontId="0" fillId="0" borderId="0" xfId="0" applyNumberFormat="1" applyFill="1"/>
    <xf numFmtId="0" fontId="11" fillId="0" borderId="0" xfId="0" applyFont="1" applyFill="1" applyAlignment="1">
      <alignment horizontal="right"/>
    </xf>
    <xf numFmtId="165" fontId="12" fillId="0" borderId="0" xfId="0" applyNumberFormat="1" applyFont="1" applyFill="1"/>
    <xf numFmtId="43" fontId="11" fillId="0" borderId="0" xfId="0" applyNumberFormat="1" applyFont="1" applyFill="1"/>
    <xf numFmtId="165" fontId="11" fillId="0" borderId="0" xfId="0" applyNumberFormat="1" applyFont="1" applyFill="1"/>
    <xf numFmtId="169" fontId="4" fillId="0" borderId="6" xfId="0" applyNumberFormat="1" applyFont="1" applyFill="1" applyBorder="1"/>
    <xf numFmtId="167" fontId="0" fillId="0" borderId="0" xfId="0" applyNumberFormat="1" applyFont="1" applyFill="1"/>
    <xf numFmtId="0" fontId="13" fillId="0" borderId="0" xfId="0" applyFont="1" applyFill="1"/>
    <xf numFmtId="167" fontId="6" fillId="0" borderId="0" xfId="0" applyNumberFormat="1" applyFont="1" applyAlignment="1">
      <alignment horizontal="right"/>
    </xf>
    <xf numFmtId="1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4" xfId="0" applyNumberFormat="1" applyFont="1" applyFill="1" applyBorder="1"/>
    <xf numFmtId="0" fontId="16" fillId="0" borderId="0" xfId="0" applyFont="1" applyFill="1"/>
    <xf numFmtId="168" fontId="15" fillId="0" borderId="10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Continuous"/>
    </xf>
    <xf numFmtId="0" fontId="15" fillId="0" borderId="0" xfId="0" applyFont="1" applyFill="1"/>
    <xf numFmtId="42" fontId="15" fillId="0" borderId="11" xfId="0" applyNumberFormat="1" applyFont="1" applyFill="1" applyBorder="1"/>
    <xf numFmtId="0" fontId="15" fillId="0" borderId="7" xfId="0" applyFont="1" applyFill="1" applyBorder="1" applyAlignment="1">
      <alignment horizontal="center"/>
    </xf>
    <xf numFmtId="41" fontId="15" fillId="0" borderId="11" xfId="0" applyNumberFormat="1" applyFont="1" applyFill="1" applyBorder="1"/>
    <xf numFmtId="0" fontId="15" fillId="0" borderId="9" xfId="0" applyFont="1" applyFill="1" applyBorder="1" applyAlignment="1">
      <alignment horizontal="center"/>
    </xf>
    <xf numFmtId="42" fontId="15" fillId="0" borderId="12" xfId="0" applyNumberFormat="1" applyFont="1" applyFill="1" applyBorder="1"/>
    <xf numFmtId="0" fontId="15" fillId="0" borderId="8" xfId="0" applyFont="1" applyFill="1" applyBorder="1" applyAlignment="1">
      <alignment horizontal="center"/>
    </xf>
    <xf numFmtId="37" fontId="17" fillId="0" borderId="0" xfId="0" applyNumberFormat="1" applyFont="1" applyFill="1"/>
    <xf numFmtId="167" fontId="15" fillId="0" borderId="0" xfId="0" applyNumberFormat="1" applyFont="1" applyFill="1" applyAlignment="1">
      <alignment horizontal="left"/>
    </xf>
    <xf numFmtId="10" fontId="15" fillId="0" borderId="0" xfId="0" applyNumberFormat="1" applyFont="1" applyFill="1"/>
    <xf numFmtId="0" fontId="15" fillId="0" borderId="5" xfId="0" applyFont="1" applyFill="1" applyBorder="1" applyAlignment="1">
      <alignment horizontal="center"/>
    </xf>
    <xf numFmtId="165" fontId="0" fillId="0" borderId="0" xfId="1" applyNumberFormat="1" applyFont="1"/>
    <xf numFmtId="0" fontId="8" fillId="0" borderId="0" xfId="0" applyFont="1" applyFill="1" applyBorder="1" applyAlignment="1">
      <alignment horizontal="center"/>
    </xf>
    <xf numFmtId="0" fontId="8" fillId="0" borderId="2" xfId="48" applyFont="1" applyFill="1" applyBorder="1" applyAlignment="1">
      <alignment horizontal="center"/>
    </xf>
    <xf numFmtId="0" fontId="2" fillId="0" borderId="0" xfId="48" applyFill="1"/>
    <xf numFmtId="167" fontId="0" fillId="0" borderId="0" xfId="51" applyNumberFormat="1" applyFont="1" applyFill="1"/>
    <xf numFmtId="165" fontId="5" fillId="0" borderId="0" xfId="52" applyNumberFormat="1" applyFont="1" applyFill="1"/>
    <xf numFmtId="166" fontId="5" fillId="0" borderId="0" xfId="52" applyNumberFormat="1" applyFill="1"/>
    <xf numFmtId="166" fontId="5" fillId="0" borderId="4" xfId="50" applyNumberFormat="1" applyFill="1" applyBorder="1"/>
    <xf numFmtId="167" fontId="0" fillId="0" borderId="4" xfId="51" applyNumberFormat="1" applyFont="1" applyFill="1" applyBorder="1"/>
    <xf numFmtId="0" fontId="9" fillId="0" borderId="0" xfId="0" applyFont="1" applyFill="1" applyAlignment="1">
      <alignment horizontal="centerContinuous"/>
    </xf>
    <xf numFmtId="169" fontId="2" fillId="0" borderId="6" xfId="0" applyNumberFormat="1" applyFont="1" applyFill="1" applyBorder="1"/>
    <xf numFmtId="165" fontId="33" fillId="0" borderId="0" xfId="1" applyNumberFormat="1" applyFont="1"/>
    <xf numFmtId="166" fontId="0" fillId="0" borderId="0" xfId="0" applyNumberFormat="1"/>
    <xf numFmtId="166" fontId="0" fillId="0" borderId="0" xfId="0" quotePrefix="1" applyNumberFormat="1" applyFill="1" applyAlignment="1">
      <alignment horizontal="center"/>
    </xf>
    <xf numFmtId="166" fontId="2" fillId="0" borderId="0" xfId="48" applyNumberFormat="1" applyFill="1"/>
    <xf numFmtId="166" fontId="0" fillId="0" borderId="0" xfId="49" applyNumberFormat="1" applyFont="1" applyFill="1"/>
    <xf numFmtId="166" fontId="5" fillId="0" borderId="0" xfId="50" applyNumberFormat="1" applyFill="1"/>
    <xf numFmtId="166" fontId="0" fillId="0" borderId="0" xfId="0" applyNumberFormat="1" applyFill="1" applyAlignment="1">
      <alignment horizontal="center"/>
    </xf>
    <xf numFmtId="166" fontId="5" fillId="0" borderId="0" xfId="52" applyNumberFormat="1" applyFont="1" applyFill="1"/>
    <xf numFmtId="166" fontId="5" fillId="0" borderId="0" xfId="49" applyNumberFormat="1" applyFont="1" applyFill="1"/>
    <xf numFmtId="0" fontId="19" fillId="0" borderId="0" xfId="47" applyFont="1" applyAlignment="1">
      <alignment vertical="top"/>
    </xf>
    <xf numFmtId="168" fontId="15" fillId="0" borderId="0" xfId="0" applyNumberFormat="1" applyFont="1" applyFill="1" applyBorder="1" applyAlignment="1">
      <alignment horizontal="center"/>
    </xf>
    <xf numFmtId="165" fontId="15" fillId="0" borderId="0" xfId="1" applyNumberFormat="1" applyFont="1" applyFill="1"/>
    <xf numFmtId="0" fontId="15" fillId="0" borderId="19" xfId="0" applyFont="1" applyFill="1" applyBorder="1" applyAlignment="1">
      <alignment horizontal="center"/>
    </xf>
    <xf numFmtId="0" fontId="34" fillId="0" borderId="0" xfId="0" applyFont="1" applyFill="1"/>
    <xf numFmtId="42" fontId="34" fillId="0" borderId="0" xfId="0" applyNumberFormat="1" applyFont="1" applyFill="1"/>
    <xf numFmtId="42" fontId="34" fillId="0" borderId="4" xfId="0" applyNumberFormat="1" applyFont="1" applyFill="1" applyBorder="1"/>
    <xf numFmtId="0" fontId="5" fillId="0" borderId="0" xfId="0" applyFont="1" applyFill="1"/>
    <xf numFmtId="10" fontId="34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167" fontId="15" fillId="0" borderId="0" xfId="0" applyNumberFormat="1" applyFont="1" applyFill="1"/>
    <xf numFmtId="167" fontId="15" fillId="0" borderId="4" xfId="0" applyNumberFormat="1" applyFont="1" applyFill="1" applyBorder="1"/>
    <xf numFmtId="0" fontId="9" fillId="0" borderId="0" xfId="0" applyFont="1" applyFill="1" applyAlignment="1">
      <alignment horizontal="center"/>
    </xf>
  </cellXfs>
  <cellStyles count="55">
    <cellStyle name="Comma" xfId="1" builtinId="3"/>
    <cellStyle name="Comma 14" xfId="49"/>
    <cellStyle name="Comma 2" xfId="54"/>
    <cellStyle name="Comma 6 2" xfId="52"/>
    <cellStyle name="Currency 11 2" xfId="43"/>
    <cellStyle name="Currency 3" xfId="50"/>
    <cellStyle name="Normal" xfId="0" builtinId="0"/>
    <cellStyle name="Normal - Style1 2 2" xfId="47"/>
    <cellStyle name="Normal 10 3" xfId="42"/>
    <cellStyle name="Normal 2" xfId="2"/>
    <cellStyle name="Normal 2 2 4" xfId="45"/>
    <cellStyle name="Normal 24" xfId="48"/>
    <cellStyle name="Normal 3" xfId="44"/>
    <cellStyle name="Normal 4" xfId="53"/>
    <cellStyle name="Percent 2" xfId="46"/>
    <cellStyle name="Percent 4" xfId="51"/>
    <cellStyle name="SAPBorder" xfId="22"/>
    <cellStyle name="SAPDataCell" xfId="4"/>
    <cellStyle name="SAPDataRemoved" xfId="23"/>
    <cellStyle name="SAPDataTotalCell" xfId="5"/>
    <cellStyle name="SAPDimensionCell" xfId="3"/>
    <cellStyle name="SAPEditableDataCell" xfId="7"/>
    <cellStyle name="SAPEditableDataTotalCell" xfId="10"/>
    <cellStyle name="SAPEmphasized" xfId="33"/>
    <cellStyle name="SAPEmphasizedEditableDataCell" xfId="35"/>
    <cellStyle name="SAPEmphasizedEditableDataTotalCell" xfId="36"/>
    <cellStyle name="SAPEmphasizedLockedDataCell" xfId="39"/>
    <cellStyle name="SAPEmphasizedLockedDataTotalCell" xfId="40"/>
    <cellStyle name="SAPEmphasizedReadonlyDataCell" xfId="37"/>
    <cellStyle name="SAPEmphasizedReadonlyDataTotalCell" xfId="38"/>
    <cellStyle name="SAPEmphasizedTotal" xfId="34"/>
    <cellStyle name="SAPError" xfId="24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Formula" xfId="41"/>
    <cellStyle name="SAPGroupingFillCell" xfId="6"/>
    <cellStyle name="SAPHierarchyCell0" xfId="28"/>
    <cellStyle name="SAPHierarchyCell1" xfId="29"/>
    <cellStyle name="SAPHierarchyCell2" xfId="30"/>
    <cellStyle name="SAPHierarchyCell3" xfId="31"/>
    <cellStyle name="SAPHierarchyCell4" xfId="32"/>
    <cellStyle name="SAPLockedDataCell" xfId="9"/>
    <cellStyle name="SAPLockedDataTotalCell" xfId="12"/>
    <cellStyle name="SAPMemberCell" xfId="26"/>
    <cellStyle name="SAPMemberTotalCell" xfId="27"/>
    <cellStyle name="SAPMessageText" xfId="25"/>
    <cellStyle name="SAPReadonlyDataCell" xfId="8"/>
    <cellStyle name="SAPReadonlyDataTotalCell" xfId="11"/>
  </cellStyles>
  <dxfs count="0"/>
  <tableStyles count="0" defaultTableStyle="TableStyleMedium9" defaultPivotStyle="PivotStyleLight16"/>
  <colors>
    <mruColors>
      <color rgb="FFFFCCFF"/>
      <color rgb="FF00FF00"/>
      <color rgb="FF66FF66"/>
      <color rgb="FF0000FF"/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>
        <row r="9">
          <cell r="E9">
            <v>0.58179999999999998</v>
          </cell>
          <cell r="F9">
            <v>0.41820000000000002</v>
          </cell>
        </row>
        <row r="43">
          <cell r="G43">
            <v>0.48238392496676075</v>
          </cell>
        </row>
        <row r="44">
          <cell r="G44">
            <v>2.0981723466039384E-3</v>
          </cell>
        </row>
        <row r="45">
          <cell r="G45">
            <v>0.51551790268663533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E42" sqref="E42"/>
    </sheetView>
  </sheetViews>
  <sheetFormatPr defaultRowHeight="12.75" customHeight="1" x14ac:dyDescent="0.2"/>
  <cols>
    <col min="1" max="1" width="5.42578125" bestFit="1" customWidth="1"/>
    <col min="2" max="2" width="47" customWidth="1"/>
    <col min="3" max="3" width="10.85546875" bestFit="1" customWidth="1"/>
    <col min="4" max="4" width="10.5703125" bestFit="1" customWidth="1"/>
    <col min="5" max="5" width="13.5703125" bestFit="1" customWidth="1"/>
    <col min="7" max="9" width="9.140625" customWidth="1"/>
  </cols>
  <sheetData>
    <row r="1" spans="1:5" ht="12.75" customHeight="1" x14ac:dyDescent="0.2">
      <c r="A1" s="1"/>
      <c r="B1" s="1"/>
      <c r="C1" s="1"/>
      <c r="D1" s="1"/>
      <c r="E1" s="1"/>
    </row>
    <row r="2" spans="1:5" ht="12.75" customHeight="1" x14ac:dyDescent="0.2">
      <c r="A2" s="24"/>
      <c r="B2" s="24"/>
      <c r="C2" s="24"/>
      <c r="D2" s="18"/>
      <c r="E2" s="18"/>
    </row>
    <row r="3" spans="1:5" ht="12.75" customHeight="1" x14ac:dyDescent="0.2">
      <c r="A3" s="31"/>
      <c r="B3" s="31"/>
      <c r="C3" s="31"/>
      <c r="D3" s="31"/>
      <c r="E3" s="31"/>
    </row>
    <row r="4" spans="1:5" ht="12.75" customHeight="1" x14ac:dyDescent="0.2">
      <c r="A4" s="20" t="s">
        <v>26</v>
      </c>
      <c r="B4" s="21"/>
      <c r="C4" s="21"/>
      <c r="D4" s="21"/>
      <c r="E4" s="22"/>
    </row>
    <row r="5" spans="1:5" ht="12.75" customHeight="1" x14ac:dyDescent="0.2">
      <c r="A5" s="21" t="s">
        <v>13</v>
      </c>
      <c r="B5" s="21"/>
      <c r="C5" s="21"/>
      <c r="D5" s="21"/>
      <c r="E5" s="21"/>
    </row>
    <row r="6" spans="1:5" ht="12.75" customHeight="1" x14ac:dyDescent="0.2">
      <c r="A6" s="21" t="s">
        <v>93</v>
      </c>
      <c r="B6" s="21"/>
      <c r="C6" s="21"/>
      <c r="D6" s="21"/>
      <c r="E6" s="23"/>
    </row>
    <row r="7" spans="1:5" ht="12.75" customHeight="1" x14ac:dyDescent="0.2">
      <c r="A7" s="20" t="s">
        <v>29</v>
      </c>
      <c r="B7" s="21"/>
      <c r="C7" s="21"/>
      <c r="D7" s="20"/>
      <c r="E7" s="23"/>
    </row>
    <row r="8" spans="1:5" ht="12.75" customHeight="1" x14ac:dyDescent="0.2">
      <c r="A8" s="24"/>
      <c r="B8" s="25"/>
      <c r="C8" s="25"/>
      <c r="D8" s="24"/>
      <c r="E8" s="24"/>
    </row>
    <row r="9" spans="1:5" ht="12.75" customHeight="1" x14ac:dyDescent="0.2">
      <c r="A9" s="26" t="s">
        <v>0</v>
      </c>
      <c r="B9" s="24"/>
      <c r="C9" s="24"/>
      <c r="D9" s="24"/>
      <c r="E9" s="24"/>
    </row>
    <row r="10" spans="1:5" ht="12.75" customHeight="1" x14ac:dyDescent="0.2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</row>
    <row r="11" spans="1:5" ht="12.75" customHeight="1" x14ac:dyDescent="0.2">
      <c r="A11" s="4"/>
      <c r="B11" s="4"/>
      <c r="C11" s="4"/>
      <c r="D11" s="4"/>
      <c r="E11" s="4"/>
    </row>
    <row r="12" spans="1:5" ht="12.75" customHeight="1" x14ac:dyDescent="0.2">
      <c r="A12" s="5">
        <v>1</v>
      </c>
      <c r="B12" s="4" t="s">
        <v>6</v>
      </c>
      <c r="C12" s="36">
        <f>'Main wp use for 2021 CBR only'!C5</f>
        <v>122815.37803065062</v>
      </c>
      <c r="D12" s="6">
        <f>'Main wp use for 2021 CBR only'!D5</f>
        <v>95196.754644627814</v>
      </c>
      <c r="E12" s="6">
        <f>+D12-C12</f>
        <v>-27618.623386022809</v>
      </c>
    </row>
    <row r="13" spans="1:5" ht="12.75" customHeight="1" x14ac:dyDescent="0.2">
      <c r="A13" s="5">
        <f t="shared" ref="A13:A20" si="0">A12+1</f>
        <v>2</v>
      </c>
      <c r="B13" s="4"/>
      <c r="C13" s="7"/>
      <c r="D13" s="7"/>
      <c r="E13" s="8"/>
    </row>
    <row r="14" spans="1:5" ht="12.75" customHeight="1" x14ac:dyDescent="0.2">
      <c r="A14" s="5">
        <f t="shared" si="0"/>
        <v>3</v>
      </c>
      <c r="B14" s="4" t="s">
        <v>11</v>
      </c>
      <c r="C14" s="9">
        <f>SUM(C12:C13)</f>
        <v>122815.37803065062</v>
      </c>
      <c r="D14" s="9">
        <f>SUM(D12:D13)</f>
        <v>95196.754644627814</v>
      </c>
      <c r="E14" s="10">
        <f>SUM(E12:E13)</f>
        <v>-27618.623386022809</v>
      </c>
    </row>
    <row r="15" spans="1:5" ht="12.75" customHeight="1" x14ac:dyDescent="0.2">
      <c r="A15" s="5">
        <f t="shared" si="0"/>
        <v>4</v>
      </c>
      <c r="B15" s="4"/>
      <c r="C15" s="11"/>
      <c r="D15" s="11"/>
      <c r="E15" s="11"/>
    </row>
    <row r="16" spans="1:5" ht="12.75" customHeight="1" x14ac:dyDescent="0.2">
      <c r="A16" s="5">
        <f t="shared" si="0"/>
        <v>5</v>
      </c>
      <c r="B16" s="4" t="s">
        <v>12</v>
      </c>
      <c r="C16" s="11"/>
      <c r="D16" s="11"/>
      <c r="E16" s="12">
        <f>E14</f>
        <v>-27618.623386022809</v>
      </c>
    </row>
    <row r="17" spans="1:5" ht="12.75" customHeight="1" x14ac:dyDescent="0.2">
      <c r="A17" s="5">
        <f t="shared" si="0"/>
        <v>6</v>
      </c>
      <c r="B17" s="4"/>
      <c r="C17" s="11"/>
      <c r="D17" s="11"/>
      <c r="E17" s="12"/>
    </row>
    <row r="18" spans="1:5" ht="12.75" customHeight="1" x14ac:dyDescent="0.2">
      <c r="A18" s="5">
        <f t="shared" si="0"/>
        <v>7</v>
      </c>
      <c r="B18" s="4" t="s">
        <v>7</v>
      </c>
      <c r="C18" s="11"/>
      <c r="D18" s="54">
        <v>0.21</v>
      </c>
      <c r="E18" s="16">
        <f>-E16*D18</f>
        <v>5799.9109110647896</v>
      </c>
    </row>
    <row r="19" spans="1:5" ht="12.75" customHeight="1" x14ac:dyDescent="0.2">
      <c r="A19" s="5">
        <f t="shared" si="0"/>
        <v>8</v>
      </c>
      <c r="B19" s="4"/>
      <c r="C19" s="11"/>
      <c r="D19" s="13"/>
      <c r="E19" s="14"/>
    </row>
    <row r="20" spans="1:5" ht="12.75" customHeight="1" x14ac:dyDescent="0.2">
      <c r="A20" s="5">
        <f t="shared" si="0"/>
        <v>9</v>
      </c>
      <c r="B20" s="4" t="s">
        <v>8</v>
      </c>
      <c r="C20" s="11"/>
      <c r="D20" s="11"/>
      <c r="E20" s="15">
        <f>-E16-E18</f>
        <v>21818.712474958018</v>
      </c>
    </row>
    <row r="21" spans="1:5" ht="12.75" customHeight="1" x14ac:dyDescent="0.2">
      <c r="A21" s="4" t="s">
        <v>9</v>
      </c>
      <c r="B21" s="4"/>
      <c r="C21" s="11"/>
      <c r="D21" s="11"/>
      <c r="E21" s="11"/>
    </row>
  </sheetData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1"/>
  <sheetViews>
    <sheetView zoomScaleNormal="100" workbookViewId="0">
      <selection activeCell="B39" sqref="B39"/>
    </sheetView>
  </sheetViews>
  <sheetFormatPr defaultRowHeight="12.75" customHeight="1" x14ac:dyDescent="0.2"/>
  <cols>
    <col min="1" max="1" width="5.42578125" bestFit="1" customWidth="1"/>
    <col min="2" max="2" width="47" customWidth="1"/>
    <col min="3" max="3" width="11.5703125" customWidth="1"/>
    <col min="4" max="4" width="11.28515625" bestFit="1" customWidth="1"/>
    <col min="5" max="5" width="13.5703125" bestFit="1" customWidth="1"/>
    <col min="7" max="9" width="9.140625" customWidth="1"/>
  </cols>
  <sheetData>
    <row r="1" spans="1:5" ht="12.75" customHeight="1" x14ac:dyDescent="0.2">
      <c r="A1" s="1"/>
      <c r="B1" s="1"/>
      <c r="C1" s="1"/>
      <c r="D1" s="1"/>
      <c r="E1" s="1"/>
    </row>
    <row r="2" spans="1:5" ht="12.75" customHeight="1" x14ac:dyDescent="0.2">
      <c r="A2" s="2"/>
      <c r="B2" s="2"/>
      <c r="C2" s="2"/>
      <c r="D2" s="18"/>
      <c r="E2" s="18"/>
    </row>
    <row r="3" spans="1:5" ht="12.75" customHeight="1" x14ac:dyDescent="0.2">
      <c r="A3" s="3"/>
      <c r="B3" s="3"/>
      <c r="C3" s="3"/>
      <c r="D3" s="3"/>
      <c r="E3" s="3"/>
    </row>
    <row r="4" spans="1:5" ht="12.75" customHeight="1" x14ac:dyDescent="0.2">
      <c r="A4" s="20" t="s">
        <v>14</v>
      </c>
      <c r="B4" s="21"/>
      <c r="C4" s="21"/>
      <c r="D4" s="21"/>
      <c r="E4" s="22"/>
    </row>
    <row r="5" spans="1:5" ht="12.75" customHeight="1" x14ac:dyDescent="0.2">
      <c r="A5" s="21" t="str">
        <f>+' Elec'!A5</f>
        <v>DIRECTORS &amp; OFFICERS INSURANCE</v>
      </c>
      <c r="B5" s="21"/>
      <c r="C5" s="21"/>
      <c r="D5" s="21"/>
      <c r="E5" s="21"/>
    </row>
    <row r="6" spans="1:5" ht="12.75" customHeight="1" x14ac:dyDescent="0.2">
      <c r="A6" s="21" t="str">
        <f>' Elec'!A6</f>
        <v>FOR THE TWELVE MONTHS ENDED DECEMBER 31, 2021</v>
      </c>
      <c r="B6" s="21"/>
      <c r="C6" s="21"/>
      <c r="D6" s="21"/>
      <c r="E6" s="23"/>
    </row>
    <row r="7" spans="1:5" ht="12.75" customHeight="1" x14ac:dyDescent="0.2">
      <c r="A7" s="20" t="str">
        <f>' Elec'!A7</f>
        <v>COMMISSION BASIS REPORT</v>
      </c>
      <c r="B7" s="21"/>
      <c r="C7" s="21"/>
      <c r="D7" s="20"/>
      <c r="E7" s="23"/>
    </row>
    <row r="8" spans="1:5" ht="12.75" customHeight="1" x14ac:dyDescent="0.2">
      <c r="A8" s="24"/>
      <c r="B8" s="25"/>
      <c r="C8" s="25"/>
      <c r="D8" s="24"/>
      <c r="E8" s="24"/>
    </row>
    <row r="9" spans="1:5" ht="12.75" customHeight="1" x14ac:dyDescent="0.2">
      <c r="A9" s="26" t="s">
        <v>0</v>
      </c>
      <c r="B9" s="24"/>
      <c r="C9" s="24"/>
      <c r="D9" s="24"/>
      <c r="E9" s="24"/>
    </row>
    <row r="10" spans="1:5" ht="12.75" customHeight="1" x14ac:dyDescent="0.2">
      <c r="A10" s="27" t="s">
        <v>1</v>
      </c>
      <c r="B10" s="28" t="s">
        <v>2</v>
      </c>
      <c r="C10" s="27" t="s">
        <v>3</v>
      </c>
      <c r="D10" s="27" t="s">
        <v>4</v>
      </c>
      <c r="E10" s="29" t="s">
        <v>5</v>
      </c>
    </row>
    <row r="11" spans="1:5" ht="12.75" customHeight="1" x14ac:dyDescent="0.2">
      <c r="A11" s="30"/>
      <c r="B11" s="30"/>
      <c r="C11" s="30"/>
      <c r="D11" s="30"/>
      <c r="E11" s="30"/>
    </row>
    <row r="12" spans="1:5" ht="12.75" customHeight="1" x14ac:dyDescent="0.2">
      <c r="A12" s="5">
        <v>1</v>
      </c>
      <c r="B12" s="4" t="s">
        <v>6</v>
      </c>
      <c r="C12" s="36">
        <f>'Main wp use for 2021 CBR only'!C6</f>
        <v>88280.14969477155</v>
      </c>
      <c r="D12" s="6">
        <f>'Main wp use for 2021 CBR only'!D6</f>
        <v>68427.780667554747</v>
      </c>
      <c r="E12" s="6">
        <f>+D12-C12</f>
        <v>-19852.369027216802</v>
      </c>
    </row>
    <row r="13" spans="1:5" ht="12.75" customHeight="1" x14ac:dyDescent="0.2">
      <c r="A13" s="5">
        <f t="shared" ref="A13:A20" si="0">A12+1</f>
        <v>2</v>
      </c>
      <c r="B13" s="4"/>
      <c r="C13" s="7"/>
      <c r="D13" s="7"/>
      <c r="E13" s="8"/>
    </row>
    <row r="14" spans="1:5" ht="12.75" customHeight="1" x14ac:dyDescent="0.2">
      <c r="A14" s="5">
        <f>A13+1</f>
        <v>3</v>
      </c>
      <c r="B14" s="4" t="s">
        <v>11</v>
      </c>
      <c r="C14" s="9">
        <f>SUM(C12:C13)</f>
        <v>88280.14969477155</v>
      </c>
      <c r="D14" s="9">
        <f>SUM(D12:D13)</f>
        <v>68427.780667554747</v>
      </c>
      <c r="E14" s="10">
        <f>SUM(E12:E13)</f>
        <v>-19852.369027216802</v>
      </c>
    </row>
    <row r="15" spans="1:5" ht="12.75" customHeight="1" x14ac:dyDescent="0.2">
      <c r="A15" s="5">
        <f t="shared" si="0"/>
        <v>4</v>
      </c>
      <c r="B15" s="4"/>
      <c r="C15" s="11"/>
      <c r="D15" s="11"/>
      <c r="E15" s="11"/>
    </row>
    <row r="16" spans="1:5" ht="12.75" customHeight="1" x14ac:dyDescent="0.2">
      <c r="A16" s="5">
        <f t="shared" si="0"/>
        <v>5</v>
      </c>
      <c r="B16" s="4" t="s">
        <v>12</v>
      </c>
      <c r="C16" s="11"/>
      <c r="D16" s="11"/>
      <c r="E16" s="12">
        <f>E14</f>
        <v>-19852.369027216802</v>
      </c>
    </row>
    <row r="17" spans="1:5" ht="12.75" customHeight="1" x14ac:dyDescent="0.2">
      <c r="A17" s="5">
        <f t="shared" si="0"/>
        <v>6</v>
      </c>
      <c r="B17" s="4"/>
      <c r="C17" s="11"/>
      <c r="D17" s="11"/>
      <c r="E17" s="12"/>
    </row>
    <row r="18" spans="1:5" ht="12.75" customHeight="1" x14ac:dyDescent="0.2">
      <c r="A18" s="5">
        <f t="shared" si="0"/>
        <v>7</v>
      </c>
      <c r="B18" s="4" t="s">
        <v>7</v>
      </c>
      <c r="C18" s="11"/>
      <c r="D18" s="54">
        <v>0.21</v>
      </c>
      <c r="E18" s="16">
        <f>-E16*D18</f>
        <v>4168.9974957155282</v>
      </c>
    </row>
    <row r="19" spans="1:5" ht="12.75" customHeight="1" x14ac:dyDescent="0.2">
      <c r="A19" s="5">
        <f t="shared" si="0"/>
        <v>8</v>
      </c>
      <c r="B19" s="4"/>
      <c r="C19" s="11"/>
      <c r="D19" s="13"/>
      <c r="E19" s="14"/>
    </row>
    <row r="20" spans="1:5" ht="12.75" customHeight="1" x14ac:dyDescent="0.2">
      <c r="A20" s="5">
        <f t="shared" si="0"/>
        <v>9</v>
      </c>
      <c r="B20" s="4" t="s">
        <v>8</v>
      </c>
      <c r="C20" s="11"/>
      <c r="D20" s="11"/>
      <c r="E20" s="15">
        <f>-E16-E18</f>
        <v>15683.371531501274</v>
      </c>
    </row>
    <row r="21" spans="1:5" ht="12.75" customHeight="1" x14ac:dyDescent="0.2">
      <c r="A21" s="4" t="s">
        <v>9</v>
      </c>
      <c r="B21" s="4"/>
      <c r="C21" s="11"/>
      <c r="D21" s="11"/>
      <c r="E21" s="11"/>
    </row>
  </sheetData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workbookViewId="0">
      <selection activeCell="B39" sqref="B39"/>
    </sheetView>
  </sheetViews>
  <sheetFormatPr defaultColWidth="8.85546875" defaultRowHeight="12.75" x14ac:dyDescent="0.2"/>
  <cols>
    <col min="1" max="1" width="14.140625" bestFit="1" customWidth="1"/>
    <col min="2" max="2" width="10.7109375" bestFit="1" customWidth="1"/>
    <col min="3" max="3" width="10.28515625" bestFit="1" customWidth="1"/>
    <col min="4" max="4" width="10" bestFit="1" customWidth="1"/>
    <col min="5" max="5" width="11.85546875" customWidth="1"/>
    <col min="6" max="6" width="11.42578125" customWidth="1"/>
    <col min="7" max="13" width="9" bestFit="1" customWidth="1"/>
    <col min="14" max="14" width="13.42578125" bestFit="1" customWidth="1"/>
    <col min="15" max="15" width="17" customWidth="1"/>
    <col min="16" max="16" width="20.5703125" bestFit="1" customWidth="1"/>
    <col min="17" max="17" width="15.28515625" bestFit="1" customWidth="1"/>
    <col min="18" max="18" width="9.7109375" bestFit="1" customWidth="1"/>
    <col min="20" max="20" width="14.7109375" bestFit="1" customWidth="1"/>
    <col min="26" max="26" width="10.42578125" bestFit="1" customWidth="1"/>
    <col min="27" max="27" width="9.42578125" bestFit="1" customWidth="1"/>
    <col min="28" max="28" width="10.28515625" bestFit="1" customWidth="1"/>
  </cols>
  <sheetData>
    <row r="1" spans="1:28" ht="15" x14ac:dyDescent="0.25">
      <c r="A1" s="63"/>
      <c r="B1" s="63"/>
      <c r="C1" s="55"/>
      <c r="D1" s="63"/>
      <c r="E1" s="63"/>
      <c r="F1" s="63"/>
      <c r="G1" s="63"/>
      <c r="H1" s="63"/>
      <c r="I1" s="63"/>
      <c r="J1" s="63"/>
      <c r="K1" s="63"/>
      <c r="L1" s="63"/>
      <c r="M1" s="56" t="s">
        <v>77</v>
      </c>
      <c r="N1" s="72"/>
      <c r="O1" s="63"/>
      <c r="P1" s="63"/>
      <c r="Q1" s="63"/>
      <c r="R1" s="32"/>
      <c r="S1" s="32"/>
    </row>
    <row r="2" spans="1:28" ht="15" x14ac:dyDescent="0.25">
      <c r="A2" s="63"/>
      <c r="B2" s="63"/>
      <c r="C2" s="55"/>
      <c r="D2" s="63"/>
      <c r="E2" s="63"/>
      <c r="F2" s="63"/>
      <c r="G2" s="63"/>
      <c r="H2" s="63"/>
      <c r="I2" s="63"/>
      <c r="J2" s="63"/>
      <c r="K2" s="63"/>
      <c r="L2" s="63"/>
      <c r="M2" s="101"/>
      <c r="N2" s="63"/>
      <c r="O2" s="56" t="s">
        <v>80</v>
      </c>
      <c r="P2" s="63"/>
      <c r="Q2" s="63"/>
      <c r="R2" s="32"/>
      <c r="S2" s="32"/>
    </row>
    <row r="3" spans="1:28" ht="15" x14ac:dyDescent="0.25">
      <c r="A3" s="56" t="s">
        <v>35</v>
      </c>
      <c r="B3" s="63"/>
      <c r="C3" s="63"/>
      <c r="D3" s="63"/>
      <c r="E3" s="56" t="s">
        <v>5</v>
      </c>
      <c r="F3" s="63"/>
      <c r="G3" s="63"/>
      <c r="H3" s="63"/>
      <c r="I3" s="63"/>
      <c r="J3" s="63"/>
      <c r="K3" s="63"/>
      <c r="L3" s="63"/>
      <c r="M3" s="63"/>
      <c r="N3" s="63"/>
      <c r="O3" s="56" t="s">
        <v>81</v>
      </c>
      <c r="P3" s="63"/>
      <c r="Q3" s="63"/>
      <c r="R3" s="32"/>
      <c r="S3" s="32"/>
    </row>
    <row r="4" spans="1:28" ht="15" x14ac:dyDescent="0.25">
      <c r="A4" s="56" t="s">
        <v>76</v>
      </c>
      <c r="B4" s="63"/>
      <c r="C4" s="73" t="s">
        <v>36</v>
      </c>
      <c r="D4" s="73" t="s">
        <v>4</v>
      </c>
      <c r="E4" s="73" t="s">
        <v>37</v>
      </c>
      <c r="F4" s="63"/>
      <c r="G4" s="63"/>
      <c r="H4" s="63"/>
      <c r="I4" s="63"/>
      <c r="J4" s="63"/>
      <c r="K4" s="63"/>
      <c r="L4" s="63"/>
      <c r="M4" s="63"/>
      <c r="N4" s="73" t="s">
        <v>36</v>
      </c>
      <c r="O4" s="73" t="s">
        <v>79</v>
      </c>
      <c r="P4" s="63"/>
      <c r="Q4" s="63"/>
      <c r="R4" s="32"/>
      <c r="S4" s="32"/>
    </row>
    <row r="5" spans="1:28" ht="15" x14ac:dyDescent="0.25">
      <c r="A5" s="55">
        <f>+[2]Lead!$E$9</f>
        <v>0.58179999999999998</v>
      </c>
      <c r="B5" s="63" t="s">
        <v>38</v>
      </c>
      <c r="C5" s="57">
        <f>N13*L5*A5</f>
        <v>122815.37803065062</v>
      </c>
      <c r="D5" s="57">
        <f>O18*L5*A5</f>
        <v>95196.754644627814</v>
      </c>
      <c r="E5" s="57">
        <f>D5-C5</f>
        <v>-27618.623386022809</v>
      </c>
      <c r="F5" s="63"/>
      <c r="G5" s="63"/>
      <c r="H5" s="63"/>
      <c r="I5" s="63"/>
      <c r="J5" s="63"/>
      <c r="K5" s="63"/>
      <c r="L5" s="102">
        <f>+[2]Lead!$G$43</f>
        <v>0.48238392496676075</v>
      </c>
      <c r="M5" s="63" t="s">
        <v>39</v>
      </c>
      <c r="N5" s="99">
        <f>$N$13*L5</f>
        <v>211095.52772542217</v>
      </c>
      <c r="O5" s="57">
        <f>O7*L5</f>
        <v>163624.53531218256</v>
      </c>
      <c r="P5" s="63"/>
      <c r="Q5" s="63"/>
      <c r="R5" s="32"/>
      <c r="S5" s="32"/>
      <c r="Z5" t="s">
        <v>3</v>
      </c>
    </row>
    <row r="6" spans="1:28" ht="15" x14ac:dyDescent="0.25">
      <c r="A6" s="55">
        <f>+[2]Lead!$F$9</f>
        <v>0.41820000000000002</v>
      </c>
      <c r="B6" s="63" t="s">
        <v>40</v>
      </c>
      <c r="C6" s="58">
        <f>N13*L5*A6</f>
        <v>88280.14969477155</v>
      </c>
      <c r="D6" s="58">
        <f>O18*L5*A6</f>
        <v>68427.780667554747</v>
      </c>
      <c r="E6" s="58">
        <f>D6-C6</f>
        <v>-19852.369027216802</v>
      </c>
      <c r="F6" s="63"/>
      <c r="G6" s="63"/>
      <c r="H6" s="63"/>
      <c r="I6" s="63"/>
      <c r="J6" s="63"/>
      <c r="K6" s="63"/>
      <c r="L6" s="102">
        <f>+[2]Lead!$G$45</f>
        <v>0.51551790268663533</v>
      </c>
      <c r="M6" s="63" t="s">
        <v>41</v>
      </c>
      <c r="N6" s="58">
        <f>$N$13*L6</f>
        <v>225595.25325607965</v>
      </c>
      <c r="O6" s="58">
        <f>O7-O5</f>
        <v>175575.27389260655</v>
      </c>
      <c r="P6" s="63"/>
      <c r="Q6" s="63"/>
      <c r="R6" s="32"/>
      <c r="S6" s="32"/>
    </row>
    <row r="7" spans="1:28" ht="15.75" thickBot="1" x14ac:dyDescent="0.3">
      <c r="A7" s="63"/>
      <c r="B7" s="98" t="s">
        <v>33</v>
      </c>
      <c r="C7" s="100">
        <f>SUM(C5:C6)</f>
        <v>211095.52772542217</v>
      </c>
      <c r="D7" s="59">
        <f t="shared" ref="D7" si="0">SUM(D5:D6)</f>
        <v>163624.53531218256</v>
      </c>
      <c r="E7" s="59">
        <f>SUM(E5:E6)</f>
        <v>-47470.992413239612</v>
      </c>
      <c r="F7" s="63"/>
      <c r="G7" s="63"/>
      <c r="H7" s="63"/>
      <c r="I7" s="63"/>
      <c r="J7" s="63"/>
      <c r="K7" s="63"/>
      <c r="L7" s="98"/>
      <c r="M7" s="63"/>
      <c r="N7" s="59">
        <f>SUM(N5:N6)</f>
        <v>436690.7809815018</v>
      </c>
      <c r="O7" s="100">
        <f>O18</f>
        <v>339199.80920478911</v>
      </c>
      <c r="P7" s="63"/>
      <c r="Q7" s="63"/>
      <c r="R7" s="32"/>
      <c r="S7" s="32"/>
      <c r="Z7" t="s">
        <v>70</v>
      </c>
      <c r="AA7" t="s">
        <v>71</v>
      </c>
      <c r="AB7" t="s">
        <v>46</v>
      </c>
    </row>
    <row r="8" spans="1:28" ht="15.75" thickTop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102">
        <f>+[2]Lead!$G$44</f>
        <v>2.0981723466039384E-3</v>
      </c>
      <c r="M8" s="63" t="s">
        <v>83</v>
      </c>
      <c r="N8" s="96">
        <f>$N$13*L8</f>
        <v>918.1790184981088</v>
      </c>
      <c r="O8" s="58">
        <f>+N19</f>
        <v>98409.150795210939</v>
      </c>
      <c r="P8" s="63"/>
      <c r="Q8" s="63"/>
      <c r="R8" s="32"/>
      <c r="S8" s="32"/>
      <c r="Y8" s="95">
        <v>80751</v>
      </c>
      <c r="Z8" s="74">
        <v>25453.91</v>
      </c>
      <c r="AA8" s="74">
        <v>2093.61</v>
      </c>
      <c r="AB8" s="74">
        <v>27547.52</v>
      </c>
    </row>
    <row r="9" spans="1:28" ht="15.75" thickBot="1" x14ac:dyDescent="0.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72">
        <f>SUM(L5:L8)</f>
        <v>1</v>
      </c>
      <c r="M9" s="63"/>
      <c r="N9" s="100">
        <f>SUM(N7:N8)</f>
        <v>437608.9599999999</v>
      </c>
      <c r="O9" s="100">
        <f>SUM(O7:O8)</f>
        <v>437608.96000000008</v>
      </c>
      <c r="P9" s="63"/>
      <c r="Q9" s="63"/>
      <c r="R9" s="32"/>
      <c r="S9" s="32"/>
      <c r="Y9" s="95">
        <v>80779</v>
      </c>
      <c r="Z9" s="74">
        <v>25453.91</v>
      </c>
      <c r="AA9" s="74">
        <v>2093.61</v>
      </c>
      <c r="AB9" s="74">
        <v>27547.52</v>
      </c>
    </row>
    <row r="10" spans="1:28" ht="16.5" thickTop="1" thickBot="1" x14ac:dyDescent="0.3">
      <c r="A10" s="63"/>
      <c r="B10" s="60" t="s">
        <v>72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32"/>
      <c r="S10" s="32"/>
      <c r="Y10" s="95">
        <v>80810</v>
      </c>
      <c r="Z10" s="74">
        <v>25453.91</v>
      </c>
      <c r="AA10" s="74">
        <v>2093.61</v>
      </c>
      <c r="AB10" s="74">
        <v>27547.52</v>
      </c>
    </row>
    <row r="11" spans="1:28" ht="15.75" thickBot="1" x14ac:dyDescent="0.3">
      <c r="A11" s="62"/>
      <c r="B11" s="61">
        <v>80751</v>
      </c>
      <c r="C11" s="61" t="s">
        <v>89</v>
      </c>
      <c r="D11" s="61">
        <v>80810</v>
      </c>
      <c r="E11" s="61">
        <v>80840</v>
      </c>
      <c r="F11" s="61">
        <v>80871</v>
      </c>
      <c r="G11" s="61">
        <v>80901</v>
      </c>
      <c r="H11" s="61">
        <v>80932</v>
      </c>
      <c r="I11" s="61">
        <v>80963</v>
      </c>
      <c r="J11" s="61">
        <v>80993</v>
      </c>
      <c r="K11" s="61">
        <v>81024</v>
      </c>
      <c r="L11" s="61">
        <v>81054</v>
      </c>
      <c r="M11" s="61">
        <v>81085</v>
      </c>
      <c r="N11" s="97" t="s">
        <v>90</v>
      </c>
      <c r="O11" s="62" t="s">
        <v>42</v>
      </c>
      <c r="P11" s="62"/>
      <c r="Q11" s="63"/>
      <c r="R11" s="32"/>
      <c r="S11" s="32"/>
      <c r="Y11" s="95">
        <v>80840</v>
      </c>
      <c r="Z11" s="74">
        <v>25453.91</v>
      </c>
      <c r="AA11" s="74">
        <v>2093.61</v>
      </c>
      <c r="AB11" s="74">
        <v>27547.52</v>
      </c>
    </row>
    <row r="12" spans="1:28" ht="15" x14ac:dyDescent="0.25">
      <c r="A12" s="63" t="s">
        <v>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32"/>
      <c r="S12" s="32"/>
      <c r="Y12" s="95">
        <v>80871</v>
      </c>
      <c r="Z12" s="74">
        <v>37816.879999999997</v>
      </c>
      <c r="AA12" s="74">
        <v>3110.48</v>
      </c>
      <c r="AB12" s="74">
        <v>40927.360000000001</v>
      </c>
    </row>
    <row r="13" spans="1:28" ht="15" x14ac:dyDescent="0.25">
      <c r="A13" s="63" t="s">
        <v>70</v>
      </c>
      <c r="B13" s="57">
        <v>27547.52</v>
      </c>
      <c r="C13" s="57">
        <f>+B13</f>
        <v>27547.52</v>
      </c>
      <c r="D13" s="57">
        <f t="shared" ref="D13:M14" si="1">+C13</f>
        <v>27547.52</v>
      </c>
      <c r="E13" s="64">
        <f t="shared" si="1"/>
        <v>27547.52</v>
      </c>
      <c r="F13" s="57">
        <v>40927.360000000001</v>
      </c>
      <c r="G13" s="57">
        <f t="shared" si="1"/>
        <v>40927.360000000001</v>
      </c>
      <c r="H13" s="57">
        <f t="shared" si="1"/>
        <v>40927.360000000001</v>
      </c>
      <c r="I13" s="57">
        <f t="shared" si="1"/>
        <v>40927.360000000001</v>
      </c>
      <c r="J13" s="57">
        <f t="shared" si="1"/>
        <v>40927.360000000001</v>
      </c>
      <c r="K13" s="57">
        <f t="shared" si="1"/>
        <v>40927.360000000001</v>
      </c>
      <c r="L13" s="57">
        <f t="shared" si="1"/>
        <v>40927.360000000001</v>
      </c>
      <c r="M13" s="57">
        <f t="shared" si="1"/>
        <v>40927.360000000001</v>
      </c>
      <c r="N13" s="99">
        <f>SUM(B13:M13)</f>
        <v>437608.9599999999</v>
      </c>
      <c r="O13" s="65" t="s">
        <v>43</v>
      </c>
      <c r="P13" s="65" t="s">
        <v>5</v>
      </c>
      <c r="Q13" s="63"/>
      <c r="S13" s="32"/>
      <c r="T13" s="94"/>
      <c r="Y13" s="95">
        <v>80901</v>
      </c>
      <c r="Z13" s="74">
        <v>37816.879999999997</v>
      </c>
      <c r="AA13" s="74">
        <v>3110.48</v>
      </c>
      <c r="AB13" s="74">
        <v>40927.360000000001</v>
      </c>
    </row>
    <row r="14" spans="1:28" ht="15" x14ac:dyDescent="0.25">
      <c r="A14" s="63" t="s">
        <v>71</v>
      </c>
      <c r="B14" s="58"/>
      <c r="C14" s="58">
        <f>+B14</f>
        <v>0</v>
      </c>
      <c r="D14" s="58">
        <f t="shared" si="1"/>
        <v>0</v>
      </c>
      <c r="E14" s="66">
        <f t="shared" si="1"/>
        <v>0</v>
      </c>
      <c r="F14" s="58"/>
      <c r="G14" s="58">
        <f t="shared" si="1"/>
        <v>0</v>
      </c>
      <c r="H14" s="58">
        <f t="shared" si="1"/>
        <v>0</v>
      </c>
      <c r="I14" s="58">
        <f t="shared" si="1"/>
        <v>0</v>
      </c>
      <c r="J14" s="58">
        <f t="shared" si="1"/>
        <v>0</v>
      </c>
      <c r="K14" s="58">
        <f t="shared" si="1"/>
        <v>0</v>
      </c>
      <c r="L14" s="58">
        <f t="shared" si="1"/>
        <v>0</v>
      </c>
      <c r="M14" s="58">
        <f t="shared" si="1"/>
        <v>0</v>
      </c>
      <c r="N14" s="58">
        <f>SUM(B14:M14)</f>
        <v>0</v>
      </c>
      <c r="O14" s="67" t="s">
        <v>44</v>
      </c>
      <c r="P14" s="67" t="s">
        <v>45</v>
      </c>
      <c r="Q14" s="63"/>
      <c r="R14" s="32"/>
      <c r="S14" s="32"/>
      <c r="Y14" s="95">
        <v>80932</v>
      </c>
      <c r="Z14" s="74">
        <v>37816.879999999997</v>
      </c>
      <c r="AA14" s="74">
        <v>3110.48</v>
      </c>
      <c r="AB14" s="74">
        <v>40927.360000000001</v>
      </c>
    </row>
    <row r="15" spans="1:28" ht="15.75" thickBot="1" x14ac:dyDescent="0.3">
      <c r="A15" s="63" t="s">
        <v>46</v>
      </c>
      <c r="B15" s="59">
        <f>SUM(B13:B14)</f>
        <v>27547.52</v>
      </c>
      <c r="C15" s="59">
        <f t="shared" ref="C15:M15" si="2">SUM(C13:C14)</f>
        <v>27547.52</v>
      </c>
      <c r="D15" s="59">
        <f t="shared" si="2"/>
        <v>27547.52</v>
      </c>
      <c r="E15" s="68">
        <f t="shared" si="2"/>
        <v>27547.52</v>
      </c>
      <c r="F15" s="59">
        <f t="shared" si="2"/>
        <v>40927.360000000001</v>
      </c>
      <c r="G15" s="59">
        <f t="shared" si="2"/>
        <v>40927.360000000001</v>
      </c>
      <c r="H15" s="59">
        <f t="shared" si="2"/>
        <v>40927.360000000001</v>
      </c>
      <c r="I15" s="59">
        <f t="shared" si="2"/>
        <v>40927.360000000001</v>
      </c>
      <c r="J15" s="59">
        <f t="shared" si="2"/>
        <v>40927.360000000001</v>
      </c>
      <c r="K15" s="59">
        <f t="shared" si="2"/>
        <v>40927.360000000001</v>
      </c>
      <c r="L15" s="59">
        <f t="shared" si="2"/>
        <v>40927.360000000001</v>
      </c>
      <c r="M15" s="59">
        <f t="shared" si="2"/>
        <v>40927.360000000001</v>
      </c>
      <c r="N15" s="59">
        <f>SUM(N13:N14)</f>
        <v>437608.9599999999</v>
      </c>
      <c r="O15" s="69" t="s">
        <v>42</v>
      </c>
      <c r="P15" s="69" t="s">
        <v>42</v>
      </c>
      <c r="Q15" s="63"/>
      <c r="R15" s="32"/>
      <c r="S15" s="32"/>
      <c r="Y15" s="95">
        <v>80963</v>
      </c>
      <c r="Z15" s="74">
        <v>37816.879999999997</v>
      </c>
      <c r="AA15" s="74">
        <v>3110.48</v>
      </c>
      <c r="AB15" s="74">
        <v>40927.360000000001</v>
      </c>
    </row>
    <row r="16" spans="1:28" ht="15.75" thickTop="1" x14ac:dyDescent="0.25">
      <c r="A16" s="63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70">
        <v>0</v>
      </c>
      <c r="O16" s="56" t="s">
        <v>47</v>
      </c>
      <c r="P16" s="56" t="s">
        <v>47</v>
      </c>
      <c r="Q16" s="63"/>
      <c r="R16" s="32"/>
      <c r="S16" s="32"/>
      <c r="Y16" s="95">
        <v>80993</v>
      </c>
      <c r="Z16" s="74">
        <v>37816.879999999997</v>
      </c>
      <c r="AA16" s="74">
        <v>3110.48</v>
      </c>
      <c r="AB16" s="74">
        <v>40927.360000000001</v>
      </c>
    </row>
    <row r="17" spans="1:28" ht="15" x14ac:dyDescent="0.25">
      <c r="A17" s="63" t="s">
        <v>78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6" t="s">
        <v>48</v>
      </c>
      <c r="P17" s="56" t="s">
        <v>48</v>
      </c>
      <c r="Q17" s="63"/>
      <c r="R17" s="32"/>
      <c r="S17" s="32"/>
      <c r="Y17" s="95">
        <v>81024</v>
      </c>
      <c r="Z17" s="74">
        <v>37816.879999999997</v>
      </c>
      <c r="AA17" s="74">
        <v>3110.48</v>
      </c>
      <c r="AB17" s="74">
        <v>40927.360000000001</v>
      </c>
    </row>
    <row r="18" spans="1:28" ht="15" x14ac:dyDescent="0.25">
      <c r="A18" s="63" t="s">
        <v>70</v>
      </c>
      <c r="B18" s="57">
        <f>B15*$D$35</f>
        <v>21352.655868986574</v>
      </c>
      <c r="C18" s="57">
        <f t="shared" ref="C18:M18" si="3">C15*$D$35</f>
        <v>21352.655868986574</v>
      </c>
      <c r="D18" s="57">
        <f t="shared" si="3"/>
        <v>21352.655868986574</v>
      </c>
      <c r="E18" s="64">
        <f t="shared" si="3"/>
        <v>21352.655868986574</v>
      </c>
      <c r="F18" s="57">
        <f t="shared" si="3"/>
        <v>31723.648216105346</v>
      </c>
      <c r="G18" s="57">
        <f t="shared" si="3"/>
        <v>31723.648216105346</v>
      </c>
      <c r="H18" s="57">
        <f t="shared" si="3"/>
        <v>31723.648216105346</v>
      </c>
      <c r="I18" s="57">
        <f t="shared" si="3"/>
        <v>31723.648216105346</v>
      </c>
      <c r="J18" s="57">
        <f t="shared" si="3"/>
        <v>31723.648216105346</v>
      </c>
      <c r="K18" s="57">
        <f t="shared" si="3"/>
        <v>31723.648216105346</v>
      </c>
      <c r="L18" s="57">
        <f t="shared" si="3"/>
        <v>31723.648216105346</v>
      </c>
      <c r="M18" s="57">
        <f t="shared" si="3"/>
        <v>31723.648216105346</v>
      </c>
      <c r="N18" s="99">
        <f>SUM(B18:M18)</f>
        <v>339199.80920478911</v>
      </c>
      <c r="O18" s="57">
        <f>N20*D35</f>
        <v>339199.80920478911</v>
      </c>
      <c r="P18" s="57">
        <f>O18-N13</f>
        <v>-98409.150795210793</v>
      </c>
      <c r="Q18" s="71">
        <f>O18/N20</f>
        <v>0.77512080466722855</v>
      </c>
      <c r="R18" s="32"/>
      <c r="S18" s="32"/>
      <c r="Y18" s="95">
        <v>81054</v>
      </c>
      <c r="Z18" s="74">
        <v>37816.879999999997</v>
      </c>
      <c r="AA18" s="74">
        <v>3110.48</v>
      </c>
      <c r="AB18" s="74">
        <v>40927.360000000001</v>
      </c>
    </row>
    <row r="19" spans="1:28" ht="15" x14ac:dyDescent="0.25">
      <c r="A19" s="63" t="s">
        <v>71</v>
      </c>
      <c r="B19" s="58">
        <f>B15*$D$36</f>
        <v>6194.8641310134253</v>
      </c>
      <c r="C19" s="58">
        <f t="shared" ref="C19:M19" si="4">C15*$D$36</f>
        <v>6194.8641310134253</v>
      </c>
      <c r="D19" s="58">
        <f t="shared" si="4"/>
        <v>6194.8641310134253</v>
      </c>
      <c r="E19" s="66">
        <f t="shared" si="4"/>
        <v>6194.8641310134253</v>
      </c>
      <c r="F19" s="58">
        <f t="shared" si="4"/>
        <v>9203.7117838946524</v>
      </c>
      <c r="G19" s="58">
        <f t="shared" si="4"/>
        <v>9203.7117838946524</v>
      </c>
      <c r="H19" s="58">
        <f t="shared" si="4"/>
        <v>9203.7117838946524</v>
      </c>
      <c r="I19" s="58">
        <f t="shared" si="4"/>
        <v>9203.7117838946524</v>
      </c>
      <c r="J19" s="58">
        <f t="shared" si="4"/>
        <v>9203.7117838946524</v>
      </c>
      <c r="K19" s="58">
        <f t="shared" si="4"/>
        <v>9203.7117838946524</v>
      </c>
      <c r="L19" s="58">
        <f t="shared" si="4"/>
        <v>9203.7117838946524</v>
      </c>
      <c r="M19" s="58">
        <f t="shared" si="4"/>
        <v>9203.7117838946524</v>
      </c>
      <c r="N19" s="58">
        <f>SUM(B19:M19)</f>
        <v>98409.150795210939</v>
      </c>
      <c r="O19" s="58">
        <f>N20*D36</f>
        <v>98409.150795210939</v>
      </c>
      <c r="P19" s="58">
        <f>O19-N14</f>
        <v>98409.150795210939</v>
      </c>
      <c r="Q19" s="71">
        <f>O19/N20</f>
        <v>0.22487919533277134</v>
      </c>
      <c r="R19" s="32"/>
      <c r="S19" s="32"/>
      <c r="Y19" s="95">
        <v>81085</v>
      </c>
      <c r="Z19" s="74">
        <v>37816.879999999997</v>
      </c>
      <c r="AA19" s="74">
        <v>3110.48</v>
      </c>
      <c r="AB19" s="74">
        <v>40927.360000000001</v>
      </c>
    </row>
    <row r="20" spans="1:28" ht="15.75" thickBot="1" x14ac:dyDescent="0.3">
      <c r="A20" s="63" t="s">
        <v>46</v>
      </c>
      <c r="B20" s="59">
        <f>SUM(B18:B19)</f>
        <v>27547.52</v>
      </c>
      <c r="C20" s="59">
        <f t="shared" ref="C20:N20" si="5">SUM(C18:C19)</f>
        <v>27547.52</v>
      </c>
      <c r="D20" s="59">
        <f>SUM(D18:D19)</f>
        <v>27547.52</v>
      </c>
      <c r="E20" s="68">
        <f t="shared" si="5"/>
        <v>27547.52</v>
      </c>
      <c r="F20" s="59">
        <f t="shared" si="5"/>
        <v>40927.360000000001</v>
      </c>
      <c r="G20" s="59">
        <f t="shared" si="5"/>
        <v>40927.360000000001</v>
      </c>
      <c r="H20" s="59">
        <f>SUM(H18:H19)</f>
        <v>40927.360000000001</v>
      </c>
      <c r="I20" s="59">
        <f t="shared" si="5"/>
        <v>40927.360000000001</v>
      </c>
      <c r="J20" s="59">
        <f>SUM(J18:J19)</f>
        <v>40927.360000000001</v>
      </c>
      <c r="K20" s="59">
        <f t="shared" si="5"/>
        <v>40927.360000000001</v>
      </c>
      <c r="L20" s="59">
        <f>SUM(L18:L19)</f>
        <v>40927.360000000001</v>
      </c>
      <c r="M20" s="59">
        <f t="shared" si="5"/>
        <v>40927.360000000001</v>
      </c>
      <c r="N20" s="59">
        <f t="shared" si="5"/>
        <v>437608.96000000008</v>
      </c>
      <c r="O20" s="59">
        <f>SUM(O18:O19)</f>
        <v>437608.96000000008</v>
      </c>
      <c r="P20" s="59">
        <f>SUM(P18:P19)</f>
        <v>1.4551915228366852E-10</v>
      </c>
      <c r="Q20" s="63"/>
      <c r="R20" s="32"/>
      <c r="S20" s="32"/>
    </row>
    <row r="21" spans="1:28" ht="15.75" thickTop="1" x14ac:dyDescent="0.25">
      <c r="A21" s="63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70"/>
      <c r="O21" s="63"/>
      <c r="P21" s="63"/>
      <c r="Q21" s="63"/>
      <c r="R21" s="32"/>
      <c r="S21" s="32"/>
    </row>
    <row r="22" spans="1:28" ht="15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32"/>
      <c r="S22" s="32"/>
    </row>
    <row r="23" spans="1:28" ht="15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32"/>
      <c r="S23" s="32"/>
    </row>
    <row r="24" spans="1:28" ht="15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32"/>
      <c r="S24" s="32"/>
    </row>
    <row r="25" spans="1:28" ht="15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32"/>
      <c r="S25" s="32"/>
    </row>
    <row r="26" spans="1:28" ht="1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32"/>
      <c r="S26" s="32"/>
    </row>
    <row r="27" spans="1:28" ht="15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32"/>
      <c r="S27" s="32"/>
    </row>
    <row r="28" spans="1:28" ht="15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32"/>
      <c r="S28" s="32"/>
    </row>
    <row r="29" spans="1:28" ht="15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32"/>
      <c r="S29" s="32"/>
    </row>
    <row r="30" spans="1:28" ht="15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32"/>
      <c r="S30" s="32"/>
    </row>
    <row r="31" spans="1:28" ht="15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32"/>
      <c r="S31" s="32"/>
    </row>
    <row r="32" spans="1:28" ht="15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32"/>
      <c r="S32" s="32"/>
    </row>
    <row r="33" spans="1:19" ht="15" x14ac:dyDescent="0.25">
      <c r="A33" s="63"/>
      <c r="B33" s="103" t="s">
        <v>49</v>
      </c>
      <c r="C33" s="103" t="s">
        <v>50</v>
      </c>
      <c r="D33" s="103" t="s">
        <v>51</v>
      </c>
      <c r="E33" s="103" t="s">
        <v>52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32"/>
      <c r="S33" s="32"/>
    </row>
    <row r="34" spans="1:19" ht="15" x14ac:dyDescent="0.25">
      <c r="A34" s="63"/>
      <c r="B34" s="73" t="s">
        <v>54</v>
      </c>
      <c r="C34" s="73" t="s">
        <v>55</v>
      </c>
      <c r="D34" s="73" t="s">
        <v>56</v>
      </c>
      <c r="E34" s="73" t="s">
        <v>42</v>
      </c>
      <c r="F34" s="73" t="s">
        <v>5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32"/>
      <c r="S34" s="32"/>
    </row>
    <row r="35" spans="1:19" ht="15" x14ac:dyDescent="0.25">
      <c r="A35" s="63" t="s">
        <v>57</v>
      </c>
      <c r="B35" s="104">
        <f>'CE Allocation'!D7</f>
        <v>0.95024160588052464</v>
      </c>
      <c r="C35" s="104">
        <f>'Director''s Fees'!O8</f>
        <v>0.60000000345393267</v>
      </c>
      <c r="D35" s="104">
        <f>AVERAGE(B35:C35)</f>
        <v>0.77512080466722866</v>
      </c>
      <c r="E35" s="104">
        <f>N13/N15</f>
        <v>1</v>
      </c>
      <c r="F35" s="104">
        <f>D35-E35</f>
        <v>-0.22487919533277134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32"/>
      <c r="S35" s="32"/>
    </row>
    <row r="36" spans="1:19" ht="15" x14ac:dyDescent="0.25">
      <c r="A36" s="63" t="s">
        <v>58</v>
      </c>
      <c r="B36" s="104">
        <f>'CE Allocation'!E7</f>
        <v>4.9758394119475344E-2</v>
      </c>
      <c r="C36" s="104">
        <f>SUM('Director''s Fees'!O10:O17)</f>
        <v>0.39999999654606733</v>
      </c>
      <c r="D36" s="104">
        <f>AVERAGE(B36:C36)</f>
        <v>0.22487919533277134</v>
      </c>
      <c r="E36" s="104">
        <f>N14/N15</f>
        <v>0</v>
      </c>
      <c r="F36" s="104">
        <f>D36-E36</f>
        <v>0.22487919533277134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32"/>
      <c r="S36" s="32"/>
    </row>
    <row r="37" spans="1:19" ht="15.75" thickBot="1" x14ac:dyDescent="0.3">
      <c r="A37" s="63" t="s">
        <v>53</v>
      </c>
      <c r="B37" s="105">
        <f>SUM(B35:B36)</f>
        <v>1</v>
      </c>
      <c r="C37" s="105">
        <f>SUM(C35:C36)</f>
        <v>1</v>
      </c>
      <c r="D37" s="105">
        <f>SUM(D35:D36)</f>
        <v>1</v>
      </c>
      <c r="E37" s="105">
        <f>SUM(E35:E36)</f>
        <v>1</v>
      </c>
      <c r="F37" s="105">
        <f>SUM(F35:F36)</f>
        <v>0</v>
      </c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32"/>
      <c r="S37" s="32"/>
    </row>
    <row r="38" spans="1:19" ht="15.75" thickTop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 t="s">
        <v>74</v>
      </c>
      <c r="K38" s="35"/>
      <c r="L38" s="35"/>
      <c r="M38" s="35"/>
      <c r="N38" s="35"/>
      <c r="O38" s="35"/>
      <c r="P38" s="35"/>
      <c r="Q38" s="35"/>
      <c r="R38" s="32"/>
      <c r="S38" s="32"/>
    </row>
    <row r="39" spans="1:19" ht="15" x14ac:dyDescent="0.25">
      <c r="A39" s="3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2"/>
      <c r="R39" s="32"/>
      <c r="S39" s="32"/>
    </row>
    <row r="40" spans="1:19" ht="15" x14ac:dyDescent="0.25">
      <c r="A40" s="3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2"/>
      <c r="R40" s="32"/>
      <c r="S40" s="32"/>
    </row>
    <row r="41" spans="1:19" ht="15" x14ac:dyDescent="0.25">
      <c r="A41" s="3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2"/>
      <c r="R41" s="32"/>
      <c r="S41" s="32"/>
    </row>
    <row r="42" spans="1:19" ht="15" x14ac:dyDescent="0.25">
      <c r="A42" s="3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2"/>
      <c r="R42" s="32"/>
      <c r="S42" s="32"/>
    </row>
    <row r="43" spans="1:19" ht="15" x14ac:dyDescent="0.25">
      <c r="A43" s="3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2"/>
      <c r="R43" s="32"/>
      <c r="S43" s="32"/>
    </row>
    <row r="44" spans="1:19" ht="15" x14ac:dyDescent="0.25">
      <c r="A44" s="32"/>
      <c r="B44" s="35"/>
      <c r="C44" s="35"/>
      <c r="D44" s="35"/>
      <c r="E44" s="35"/>
      <c r="F44" s="35" t="s">
        <v>73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2"/>
      <c r="R44" s="32"/>
      <c r="S44" s="32"/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39" sqref="B39"/>
    </sheetView>
  </sheetViews>
  <sheetFormatPr defaultColWidth="8.85546875" defaultRowHeight="12.75" customHeight="1" x14ac:dyDescent="0.2"/>
  <cols>
    <col min="1" max="1" width="15.85546875" bestFit="1" customWidth="1"/>
    <col min="2" max="2" width="13.28515625" bestFit="1" customWidth="1"/>
    <col min="3" max="4" width="14" bestFit="1" customWidth="1"/>
    <col min="5" max="5" width="13.28515625" bestFit="1" customWidth="1"/>
    <col min="6" max="6" width="14" bestFit="1" customWidth="1"/>
    <col min="7" max="7" width="4.42578125" bestFit="1" customWidth="1"/>
    <col min="8" max="12" width="8.85546875" customWidth="1"/>
  </cols>
  <sheetData>
    <row r="1" spans="1:8" ht="15" x14ac:dyDescent="0.25">
      <c r="A1" s="33" t="s">
        <v>31</v>
      </c>
      <c r="B1" s="34"/>
      <c r="C1" s="34"/>
      <c r="D1" s="34"/>
      <c r="E1" s="34"/>
      <c r="F1" s="34"/>
      <c r="G1" s="32"/>
    </row>
    <row r="2" spans="1:8" ht="15" x14ac:dyDescent="0.25">
      <c r="A2" s="98" t="s">
        <v>92</v>
      </c>
      <c r="G2" s="32"/>
    </row>
    <row r="3" spans="1:8" ht="15" x14ac:dyDescent="0.25">
      <c r="A3" s="32"/>
      <c r="B3" s="38" t="s">
        <v>63</v>
      </c>
      <c r="C3" s="38" t="s">
        <v>64</v>
      </c>
      <c r="D3" s="38" t="s">
        <v>65</v>
      </c>
      <c r="E3" s="38" t="s">
        <v>66</v>
      </c>
      <c r="F3" s="38" t="s">
        <v>67</v>
      </c>
      <c r="G3" s="32"/>
    </row>
    <row r="4" spans="1:8" ht="15" x14ac:dyDescent="0.25">
      <c r="A4" s="32"/>
      <c r="B4" s="37" t="s">
        <v>32</v>
      </c>
      <c r="C4" s="37" t="s">
        <v>33</v>
      </c>
      <c r="D4" s="37" t="s">
        <v>34</v>
      </c>
      <c r="E4" s="37" t="s">
        <v>25</v>
      </c>
      <c r="F4" s="37" t="s">
        <v>10</v>
      </c>
      <c r="G4" s="34"/>
    </row>
    <row r="5" spans="1:8" ht="22.5" x14ac:dyDescent="0.25">
      <c r="A5" s="32" t="s">
        <v>61</v>
      </c>
      <c r="B5" s="39" t="s">
        <v>60</v>
      </c>
      <c r="C5" s="39" t="s">
        <v>62</v>
      </c>
      <c r="D5" s="40" t="s">
        <v>68</v>
      </c>
      <c r="E5" s="39" t="s">
        <v>28</v>
      </c>
      <c r="F5" s="40" t="s">
        <v>69</v>
      </c>
      <c r="G5" s="34"/>
    </row>
    <row r="6" spans="1:8" ht="15" x14ac:dyDescent="0.25">
      <c r="A6" s="32" t="s">
        <v>30</v>
      </c>
      <c r="B6" s="51">
        <v>3450937.0793000008</v>
      </c>
      <c r="C6" s="84">
        <v>26140493.7995</v>
      </c>
      <c r="D6" s="51">
        <f>SUM(B6:C6)</f>
        <v>29591430.878800001</v>
      </c>
      <c r="E6" s="51">
        <v>1549523.9011999997</v>
      </c>
      <c r="F6" s="51">
        <f>D6+E6</f>
        <v>31140954.780000001</v>
      </c>
      <c r="G6" s="85">
        <v>0</v>
      </c>
      <c r="H6" s="53" t="s">
        <v>82</v>
      </c>
    </row>
    <row r="7" spans="1:8" ht="15" x14ac:dyDescent="0.25">
      <c r="A7" s="32" t="s">
        <v>17</v>
      </c>
      <c r="B7" s="52">
        <f>B6/$F$6</f>
        <v>0.11081667545775874</v>
      </c>
      <c r="C7" s="52">
        <f>C6/$F$6</f>
        <v>0.83942493042276589</v>
      </c>
      <c r="D7" s="52">
        <f>SUM(B7:C7)</f>
        <v>0.95024160588052464</v>
      </c>
      <c r="E7" s="52">
        <f>E6/$F$6</f>
        <v>4.9758394119475344E-2</v>
      </c>
      <c r="F7" s="52">
        <f>F6/$F$6</f>
        <v>1</v>
      </c>
    </row>
    <row r="8" spans="1:8" ht="15" x14ac:dyDescent="0.25">
      <c r="A8" s="32"/>
      <c r="B8" s="34"/>
      <c r="C8" s="34"/>
      <c r="D8" s="34"/>
      <c r="E8" s="34"/>
      <c r="F8" s="34"/>
    </row>
    <row r="9" spans="1:8" ht="15" x14ac:dyDescent="0.25">
      <c r="A9" s="32"/>
      <c r="B9" s="34"/>
      <c r="C9" s="34"/>
      <c r="D9" s="34"/>
      <c r="E9" s="34"/>
      <c r="F9" s="34"/>
      <c r="G9" s="34"/>
    </row>
    <row r="10" spans="1:8" ht="15" x14ac:dyDescent="0.25">
      <c r="G10" s="34"/>
    </row>
    <row r="21" spans="1:7" ht="15" x14ac:dyDescent="0.25">
      <c r="A21" s="32"/>
      <c r="B21" s="32"/>
      <c r="C21" s="32"/>
      <c r="D21" s="34"/>
      <c r="E21" s="34"/>
      <c r="F21" s="34"/>
    </row>
    <row r="22" spans="1:7" ht="15" x14ac:dyDescent="0.25">
      <c r="A22" s="32"/>
      <c r="B22" s="32"/>
      <c r="C22" s="32"/>
      <c r="D22" s="32"/>
      <c r="E22" s="32"/>
      <c r="F22" s="32"/>
      <c r="G22" s="34"/>
    </row>
    <row r="23" spans="1:7" ht="15" x14ac:dyDescent="0.25">
      <c r="A23" s="32"/>
      <c r="B23" s="32"/>
      <c r="C23" s="32"/>
      <c r="D23" s="32"/>
      <c r="E23" s="32"/>
      <c r="F23" s="32"/>
      <c r="G23" s="32"/>
    </row>
    <row r="24" spans="1:7" ht="15" x14ac:dyDescent="0.25">
      <c r="A24" s="32"/>
      <c r="B24" s="32"/>
      <c r="C24" s="32"/>
      <c r="D24" s="32"/>
      <c r="E24" s="32"/>
      <c r="F24" s="32"/>
      <c r="G24" s="32"/>
    </row>
    <row r="25" spans="1:7" ht="15" x14ac:dyDescent="0.25">
      <c r="A25" s="32"/>
      <c r="B25" s="32"/>
      <c r="C25" s="32"/>
      <c r="D25" s="32"/>
      <c r="E25" s="32"/>
      <c r="F25" s="32"/>
      <c r="G25" s="32"/>
    </row>
    <row r="26" spans="1:7" ht="15" x14ac:dyDescent="0.25">
      <c r="A26" s="32"/>
      <c r="B26" s="32"/>
      <c r="C26" s="32"/>
      <c r="D26" s="32"/>
      <c r="E26" s="32"/>
      <c r="F26" s="32"/>
      <c r="G26" s="32"/>
    </row>
    <row r="27" spans="1:7" ht="15" x14ac:dyDescent="0.25">
      <c r="A27" s="32"/>
      <c r="B27" s="32"/>
      <c r="C27" s="32"/>
      <c r="D27" s="32"/>
      <c r="E27" s="32"/>
      <c r="F27" s="32"/>
      <c r="G27" s="32"/>
    </row>
    <row r="28" spans="1:7" ht="15" x14ac:dyDescent="0.25">
      <c r="A28" s="32"/>
      <c r="B28" s="32"/>
      <c r="C28" s="32"/>
      <c r="D28" s="32"/>
      <c r="E28" s="32"/>
      <c r="F28" s="32"/>
      <c r="G28" s="32"/>
    </row>
    <row r="29" spans="1:7" ht="15" x14ac:dyDescent="0.25">
      <c r="A29" s="32"/>
      <c r="B29" s="32"/>
      <c r="C29" s="32"/>
      <c r="D29" s="32"/>
      <c r="E29" s="32"/>
      <c r="F29" s="32"/>
      <c r="G29" s="32"/>
    </row>
    <row r="30" spans="1:7" ht="15" x14ac:dyDescent="0.25">
      <c r="A30" s="32"/>
      <c r="B30" s="32"/>
      <c r="C30" s="32"/>
      <c r="D30" s="32"/>
      <c r="E30" s="32"/>
      <c r="F30" s="32"/>
      <c r="G30" s="32"/>
    </row>
    <row r="31" spans="1:7" ht="15" x14ac:dyDescent="0.25">
      <c r="A31" s="32"/>
      <c r="B31" s="32"/>
      <c r="C31" s="32"/>
      <c r="D31" s="32"/>
      <c r="E31" s="32"/>
      <c r="F31" s="32"/>
      <c r="G31" s="32"/>
    </row>
    <row r="32" spans="1:7" ht="15" x14ac:dyDescent="0.25">
      <c r="A32" s="32"/>
      <c r="B32" s="32"/>
      <c r="C32" s="32"/>
      <c r="D32" s="32"/>
      <c r="E32" s="32"/>
      <c r="F32" s="32"/>
      <c r="G32" s="32"/>
    </row>
    <row r="33" spans="1:7" ht="15" x14ac:dyDescent="0.25">
      <c r="A33" s="32"/>
      <c r="B33" s="32"/>
      <c r="C33" s="32"/>
      <c r="D33" s="32"/>
      <c r="E33" s="32"/>
      <c r="F33" s="32" t="s">
        <v>75</v>
      </c>
      <c r="G33" s="3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K38" sqref="K38"/>
    </sheetView>
  </sheetViews>
  <sheetFormatPr defaultRowHeight="12.75" customHeight="1" x14ac:dyDescent="0.2"/>
  <cols>
    <col min="1" max="1" width="20.28515625" bestFit="1" customWidth="1"/>
    <col min="2" max="2" width="1.7109375" customWidth="1"/>
    <col min="3" max="3" width="17.7109375" bestFit="1" customWidth="1"/>
    <col min="4" max="4" width="1.7109375" customWidth="1"/>
    <col min="5" max="5" width="9.7109375" bestFit="1" customWidth="1"/>
    <col min="6" max="6" width="1.7109375" customWidth="1"/>
    <col min="7" max="7" width="9.7109375" bestFit="1" customWidth="1"/>
    <col min="8" max="8" width="1.5703125" customWidth="1"/>
    <col min="9" max="9" width="9.7109375" bestFit="1" customWidth="1"/>
    <col min="10" max="10" width="2.140625" customWidth="1"/>
    <col min="11" max="11" width="9.7109375" bestFit="1" customWidth="1"/>
    <col min="12" max="12" width="1.7109375" customWidth="1"/>
    <col min="13" max="13" width="11.28515625" bestFit="1" customWidth="1"/>
    <col min="14" max="14" width="1.85546875" customWidth="1"/>
    <col min="15" max="15" width="11.28515625" customWidth="1"/>
  </cols>
  <sheetData>
    <row r="1" spans="1:15" ht="15.75" x14ac:dyDescent="0.25">
      <c r="A1" s="83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15.75" x14ac:dyDescent="0.25">
      <c r="A2" s="83" t="s">
        <v>91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5.75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x14ac:dyDescent="0.2">
      <c r="A5" s="41"/>
      <c r="B5" s="41"/>
      <c r="C5" s="41" t="s">
        <v>16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 t="s">
        <v>17</v>
      </c>
    </row>
    <row r="6" spans="1:15" ht="15.75" thickBot="1" x14ac:dyDescent="0.3">
      <c r="A6" s="41"/>
      <c r="B6" s="41"/>
      <c r="C6" s="42" t="s">
        <v>18</v>
      </c>
      <c r="D6" s="75"/>
      <c r="E6" s="76" t="s">
        <v>84</v>
      </c>
      <c r="F6" s="75"/>
      <c r="G6" s="76" t="s">
        <v>85</v>
      </c>
      <c r="H6" s="41"/>
      <c r="I6" s="76" t="s">
        <v>86</v>
      </c>
      <c r="J6" s="77"/>
      <c r="K6" s="76" t="s">
        <v>87</v>
      </c>
      <c r="L6" s="76"/>
      <c r="M6" s="42" t="s">
        <v>19</v>
      </c>
      <c r="N6" s="41"/>
      <c r="O6" s="42" t="s">
        <v>20</v>
      </c>
    </row>
    <row r="7" spans="1:15" ht="15" x14ac:dyDescent="0.25">
      <c r="A7" s="17"/>
      <c r="B7" s="17"/>
      <c r="C7" s="17"/>
      <c r="D7" s="17"/>
      <c r="E7" s="17"/>
      <c r="F7" s="17"/>
      <c r="G7" s="17"/>
      <c r="H7" s="17"/>
      <c r="I7" s="77"/>
      <c r="J7" s="77"/>
      <c r="K7" s="77"/>
      <c r="L7" s="77"/>
      <c r="M7" s="17"/>
      <c r="N7" s="17"/>
      <c r="O7" s="17"/>
    </row>
    <row r="8" spans="1:15" ht="15" x14ac:dyDescent="0.25">
      <c r="A8" s="17" t="s">
        <v>24</v>
      </c>
      <c r="B8" s="17"/>
      <c r="C8" s="43" t="s">
        <v>27</v>
      </c>
      <c r="D8" s="43"/>
      <c r="E8" s="86">
        <v>176540.1</v>
      </c>
      <c r="F8" s="87"/>
      <c r="G8" s="86">
        <v>182745</v>
      </c>
      <c r="H8" s="44"/>
      <c r="I8" s="86">
        <v>165745</v>
      </c>
      <c r="J8" s="88"/>
      <c r="K8" s="86">
        <v>169830</v>
      </c>
      <c r="L8" s="89"/>
      <c r="M8" s="90">
        <f>SUM(E8:L8)</f>
        <v>694860.1</v>
      </c>
      <c r="N8" s="17"/>
      <c r="O8" s="78">
        <f>M8/M$18</f>
        <v>0.60000000345393267</v>
      </c>
    </row>
    <row r="9" spans="1:15" ht="15" x14ac:dyDescent="0.25">
      <c r="A9" s="17"/>
      <c r="B9" s="17"/>
      <c r="C9" s="45"/>
      <c r="D9" s="45"/>
      <c r="E9" s="91"/>
      <c r="F9" s="91"/>
      <c r="G9" s="91"/>
      <c r="H9" s="44"/>
      <c r="I9" s="89"/>
      <c r="J9" s="88"/>
      <c r="K9" s="89"/>
      <c r="L9" s="89"/>
      <c r="M9" s="44"/>
      <c r="N9" s="17"/>
      <c r="O9" s="46"/>
    </row>
    <row r="10" spans="1:15" ht="15" x14ac:dyDescent="0.25">
      <c r="A10" s="17" t="s">
        <v>25</v>
      </c>
      <c r="B10" s="17"/>
      <c r="C10" s="43">
        <v>41710250</v>
      </c>
      <c r="D10" s="43"/>
      <c r="E10" s="90">
        <v>0</v>
      </c>
      <c r="F10" s="87"/>
      <c r="G10" s="90">
        <v>0</v>
      </c>
      <c r="H10" s="44"/>
      <c r="I10" s="92">
        <v>0</v>
      </c>
      <c r="J10" s="88"/>
      <c r="K10" s="80">
        <v>0</v>
      </c>
      <c r="L10" s="80"/>
      <c r="M10" s="90">
        <f>SUM(E10:L10)</f>
        <v>0</v>
      </c>
      <c r="N10" s="17"/>
      <c r="O10" s="78">
        <f>M10/M$18</f>
        <v>0</v>
      </c>
    </row>
    <row r="11" spans="1:15" ht="15" x14ac:dyDescent="0.25">
      <c r="A11" s="17"/>
      <c r="B11" s="17"/>
      <c r="C11" s="45"/>
      <c r="D11" s="45"/>
      <c r="E11" s="91"/>
      <c r="F11" s="91"/>
      <c r="G11" s="91"/>
      <c r="H11" s="44"/>
      <c r="I11" s="89"/>
      <c r="J11" s="88"/>
      <c r="K11" s="89"/>
      <c r="L11" s="89"/>
      <c r="M11" s="80"/>
      <c r="N11" s="17"/>
      <c r="O11" s="78"/>
    </row>
    <row r="12" spans="1:15" ht="15" x14ac:dyDescent="0.25">
      <c r="A12" s="17" t="s">
        <v>21</v>
      </c>
      <c r="B12" s="17"/>
      <c r="C12" s="45">
        <v>149060037</v>
      </c>
      <c r="D12" s="45"/>
      <c r="E12" s="86">
        <v>58846.7</v>
      </c>
      <c r="F12" s="91"/>
      <c r="G12" s="86">
        <v>60915</v>
      </c>
      <c r="H12" s="44"/>
      <c r="I12" s="86">
        <v>55248.33</v>
      </c>
      <c r="J12" s="88"/>
      <c r="K12" s="86">
        <v>56610</v>
      </c>
      <c r="L12" s="89"/>
      <c r="M12" s="80">
        <f>SUM(E12:K12)</f>
        <v>231620.03</v>
      </c>
      <c r="N12" s="17"/>
      <c r="O12" s="78">
        <f>M12/M$18</f>
        <v>0.19999999827303366</v>
      </c>
    </row>
    <row r="13" spans="1:15" ht="15" x14ac:dyDescent="0.25">
      <c r="A13" s="17"/>
      <c r="B13" s="17"/>
      <c r="C13" s="45"/>
      <c r="D13" s="45"/>
      <c r="E13" s="91"/>
      <c r="F13" s="91"/>
      <c r="G13" s="91"/>
      <c r="H13" s="44"/>
      <c r="I13" s="89"/>
      <c r="J13" s="88"/>
      <c r="K13" s="89"/>
      <c r="L13" s="89"/>
      <c r="M13" s="80"/>
      <c r="N13" s="17"/>
      <c r="O13" s="78"/>
    </row>
    <row r="14" spans="1:15" ht="15" x14ac:dyDescent="0.25">
      <c r="A14" s="17" t="s">
        <v>22</v>
      </c>
      <c r="B14" s="17"/>
      <c r="C14" s="45">
        <v>149070008</v>
      </c>
      <c r="D14" s="45"/>
      <c r="E14" s="86">
        <v>58846.7</v>
      </c>
      <c r="F14" s="91"/>
      <c r="G14" s="86">
        <v>60915</v>
      </c>
      <c r="H14" s="44"/>
      <c r="I14" s="86">
        <v>55248.33</v>
      </c>
      <c r="J14" s="88"/>
      <c r="K14" s="86">
        <v>56610</v>
      </c>
      <c r="L14" s="93"/>
      <c r="M14" s="80">
        <f>SUM(E14:K14)</f>
        <v>231620.03</v>
      </c>
      <c r="N14" s="17"/>
      <c r="O14" s="78">
        <f>M14/M$18</f>
        <v>0.19999999827303366</v>
      </c>
    </row>
    <row r="15" spans="1:15" ht="15" x14ac:dyDescent="0.25">
      <c r="A15" s="17"/>
      <c r="B15" s="17"/>
      <c r="C15" s="45"/>
      <c r="D15" s="45"/>
      <c r="E15" s="91"/>
      <c r="F15" s="91"/>
      <c r="G15" s="91"/>
      <c r="H15" s="44"/>
      <c r="I15" s="93"/>
      <c r="J15" s="88"/>
      <c r="K15" s="93"/>
      <c r="L15" s="93"/>
      <c r="M15" s="80"/>
      <c r="N15" s="17"/>
      <c r="O15" s="46"/>
    </row>
    <row r="16" spans="1:15" ht="15" x14ac:dyDescent="0.25">
      <c r="A16" s="17" t="s">
        <v>88</v>
      </c>
      <c r="B16" s="17"/>
      <c r="C16" s="45">
        <v>18600883</v>
      </c>
      <c r="D16" s="45"/>
      <c r="E16" s="80">
        <v>0</v>
      </c>
      <c r="F16" s="91"/>
      <c r="G16" s="80">
        <v>0</v>
      </c>
      <c r="H16" s="44"/>
      <c r="I16" s="80">
        <v>0</v>
      </c>
      <c r="J16" s="88"/>
      <c r="K16" s="80">
        <v>0</v>
      </c>
      <c r="L16" s="80"/>
      <c r="M16" s="90">
        <f>SUM(E16:L16)</f>
        <v>0</v>
      </c>
      <c r="N16" s="17"/>
      <c r="O16" s="78">
        <f>M16/M$18</f>
        <v>0</v>
      </c>
    </row>
    <row r="17" spans="1:15" x14ac:dyDescent="0.2">
      <c r="A17" s="17"/>
      <c r="B17" s="17"/>
      <c r="C17" s="45"/>
      <c r="D17" s="45"/>
      <c r="E17" s="45"/>
      <c r="F17" s="45"/>
      <c r="G17" s="45"/>
      <c r="H17" s="17"/>
      <c r="I17" s="79"/>
      <c r="J17" s="44"/>
      <c r="K17" s="79"/>
      <c r="L17" s="79"/>
      <c r="M17" s="80"/>
      <c r="N17" s="17"/>
      <c r="O17" s="46"/>
    </row>
    <row r="18" spans="1:15" ht="13.5" thickBot="1" x14ac:dyDescent="0.25">
      <c r="A18" s="17" t="s">
        <v>23</v>
      </c>
      <c r="B18" s="17"/>
      <c r="C18" s="45"/>
      <c r="D18" s="45"/>
      <c r="E18" s="81">
        <f>SUM(E8:E16)</f>
        <v>294233.5</v>
      </c>
      <c r="F18" s="45"/>
      <c r="G18" s="81">
        <f>SUM(G8:G16)</f>
        <v>304575</v>
      </c>
      <c r="H18" s="17"/>
      <c r="I18" s="81">
        <f>SUM(I8:I16)</f>
        <v>276241.66000000003</v>
      </c>
      <c r="J18" s="44"/>
      <c r="K18" s="81">
        <f>SUM(K8:K16)</f>
        <v>283050</v>
      </c>
      <c r="L18" s="81"/>
      <c r="M18" s="81">
        <f>SUM(M8:M16)</f>
        <v>1158100.1599999999</v>
      </c>
      <c r="N18" s="17"/>
      <c r="O18" s="82">
        <f>SUM(O8:O16)</f>
        <v>1</v>
      </c>
    </row>
    <row r="19" spans="1:15" ht="15.75" thickTop="1" x14ac:dyDescent="0.35">
      <c r="A19" s="17"/>
      <c r="B19" s="17"/>
      <c r="C19" s="47"/>
      <c r="D19" s="19"/>
      <c r="E19" s="48"/>
      <c r="F19" s="49"/>
      <c r="G19" s="48"/>
      <c r="H19" s="48"/>
      <c r="I19" s="49"/>
      <c r="J19" s="48"/>
      <c r="K19" s="49"/>
      <c r="L19" s="49"/>
      <c r="M19" s="48"/>
      <c r="N19" s="19"/>
      <c r="O19" s="19"/>
    </row>
    <row r="20" spans="1:15" x14ac:dyDescent="0.2">
      <c r="A20" s="17" t="s">
        <v>59</v>
      </c>
      <c r="B20" s="17"/>
      <c r="C20" s="19"/>
      <c r="D20" s="19"/>
      <c r="E20" s="50"/>
      <c r="F20" s="49"/>
      <c r="G20" s="49"/>
      <c r="H20" s="49"/>
      <c r="I20" s="49"/>
      <c r="J20" s="50"/>
      <c r="K20" s="49"/>
      <c r="L20" s="49"/>
      <c r="M20" s="50"/>
      <c r="N20" s="19"/>
      <c r="O20" s="19"/>
    </row>
  </sheetData>
  <mergeCells count="1">
    <mergeCell ref="A3:O3"/>
  </mergeCells>
  <pageMargins left="0.75" right="0.75" top="1" bottom="1" header="0.5" footer="0.5"/>
  <pageSetup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407A7A-D140-4A6E-B34D-92FEFE637EF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90F8D6E-ABD4-4F97-8BB8-92CE67F5B78D}"/>
</file>

<file path=customXml/itemProps3.xml><?xml version="1.0" encoding="utf-8"?>
<ds:datastoreItem xmlns:ds="http://schemas.openxmlformats.org/officeDocument/2006/customXml" ds:itemID="{0FD3ED47-EB74-4DC2-9A55-C146D7C9090E}"/>
</file>

<file path=customXml/itemProps4.xml><?xml version="1.0" encoding="utf-8"?>
<ds:datastoreItem xmlns:ds="http://schemas.openxmlformats.org/officeDocument/2006/customXml" ds:itemID="{78DDEFBF-5887-4496-B2E1-A4B1C2EE45EB}"/>
</file>

<file path=customXml/itemProps5.xml><?xml version="1.0" encoding="utf-8"?>
<ds:datastoreItem xmlns:ds="http://schemas.openxmlformats.org/officeDocument/2006/customXml" ds:itemID="{EB4BEA40-1A21-4212-BEC6-763F61EFE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Elec</vt:lpstr>
      <vt:lpstr> Gas</vt:lpstr>
      <vt:lpstr>Main wp use for 2021 CBR only</vt:lpstr>
      <vt:lpstr>CE Allocation</vt:lpstr>
      <vt:lpstr>Director's Fees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DiMasso, James</cp:lastModifiedBy>
  <cp:lastPrinted>2018-02-13T18:43:54Z</cp:lastPrinted>
  <dcterms:created xsi:type="dcterms:W3CDTF">2003-08-20T17:00:45Z</dcterms:created>
  <dcterms:modified xsi:type="dcterms:W3CDTF">2022-03-25T22:52:51Z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3.10E &amp; 3.10G D&amp;O Insurance Dec 2019 CBR - working.xlsx</vt:lpwstr>
  </property>
  <property fmtid="{D5CDD505-2E9C-101B-9397-08002B2CF9AE}" pid="3" name="ContentTypeId">
    <vt:lpwstr>0x0101006E56B4D1795A2E4DB2F0B01679ED314A00C4AD0D4F6BF7344299F812ABC97FDE97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