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984AE655-2490-45F2-8E99-FF629DF40BF5}" xr6:coauthVersionLast="44" xr6:coauthVersionMax="44" xr10:uidLastSave="{00000000-0000-0000-0000-000000000000}"/>
  <bookViews>
    <workbookView xWindow="1740" yWindow="-120" windowWidth="27180" windowHeight="16440" xr2:uid="{28D56534-A793-466D-A358-B9F00ADF928F}"/>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 name="Electric New Customer Status" sheetId="8" r:id="rId7"/>
    <sheet name="Natural Gas New Customer Status" sheetId="10" r:id="rId8"/>
    <sheet name="Electric Weather Component" sheetId="9" r:id="rId9"/>
    <sheet name="Natural Gas Weather Component" sheetId="11" r:id="rId10"/>
  </sheets>
  <definedNames>
    <definedName name="_xlnm.Print_Area" localSheetId="3">'Accounting Balances'!$A$1:$H$198</definedName>
    <definedName name="_xlnm.Print_Area" localSheetId="0">'Electric Deferral'!$A$1:$U$65</definedName>
    <definedName name="_xlnm.Print_Area" localSheetId="6">'Electric New Customer Status'!$A$1:$P$54</definedName>
    <definedName name="_xlnm.Print_Area" localSheetId="4">'Interest Reconciliation'!$A$1:$R$158</definedName>
    <definedName name="_xlnm.Print_Area" localSheetId="7">'Natural Gas New Customer Status'!$A$1:$P$54</definedName>
    <definedName name="_xlnm.Print_Area" localSheetId="5">Notes!$A$1:$K$31</definedName>
    <definedName name="_xlnm.Print_Titles" localSheetId="0">'Electric Deferral'!$1:$7</definedName>
    <definedName name="_xlnm.Print_Titles" localSheetId="8">'Electric Weather Component'!$6:$9</definedName>
    <definedName name="_xlnm.Print_Titles" localSheetId="4">'Interest Reconciliation'!$1:$2</definedName>
    <definedName name="_xlnm.Print_Titles" localSheetId="2">'Nat Gas Deferral'!$1:$7</definedName>
    <definedName name="_xlnm.Print_Titles" localSheetId="9">'Natural Gas Weather Component'!$6:$9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4" i="11" l="1"/>
  <c r="N83" i="11" s="1"/>
  <c r="M84" i="11"/>
  <c r="M83" i="11" s="1"/>
  <c r="L84" i="11"/>
  <c r="K84" i="11"/>
  <c r="J84" i="11"/>
  <c r="I84" i="11"/>
  <c r="I83" i="11" s="1"/>
  <c r="H84" i="11"/>
  <c r="G84" i="11"/>
  <c r="F84" i="11"/>
  <c r="E84" i="11"/>
  <c r="D84" i="11"/>
  <c r="C84" i="11"/>
  <c r="O84" i="11" s="1"/>
  <c r="N65" i="11"/>
  <c r="M65" i="11"/>
  <c r="L65" i="11"/>
  <c r="K65" i="11"/>
  <c r="J65" i="11"/>
  <c r="I65" i="11"/>
  <c r="H65" i="11"/>
  <c r="G65" i="11"/>
  <c r="G64" i="11" s="1"/>
  <c r="F65" i="11"/>
  <c r="E65" i="11"/>
  <c r="D65" i="11"/>
  <c r="C65" i="11"/>
  <c r="N46" i="11"/>
  <c r="M46" i="11"/>
  <c r="L46" i="11"/>
  <c r="K46" i="11"/>
  <c r="J46" i="11"/>
  <c r="I46" i="11"/>
  <c r="H46" i="11"/>
  <c r="G46" i="11"/>
  <c r="O46" i="11" s="1"/>
  <c r="F46" i="11"/>
  <c r="E46" i="11"/>
  <c r="D46" i="11"/>
  <c r="C46" i="11"/>
  <c r="N80" i="11"/>
  <c r="M80" i="11"/>
  <c r="L80" i="11"/>
  <c r="K80" i="11"/>
  <c r="J80" i="11"/>
  <c r="I80" i="11"/>
  <c r="H80" i="11"/>
  <c r="G80" i="11"/>
  <c r="G79" i="11" s="1"/>
  <c r="F80" i="11"/>
  <c r="E80" i="11"/>
  <c r="D80" i="11"/>
  <c r="C80" i="11"/>
  <c r="N61" i="11"/>
  <c r="N60" i="11" s="1"/>
  <c r="M61" i="11"/>
  <c r="M60" i="11" s="1"/>
  <c r="L61" i="11"/>
  <c r="K61" i="11"/>
  <c r="K60" i="11" s="1"/>
  <c r="J61" i="11"/>
  <c r="I61" i="11"/>
  <c r="I60" i="11" s="1"/>
  <c r="H61" i="11"/>
  <c r="G61" i="11"/>
  <c r="F61" i="11"/>
  <c r="E61" i="11"/>
  <c r="E60" i="11" s="1"/>
  <c r="D61" i="11"/>
  <c r="C61" i="11"/>
  <c r="N42" i="11"/>
  <c r="M42" i="11"/>
  <c r="L42" i="11"/>
  <c r="K42" i="11"/>
  <c r="J42" i="11"/>
  <c r="I42" i="11"/>
  <c r="H42" i="11"/>
  <c r="G42" i="11"/>
  <c r="G41" i="11" s="1"/>
  <c r="F42" i="11"/>
  <c r="E42" i="11"/>
  <c r="D42" i="11"/>
  <c r="C42" i="11"/>
  <c r="D27" i="11"/>
  <c r="O27" i="11" s="1"/>
  <c r="E27" i="11"/>
  <c r="E26" i="11" s="1"/>
  <c r="F27" i="11"/>
  <c r="G27" i="11"/>
  <c r="H27" i="11"/>
  <c r="I27" i="11"/>
  <c r="I26" i="11" s="1"/>
  <c r="J27" i="11"/>
  <c r="K27" i="11"/>
  <c r="K26" i="11" s="1"/>
  <c r="L27" i="11"/>
  <c r="M27" i="11"/>
  <c r="M26" i="11" s="1"/>
  <c r="N27" i="11"/>
  <c r="C27" i="11"/>
  <c r="D23" i="11"/>
  <c r="D22" i="11" s="1"/>
  <c r="E23" i="11"/>
  <c r="E22" i="11" s="1"/>
  <c r="F23" i="11"/>
  <c r="G23" i="11"/>
  <c r="H23" i="11"/>
  <c r="H22" i="11" s="1"/>
  <c r="I23" i="11"/>
  <c r="I22" i="11" s="1"/>
  <c r="J23" i="11"/>
  <c r="K23" i="11"/>
  <c r="L23" i="11"/>
  <c r="L22" i="11" s="1"/>
  <c r="M23" i="11"/>
  <c r="M22" i="11" s="1"/>
  <c r="N23" i="11"/>
  <c r="C23" i="11"/>
  <c r="C22" i="11" s="1"/>
  <c r="K83" i="11"/>
  <c r="J83" i="11"/>
  <c r="H83" i="11"/>
  <c r="L83" i="11"/>
  <c r="F83" i="11"/>
  <c r="E83" i="11"/>
  <c r="D83" i="11"/>
  <c r="C83" i="11"/>
  <c r="O82" i="11"/>
  <c r="M79" i="11"/>
  <c r="K79" i="11"/>
  <c r="J79" i="11"/>
  <c r="I79" i="11"/>
  <c r="E79" i="11"/>
  <c r="N79" i="11"/>
  <c r="L79" i="11"/>
  <c r="H79" i="11"/>
  <c r="F79" i="11"/>
  <c r="D79" i="11"/>
  <c r="O78" i="11"/>
  <c r="O75" i="11"/>
  <c r="O74" i="11"/>
  <c r="N72" i="11"/>
  <c r="M72" i="11"/>
  <c r="L72" i="11"/>
  <c r="K72" i="11"/>
  <c r="J72" i="11"/>
  <c r="I72" i="11"/>
  <c r="H72" i="11"/>
  <c r="G72" i="11"/>
  <c r="O72" i="11" s="1"/>
  <c r="F72" i="11"/>
  <c r="E72" i="11"/>
  <c r="D72" i="11"/>
  <c r="C72" i="11"/>
  <c r="N71" i="11"/>
  <c r="M71" i="11"/>
  <c r="L71" i="11"/>
  <c r="K71" i="11"/>
  <c r="J71" i="11"/>
  <c r="I71" i="11"/>
  <c r="H71" i="11"/>
  <c r="G71" i="11"/>
  <c r="F71" i="11"/>
  <c r="E71" i="11"/>
  <c r="D71" i="11"/>
  <c r="O71" i="11" s="1"/>
  <c r="C71" i="11"/>
  <c r="O69" i="11"/>
  <c r="O68" i="11"/>
  <c r="N64" i="11"/>
  <c r="L64" i="11"/>
  <c r="K64" i="11"/>
  <c r="J64" i="11"/>
  <c r="F64" i="11"/>
  <c r="D64" i="11"/>
  <c r="M64" i="11"/>
  <c r="I64" i="11"/>
  <c r="H64" i="11"/>
  <c r="E64" i="11"/>
  <c r="O63" i="11"/>
  <c r="G60" i="11"/>
  <c r="F60" i="11"/>
  <c r="L60" i="11"/>
  <c r="J60" i="11"/>
  <c r="H60" i="11"/>
  <c r="D60" i="11"/>
  <c r="C60" i="11"/>
  <c r="O59" i="11"/>
  <c r="O56" i="11"/>
  <c r="O55" i="11"/>
  <c r="N53" i="11"/>
  <c r="M53" i="11"/>
  <c r="L53" i="11"/>
  <c r="K53" i="11"/>
  <c r="J53" i="11"/>
  <c r="I53" i="11"/>
  <c r="H53" i="11"/>
  <c r="G53" i="11"/>
  <c r="F53" i="11"/>
  <c r="E53" i="11"/>
  <c r="D53" i="11"/>
  <c r="C53" i="11"/>
  <c r="O53" i="11" s="1"/>
  <c r="N52" i="11"/>
  <c r="M52" i="11"/>
  <c r="L52" i="11"/>
  <c r="K52" i="11"/>
  <c r="J52" i="11"/>
  <c r="I52" i="11"/>
  <c r="H52" i="11"/>
  <c r="G52" i="11"/>
  <c r="O52" i="11" s="1"/>
  <c r="F52" i="11"/>
  <c r="E52" i="11"/>
  <c r="D52" i="11"/>
  <c r="C52" i="11"/>
  <c r="O50" i="11"/>
  <c r="O49" i="11"/>
  <c r="N45" i="11"/>
  <c r="J45" i="11"/>
  <c r="H45" i="11"/>
  <c r="F45" i="11"/>
  <c r="M45" i="11"/>
  <c r="L45" i="11"/>
  <c r="K45" i="11"/>
  <c r="I45" i="11"/>
  <c r="E45" i="11"/>
  <c r="D45" i="11"/>
  <c r="C45" i="11"/>
  <c r="O44" i="11"/>
  <c r="M41" i="11"/>
  <c r="K41" i="11"/>
  <c r="J41" i="11"/>
  <c r="I41" i="11"/>
  <c r="E41" i="11"/>
  <c r="O42" i="11"/>
  <c r="N41" i="11"/>
  <c r="L41" i="11"/>
  <c r="H41" i="11"/>
  <c r="F41" i="11"/>
  <c r="D41" i="11"/>
  <c r="O40" i="11"/>
  <c r="O37" i="11"/>
  <c r="O36" i="11"/>
  <c r="N34" i="11"/>
  <c r="M34" i="11"/>
  <c r="L34" i="11"/>
  <c r="K34" i="11"/>
  <c r="J34" i="11"/>
  <c r="I34" i="11"/>
  <c r="H34" i="11"/>
  <c r="G34" i="11"/>
  <c r="O34" i="11" s="1"/>
  <c r="F34" i="11"/>
  <c r="E34" i="11"/>
  <c r="D34" i="11"/>
  <c r="C34" i="11"/>
  <c r="N33" i="11"/>
  <c r="M33" i="11"/>
  <c r="L33" i="11"/>
  <c r="K33" i="11"/>
  <c r="J33" i="11"/>
  <c r="I33" i="11"/>
  <c r="H33" i="11"/>
  <c r="G33" i="11"/>
  <c r="F33" i="11"/>
  <c r="E33" i="11"/>
  <c r="D33" i="11"/>
  <c r="C33" i="11"/>
  <c r="O33" i="11" s="1"/>
  <c r="O31" i="11"/>
  <c r="O30" i="11"/>
  <c r="N26" i="11"/>
  <c r="L26" i="11"/>
  <c r="J26" i="11"/>
  <c r="F26" i="11"/>
  <c r="D26" i="11"/>
  <c r="H26" i="11"/>
  <c r="G26" i="11"/>
  <c r="O25" i="11"/>
  <c r="N22" i="11"/>
  <c r="G22" i="11"/>
  <c r="F22" i="11"/>
  <c r="K22" i="11"/>
  <c r="J22" i="11"/>
  <c r="O21" i="11"/>
  <c r="O18" i="11"/>
  <c r="O17" i="11"/>
  <c r="N15" i="11"/>
  <c r="M15" i="11"/>
  <c r="L15" i="11"/>
  <c r="K15" i="11"/>
  <c r="J15" i="11"/>
  <c r="I15" i="11"/>
  <c r="H15" i="11"/>
  <c r="G15" i="11"/>
  <c r="F15" i="11"/>
  <c r="E15" i="11"/>
  <c r="D15" i="11"/>
  <c r="C15" i="11"/>
  <c r="O15" i="11" s="1"/>
  <c r="N14" i="11"/>
  <c r="M14" i="11"/>
  <c r="L14" i="11"/>
  <c r="K14" i="11"/>
  <c r="J14" i="11"/>
  <c r="I14" i="11"/>
  <c r="H14" i="11"/>
  <c r="G14" i="11"/>
  <c r="O14" i="11" s="1"/>
  <c r="F14" i="11"/>
  <c r="E14" i="11"/>
  <c r="D14" i="11"/>
  <c r="C14" i="11"/>
  <c r="O12" i="11"/>
  <c r="O11" i="11"/>
  <c r="O9" i="11"/>
  <c r="O8" i="11"/>
  <c r="D6" i="11"/>
  <c r="E6" i="11" s="1"/>
  <c r="F6" i="11" s="1"/>
  <c r="G6" i="11" s="1"/>
  <c r="H6" i="11" s="1"/>
  <c r="I6" i="11" s="1"/>
  <c r="J6" i="11" s="1"/>
  <c r="K6" i="11" s="1"/>
  <c r="L6" i="11" s="1"/>
  <c r="M6" i="11" s="1"/>
  <c r="N6" i="11" s="1"/>
  <c r="O65" i="11" l="1"/>
  <c r="O80" i="11"/>
  <c r="O22" i="11"/>
  <c r="O60" i="11"/>
  <c r="O83" i="11"/>
  <c r="O23" i="11"/>
  <c r="O61" i="11"/>
  <c r="C26" i="11"/>
  <c r="O26" i="11" s="1"/>
  <c r="G45" i="11"/>
  <c r="O45" i="11" s="1"/>
  <c r="C64" i="11"/>
  <c r="O64" i="11" s="1"/>
  <c r="G83" i="11"/>
  <c r="C41" i="11"/>
  <c r="O41" i="11" s="1"/>
  <c r="C79" i="11"/>
  <c r="O79" i="11" s="1"/>
  <c r="D71" i="9"/>
  <c r="E71" i="9"/>
  <c r="F71" i="9"/>
  <c r="G71" i="9"/>
  <c r="H71" i="9"/>
  <c r="I71" i="9"/>
  <c r="J71" i="9"/>
  <c r="K71" i="9"/>
  <c r="L71" i="9"/>
  <c r="M71" i="9"/>
  <c r="N71" i="9"/>
  <c r="D72" i="9"/>
  <c r="E72" i="9"/>
  <c r="F72" i="9"/>
  <c r="G72" i="9"/>
  <c r="H72" i="9"/>
  <c r="I72" i="9"/>
  <c r="J72" i="9"/>
  <c r="K72" i="9"/>
  <c r="L72" i="9"/>
  <c r="M72" i="9"/>
  <c r="N72" i="9"/>
  <c r="C72" i="9"/>
  <c r="C71" i="9"/>
  <c r="D52" i="9" l="1"/>
  <c r="E52" i="9"/>
  <c r="F52" i="9"/>
  <c r="G52" i="9"/>
  <c r="H52" i="9"/>
  <c r="I52" i="9"/>
  <c r="J52" i="9"/>
  <c r="K52" i="9"/>
  <c r="L52" i="9"/>
  <c r="M52" i="9"/>
  <c r="N52" i="9"/>
  <c r="D53" i="9"/>
  <c r="E53" i="9"/>
  <c r="F53" i="9"/>
  <c r="G53" i="9"/>
  <c r="H53" i="9"/>
  <c r="I53" i="9"/>
  <c r="J53" i="9"/>
  <c r="K53" i="9"/>
  <c r="L53" i="9"/>
  <c r="M53" i="9"/>
  <c r="N53" i="9"/>
  <c r="C53" i="9"/>
  <c r="C52" i="9"/>
  <c r="D33" i="9" l="1"/>
  <c r="E33" i="9"/>
  <c r="F33" i="9"/>
  <c r="G33" i="9"/>
  <c r="H33" i="9"/>
  <c r="I33" i="9"/>
  <c r="J33" i="9"/>
  <c r="K33" i="9"/>
  <c r="L33" i="9"/>
  <c r="M33" i="9"/>
  <c r="N33" i="9"/>
  <c r="D34" i="9"/>
  <c r="E34" i="9"/>
  <c r="F34" i="9"/>
  <c r="G34" i="9"/>
  <c r="H34" i="9"/>
  <c r="I34" i="9"/>
  <c r="J34" i="9"/>
  <c r="K34" i="9"/>
  <c r="L34" i="9"/>
  <c r="M34" i="9"/>
  <c r="N34" i="9"/>
  <c r="C34" i="9"/>
  <c r="C33" i="9"/>
  <c r="N84" i="9" l="1"/>
  <c r="M84" i="9"/>
  <c r="M83" i="9" s="1"/>
  <c r="L84" i="9"/>
  <c r="L83" i="9" s="1"/>
  <c r="K84" i="9"/>
  <c r="K83" i="9" s="1"/>
  <c r="J84" i="9"/>
  <c r="J83" i="9" s="1"/>
  <c r="I84" i="9"/>
  <c r="I83" i="9" s="1"/>
  <c r="H84" i="9"/>
  <c r="G84" i="9"/>
  <c r="G83" i="9" s="1"/>
  <c r="F84" i="9"/>
  <c r="F83" i="9" s="1"/>
  <c r="E84" i="9"/>
  <c r="E83" i="9" s="1"/>
  <c r="D84" i="9"/>
  <c r="C84" i="9"/>
  <c r="C83" i="9" s="1"/>
  <c r="N83" i="9"/>
  <c r="H83" i="9"/>
  <c r="D83" i="9"/>
  <c r="O82" i="9"/>
  <c r="N80" i="9"/>
  <c r="N79" i="9" s="1"/>
  <c r="M80" i="9"/>
  <c r="M79" i="9" s="1"/>
  <c r="L80" i="9"/>
  <c r="L79" i="9" s="1"/>
  <c r="K80" i="9"/>
  <c r="K79" i="9" s="1"/>
  <c r="J80" i="9"/>
  <c r="J79" i="9" s="1"/>
  <c r="I80" i="9"/>
  <c r="I79" i="9" s="1"/>
  <c r="H80" i="9"/>
  <c r="H79" i="9" s="1"/>
  <c r="G80" i="9"/>
  <c r="F80" i="9"/>
  <c r="F79" i="9" s="1"/>
  <c r="E80" i="9"/>
  <c r="E79" i="9" s="1"/>
  <c r="D80" i="9"/>
  <c r="D79" i="9" s="1"/>
  <c r="C80" i="9"/>
  <c r="O80" i="9" s="1"/>
  <c r="G79" i="9"/>
  <c r="O78" i="9"/>
  <c r="O75" i="9"/>
  <c r="O74" i="9"/>
  <c r="O72" i="9"/>
  <c r="O69" i="9"/>
  <c r="O68" i="9"/>
  <c r="N65" i="9"/>
  <c r="M65" i="9"/>
  <c r="M64" i="9" s="1"/>
  <c r="L65" i="9"/>
  <c r="L64" i="9" s="1"/>
  <c r="K65" i="9"/>
  <c r="K64" i="9" s="1"/>
  <c r="J65" i="9"/>
  <c r="I65" i="9"/>
  <c r="I64" i="9" s="1"/>
  <c r="H65" i="9"/>
  <c r="H64" i="9" s="1"/>
  <c r="G65" i="9"/>
  <c r="G64" i="9" s="1"/>
  <c r="F65" i="9"/>
  <c r="F64" i="9" s="1"/>
  <c r="E65" i="9"/>
  <c r="D65" i="9"/>
  <c r="D64" i="9" s="1"/>
  <c r="C65" i="9"/>
  <c r="N64" i="9"/>
  <c r="E64" i="9"/>
  <c r="O63" i="9"/>
  <c r="N61" i="9"/>
  <c r="N60" i="9" s="1"/>
  <c r="M61" i="9"/>
  <c r="M60" i="9" s="1"/>
  <c r="L61" i="9"/>
  <c r="L60" i="9" s="1"/>
  <c r="K61" i="9"/>
  <c r="K60" i="9" s="1"/>
  <c r="J61" i="9"/>
  <c r="J60" i="9" s="1"/>
  <c r="I61" i="9"/>
  <c r="I60" i="9" s="1"/>
  <c r="H61" i="9"/>
  <c r="H60" i="9" s="1"/>
  <c r="G61" i="9"/>
  <c r="G60" i="9" s="1"/>
  <c r="F61" i="9"/>
  <c r="E61" i="9"/>
  <c r="E60" i="9" s="1"/>
  <c r="D61" i="9"/>
  <c r="D60" i="9" s="1"/>
  <c r="C61" i="9"/>
  <c r="C60" i="9" s="1"/>
  <c r="F60" i="9"/>
  <c r="O59" i="9"/>
  <c r="O56" i="9"/>
  <c r="O55" i="9"/>
  <c r="O53" i="9"/>
  <c r="O50" i="9"/>
  <c r="O49" i="9"/>
  <c r="D46" i="9"/>
  <c r="D45" i="9" s="1"/>
  <c r="E46" i="9"/>
  <c r="E45" i="9" s="1"/>
  <c r="F46" i="9"/>
  <c r="G46" i="9"/>
  <c r="H46" i="9"/>
  <c r="H45" i="9" s="1"/>
  <c r="I46" i="9"/>
  <c r="I45" i="9" s="1"/>
  <c r="J46" i="9"/>
  <c r="K46" i="9"/>
  <c r="K45" i="9" s="1"/>
  <c r="L46" i="9"/>
  <c r="L45" i="9" s="1"/>
  <c r="M46" i="9"/>
  <c r="N46" i="9"/>
  <c r="D42" i="9"/>
  <c r="D41" i="9" s="1"/>
  <c r="E42" i="9"/>
  <c r="E41" i="9" s="1"/>
  <c r="F42" i="9"/>
  <c r="G42" i="9"/>
  <c r="G41" i="9" s="1"/>
  <c r="H42" i="9"/>
  <c r="H41" i="9" s="1"/>
  <c r="I42" i="9"/>
  <c r="I41" i="9" s="1"/>
  <c r="J42" i="9"/>
  <c r="K42" i="9"/>
  <c r="K41" i="9" s="1"/>
  <c r="L42" i="9"/>
  <c r="L41" i="9" s="1"/>
  <c r="M42" i="9"/>
  <c r="M41" i="9" s="1"/>
  <c r="N42" i="9"/>
  <c r="N41" i="9" s="1"/>
  <c r="F41" i="9"/>
  <c r="J45" i="9"/>
  <c r="G45" i="9"/>
  <c r="C46" i="9"/>
  <c r="C45" i="9" s="1"/>
  <c r="N45" i="9"/>
  <c r="M45" i="9"/>
  <c r="F45" i="9"/>
  <c r="O44" i="9"/>
  <c r="J41" i="9"/>
  <c r="C42" i="9"/>
  <c r="O40" i="9"/>
  <c r="O37" i="9"/>
  <c r="O36" i="9"/>
  <c r="O34" i="9"/>
  <c r="O31" i="9"/>
  <c r="O30" i="9"/>
  <c r="O18" i="9"/>
  <c r="O17" i="9"/>
  <c r="D14" i="9"/>
  <c r="E14" i="9"/>
  <c r="F14" i="9"/>
  <c r="G14" i="9"/>
  <c r="H14" i="9"/>
  <c r="I14" i="9"/>
  <c r="J14" i="9"/>
  <c r="K14" i="9"/>
  <c r="L14" i="9"/>
  <c r="M14" i="9"/>
  <c r="N14" i="9"/>
  <c r="D15" i="9"/>
  <c r="E15" i="9"/>
  <c r="F15" i="9"/>
  <c r="G15" i="9"/>
  <c r="H15" i="9"/>
  <c r="I15" i="9"/>
  <c r="J15" i="9"/>
  <c r="K15" i="9"/>
  <c r="L15" i="9"/>
  <c r="M15" i="9"/>
  <c r="N15" i="9"/>
  <c r="C15" i="9"/>
  <c r="O15" i="9" s="1"/>
  <c r="C14" i="9"/>
  <c r="O12" i="9"/>
  <c r="O11" i="9"/>
  <c r="O9" i="9"/>
  <c r="O8" i="9"/>
  <c r="C64" i="9" l="1"/>
  <c r="O42" i="9"/>
  <c r="J64" i="9"/>
  <c r="O64" i="9" s="1"/>
  <c r="O46" i="9"/>
  <c r="O65" i="9"/>
  <c r="C79" i="9"/>
  <c r="O79" i="9" s="1"/>
  <c r="O52" i="9"/>
  <c r="O61" i="9"/>
  <c r="O84" i="9"/>
  <c r="O14" i="9"/>
  <c r="O83" i="9"/>
  <c r="O60" i="9"/>
  <c r="O45" i="9"/>
  <c r="C41" i="9"/>
  <c r="O41" i="9" s="1"/>
  <c r="O71" i="9" l="1"/>
  <c r="O21" i="9"/>
  <c r="E26" i="9"/>
  <c r="M26" i="9"/>
  <c r="C26" i="9"/>
  <c r="O25" i="9"/>
  <c r="D27" i="9"/>
  <c r="E27" i="9"/>
  <c r="F27" i="9"/>
  <c r="G27" i="9"/>
  <c r="H27" i="9"/>
  <c r="I27" i="9"/>
  <c r="J27" i="9"/>
  <c r="K27" i="9"/>
  <c r="L27" i="9"/>
  <c r="M27" i="9"/>
  <c r="N27" i="9"/>
  <c r="C27" i="9"/>
  <c r="C23" i="9"/>
  <c r="C22" i="9" s="1"/>
  <c r="D23" i="9"/>
  <c r="D22" i="9" s="1"/>
  <c r="E23" i="9"/>
  <c r="E22" i="9" s="1"/>
  <c r="F23" i="9"/>
  <c r="F22" i="9" s="1"/>
  <c r="G23" i="9"/>
  <c r="G22" i="9" s="1"/>
  <c r="H23" i="9"/>
  <c r="H22" i="9" s="1"/>
  <c r="I23" i="9"/>
  <c r="I22" i="9" s="1"/>
  <c r="J23" i="9"/>
  <c r="J22" i="9" s="1"/>
  <c r="K23" i="9"/>
  <c r="K22" i="9" s="1"/>
  <c r="L23" i="9"/>
  <c r="L22" i="9" s="1"/>
  <c r="M23" i="9"/>
  <c r="M22" i="9" s="1"/>
  <c r="N23" i="9"/>
  <c r="N22" i="9" s="1"/>
  <c r="P36" i="10"/>
  <c r="P35" i="10"/>
  <c r="P34" i="10"/>
  <c r="P36" i="8"/>
  <c r="P35" i="8"/>
  <c r="P34" i="8"/>
  <c r="L26" i="9" l="1"/>
  <c r="D26" i="9"/>
  <c r="K26" i="9"/>
  <c r="G26" i="9"/>
  <c r="N26" i="9"/>
  <c r="F26" i="9"/>
  <c r="J26" i="9"/>
  <c r="I26" i="9"/>
  <c r="H26" i="9"/>
  <c r="O22" i="9"/>
  <c r="O27" i="9"/>
  <c r="O23" i="9"/>
  <c r="O33" i="9" l="1"/>
  <c r="O26" i="9"/>
  <c r="N26" i="10"/>
  <c r="M26" i="10"/>
  <c r="L26" i="10"/>
  <c r="K26" i="10"/>
  <c r="J26" i="10"/>
  <c r="I26" i="10"/>
  <c r="H26" i="10"/>
  <c r="G26" i="10"/>
  <c r="E26" i="10"/>
  <c r="D26" i="10"/>
  <c r="C26" i="10"/>
  <c r="E25" i="10"/>
  <c r="D25" i="10"/>
  <c r="C25" i="10"/>
  <c r="C24" i="10"/>
  <c r="F26" i="10"/>
  <c r="F25" i="10"/>
  <c r="F24" i="10"/>
  <c r="H44" i="10"/>
  <c r="I44" i="10"/>
  <c r="J44" i="10"/>
  <c r="K44" i="10"/>
  <c r="L44" i="10"/>
  <c r="M44" i="10"/>
  <c r="N44" i="10" s="1"/>
  <c r="G44" i="10"/>
  <c r="E44" i="10"/>
  <c r="N22" i="10"/>
  <c r="P15" i="10" l="1"/>
  <c r="P16" i="10"/>
  <c r="D16" i="10"/>
  <c r="E16" i="10"/>
  <c r="F16" i="10"/>
  <c r="G16" i="10"/>
  <c r="H16" i="10"/>
  <c r="I16" i="10"/>
  <c r="J16" i="10"/>
  <c r="K16" i="10"/>
  <c r="L16" i="10"/>
  <c r="M16" i="10"/>
  <c r="N16" i="10"/>
  <c r="C16" i="10"/>
  <c r="D11" i="10"/>
  <c r="E11" i="10"/>
  <c r="F11" i="10"/>
  <c r="G11" i="10"/>
  <c r="H11" i="10"/>
  <c r="I11" i="10"/>
  <c r="I13" i="10" s="1"/>
  <c r="J11" i="10"/>
  <c r="K11" i="10"/>
  <c r="K13" i="10" s="1"/>
  <c r="L11" i="10"/>
  <c r="M11" i="10"/>
  <c r="N11" i="10"/>
  <c r="D12" i="10"/>
  <c r="E12" i="10"/>
  <c r="F12" i="10"/>
  <c r="F13" i="10" s="1"/>
  <c r="G12" i="10"/>
  <c r="H12" i="10"/>
  <c r="H19" i="10" s="1"/>
  <c r="I12" i="10"/>
  <c r="J12" i="10"/>
  <c r="K12" i="10"/>
  <c r="L12" i="10"/>
  <c r="M12" i="10"/>
  <c r="N12" i="10"/>
  <c r="C12" i="10"/>
  <c r="C11" i="10"/>
  <c r="O11" i="10" s="1"/>
  <c r="N15" i="10"/>
  <c r="M15" i="10"/>
  <c r="L15" i="10"/>
  <c r="K15" i="10"/>
  <c r="J15" i="10"/>
  <c r="I15" i="10"/>
  <c r="H15" i="10"/>
  <c r="G15" i="10"/>
  <c r="F15" i="10"/>
  <c r="E15" i="10"/>
  <c r="D15" i="10"/>
  <c r="C15" i="10"/>
  <c r="N13" i="10"/>
  <c r="M13" i="10"/>
  <c r="E13" i="10"/>
  <c r="N9" i="10"/>
  <c r="M9" i="10"/>
  <c r="L9" i="10"/>
  <c r="K9" i="10"/>
  <c r="J9" i="10"/>
  <c r="I9" i="10"/>
  <c r="H9" i="10"/>
  <c r="G9" i="10"/>
  <c r="F9" i="10"/>
  <c r="E9" i="10"/>
  <c r="O9" i="10" s="1"/>
  <c r="D9" i="10"/>
  <c r="C9" i="10"/>
  <c r="N8" i="10"/>
  <c r="N23" i="10" s="1"/>
  <c r="M8" i="10"/>
  <c r="M23" i="10" s="1"/>
  <c r="L8" i="10"/>
  <c r="K8" i="10"/>
  <c r="J8" i="10"/>
  <c r="J22" i="10" s="1"/>
  <c r="I8" i="10"/>
  <c r="I10" i="10" s="1"/>
  <c r="H8" i="10"/>
  <c r="G8" i="10"/>
  <c r="G23" i="10" s="1"/>
  <c r="F8" i="10"/>
  <c r="F23" i="10" s="1"/>
  <c r="E8" i="10"/>
  <c r="E23" i="10" s="1"/>
  <c r="D8" i="10"/>
  <c r="C8" i="10"/>
  <c r="G48" i="10"/>
  <c r="H48" i="10" s="1"/>
  <c r="I48" i="10" s="1"/>
  <c r="J48" i="10" s="1"/>
  <c r="K48" i="10" s="1"/>
  <c r="L48" i="10" s="1"/>
  <c r="M48" i="10" s="1"/>
  <c r="N48" i="10" s="1"/>
  <c r="E48" i="10"/>
  <c r="D48" i="10"/>
  <c r="I47" i="10"/>
  <c r="J47" i="10" s="1"/>
  <c r="K47" i="10" s="1"/>
  <c r="L47" i="10" s="1"/>
  <c r="M47" i="10" s="1"/>
  <c r="N47" i="10" s="1"/>
  <c r="H47" i="10"/>
  <c r="G47" i="10"/>
  <c r="D47" i="10"/>
  <c r="E47" i="10" s="1"/>
  <c r="G46" i="10"/>
  <c r="D46" i="10"/>
  <c r="E46" i="10" s="1"/>
  <c r="G45" i="10"/>
  <c r="D45" i="10"/>
  <c r="E19" i="10"/>
  <c r="D44" i="10"/>
  <c r="H39" i="10"/>
  <c r="I39" i="10" s="1"/>
  <c r="J39" i="10" s="1"/>
  <c r="G39" i="10"/>
  <c r="D39" i="10"/>
  <c r="E39" i="10" s="1"/>
  <c r="G38" i="10"/>
  <c r="H38" i="10" s="1"/>
  <c r="I38" i="10" s="1"/>
  <c r="J38" i="10" s="1"/>
  <c r="K38" i="10" s="1"/>
  <c r="L38" i="10" s="1"/>
  <c r="M38" i="10" s="1"/>
  <c r="N38" i="10" s="1"/>
  <c r="D38" i="10"/>
  <c r="E38" i="10" s="1"/>
  <c r="N37" i="10"/>
  <c r="M37" i="10"/>
  <c r="M40" i="10" s="1"/>
  <c r="L37" i="10"/>
  <c r="L40" i="10" s="1"/>
  <c r="K37" i="10"/>
  <c r="J37" i="10"/>
  <c r="I37" i="10"/>
  <c r="I31" i="10" s="1"/>
  <c r="H37" i="10"/>
  <c r="H31" i="10" s="1"/>
  <c r="G37" i="10"/>
  <c r="G31" i="10" s="1"/>
  <c r="F37" i="10"/>
  <c r="E37" i="10"/>
  <c r="E40" i="10" s="1"/>
  <c r="D37" i="10"/>
  <c r="D40" i="10" s="1"/>
  <c r="C37" i="10"/>
  <c r="C40" i="10" s="1"/>
  <c r="C31" i="10"/>
  <c r="H23" i="10"/>
  <c r="O21" i="10"/>
  <c r="O20" i="10"/>
  <c r="D19" i="10"/>
  <c r="J13" i="10"/>
  <c r="L13" i="10"/>
  <c r="G13" i="10"/>
  <c r="D13" i="10"/>
  <c r="I19" i="10"/>
  <c r="F19" i="10"/>
  <c r="L22" i="10"/>
  <c r="H10" i="10"/>
  <c r="D22" i="10"/>
  <c r="D6" i="10"/>
  <c r="E6" i="10" s="1"/>
  <c r="F6" i="10" s="1"/>
  <c r="G6" i="10" s="1"/>
  <c r="H6" i="10" s="1"/>
  <c r="I6" i="10" s="1"/>
  <c r="J6" i="10" s="1"/>
  <c r="K6" i="10" s="1"/>
  <c r="L6" i="10" s="1"/>
  <c r="M6" i="10" s="1"/>
  <c r="N6" i="10" s="1"/>
  <c r="P37" i="8"/>
  <c r="D31" i="10" l="1"/>
  <c r="E31" i="10"/>
  <c r="F40" i="10"/>
  <c r="F31" i="10"/>
  <c r="H45" i="10"/>
  <c r="G24" i="10"/>
  <c r="H46" i="10"/>
  <c r="G25" i="10"/>
  <c r="E45" i="10"/>
  <c r="E24" i="10" s="1"/>
  <c r="D24" i="10"/>
  <c r="J19" i="10"/>
  <c r="K19" i="10"/>
  <c r="P37" i="10"/>
  <c r="N40" i="10"/>
  <c r="G40" i="10"/>
  <c r="O16" i="10"/>
  <c r="O12" i="10"/>
  <c r="K22" i="10"/>
  <c r="H13" i="10"/>
  <c r="C19" i="10"/>
  <c r="C22" i="10"/>
  <c r="J10" i="10"/>
  <c r="I17" i="10"/>
  <c r="O13" i="10"/>
  <c r="P11" i="10"/>
  <c r="L19" i="10"/>
  <c r="N19" i="10"/>
  <c r="J40" i="10"/>
  <c r="K40" i="10"/>
  <c r="J31" i="10"/>
  <c r="K39" i="10"/>
  <c r="C10" i="10"/>
  <c r="K10" i="10"/>
  <c r="C13" i="10"/>
  <c r="J17" i="10"/>
  <c r="F22" i="10"/>
  <c r="I23" i="10"/>
  <c r="H40" i="10"/>
  <c r="E22" i="10"/>
  <c r="O8" i="10"/>
  <c r="D10" i="10"/>
  <c r="L10" i="10"/>
  <c r="O15" i="10"/>
  <c r="C17" i="10"/>
  <c r="K17" i="10"/>
  <c r="G22" i="10"/>
  <c r="G27" i="10" s="1"/>
  <c r="J23" i="10"/>
  <c r="I40" i="10"/>
  <c r="E10" i="10"/>
  <c r="M10" i="10"/>
  <c r="D17" i="10"/>
  <c r="L17" i="10"/>
  <c r="G19" i="10"/>
  <c r="H22" i="10"/>
  <c r="C23" i="10"/>
  <c r="K23" i="10"/>
  <c r="F10" i="10"/>
  <c r="N10" i="10"/>
  <c r="E17" i="10"/>
  <c r="M17" i="10"/>
  <c r="I22" i="10"/>
  <c r="D23" i="10"/>
  <c r="L23" i="10"/>
  <c r="M22" i="10"/>
  <c r="G10" i="10"/>
  <c r="F17" i="10"/>
  <c r="N17" i="10"/>
  <c r="G17" i="10"/>
  <c r="H17" i="10"/>
  <c r="O40" i="10" l="1"/>
  <c r="I45" i="10"/>
  <c r="H24" i="10"/>
  <c r="I46" i="10"/>
  <c r="H25" i="10"/>
  <c r="C27" i="10"/>
  <c r="M19" i="10"/>
  <c r="O19" i="10" s="1"/>
  <c r="F27" i="10"/>
  <c r="F29" i="10" s="1"/>
  <c r="F30" i="10" s="1"/>
  <c r="D27" i="10"/>
  <c r="D29" i="10" s="1"/>
  <c r="G29" i="10"/>
  <c r="H27" i="10"/>
  <c r="H29" i="10" s="1"/>
  <c r="O26" i="10"/>
  <c r="K31" i="10"/>
  <c r="L39" i="10"/>
  <c r="O23" i="10"/>
  <c r="O10" i="10"/>
  <c r="P8" i="10"/>
  <c r="O22" i="10"/>
  <c r="O17" i="10"/>
  <c r="C29" i="10"/>
  <c r="E27" i="10"/>
  <c r="E29" i="10" s="1"/>
  <c r="D9" i="8"/>
  <c r="E9" i="8"/>
  <c r="F9" i="8"/>
  <c r="G9" i="8"/>
  <c r="H9" i="8"/>
  <c r="I9" i="8"/>
  <c r="J9" i="8"/>
  <c r="K9" i="8"/>
  <c r="L9" i="8"/>
  <c r="M9" i="8"/>
  <c r="N9" i="8"/>
  <c r="D12" i="8"/>
  <c r="E12" i="8"/>
  <c r="F12" i="8"/>
  <c r="G12" i="8"/>
  <c r="H12" i="8"/>
  <c r="I12" i="8"/>
  <c r="J12" i="8"/>
  <c r="K12" i="8"/>
  <c r="L12" i="8"/>
  <c r="M12" i="8"/>
  <c r="N12" i="8"/>
  <c r="C9" i="8"/>
  <c r="C12" i="8"/>
  <c r="D16" i="8"/>
  <c r="E16" i="8"/>
  <c r="F16" i="8"/>
  <c r="G16" i="8"/>
  <c r="H16" i="8"/>
  <c r="I16" i="8"/>
  <c r="J16" i="8"/>
  <c r="K16" i="8"/>
  <c r="L16" i="8"/>
  <c r="M16" i="8"/>
  <c r="N16" i="8"/>
  <c r="C16" i="8"/>
  <c r="D11" i="8"/>
  <c r="D13" i="8" s="1"/>
  <c r="E11" i="8"/>
  <c r="E13" i="8" s="1"/>
  <c r="F11" i="8"/>
  <c r="G11" i="8"/>
  <c r="G13" i="8" s="1"/>
  <c r="H11" i="8"/>
  <c r="I11" i="8"/>
  <c r="I13" i="8" s="1"/>
  <c r="J11" i="8"/>
  <c r="J13" i="8" s="1"/>
  <c r="K11" i="8"/>
  <c r="K13" i="8" s="1"/>
  <c r="L11" i="8"/>
  <c r="L13" i="8" s="1"/>
  <c r="M11" i="8"/>
  <c r="M13" i="8" s="1"/>
  <c r="N11" i="8"/>
  <c r="C11" i="8"/>
  <c r="C13" i="8" s="1"/>
  <c r="F19" i="8" l="1"/>
  <c r="J45" i="10"/>
  <c r="I24" i="10"/>
  <c r="J46" i="10"/>
  <c r="I25" i="10"/>
  <c r="I27" i="10" s="1"/>
  <c r="I29" i="10" s="1"/>
  <c r="E30" i="10"/>
  <c r="E32" i="10" s="1"/>
  <c r="E42" i="10" s="1"/>
  <c r="L31" i="10"/>
  <c r="M39" i="10"/>
  <c r="C30" i="10"/>
  <c r="D30" i="10"/>
  <c r="D32" i="10" s="1"/>
  <c r="D42" i="10" s="1"/>
  <c r="F32" i="10"/>
  <c r="F42" i="10" s="1"/>
  <c r="H30" i="10"/>
  <c r="H32" i="10" s="1"/>
  <c r="H42" i="10" s="1"/>
  <c r="G30" i="10"/>
  <c r="G32" i="10" s="1"/>
  <c r="G42" i="10" s="1"/>
  <c r="N13" i="8"/>
  <c r="F13" i="8"/>
  <c r="H13" i="8"/>
  <c r="C19" i="8"/>
  <c r="O16" i="8"/>
  <c r="O11" i="8"/>
  <c r="O12" i="8"/>
  <c r="D19" i="8"/>
  <c r="D48" i="8"/>
  <c r="E48" i="8" s="1"/>
  <c r="D47" i="8"/>
  <c r="E47" i="8" s="1"/>
  <c r="D46" i="8"/>
  <c r="E46" i="8" s="1"/>
  <c r="D45" i="8"/>
  <c r="E45" i="8" s="1"/>
  <c r="D44" i="8"/>
  <c r="E44" i="8" s="1"/>
  <c r="E19" i="8" s="1"/>
  <c r="K45" i="10" l="1"/>
  <c r="J24" i="10"/>
  <c r="I30" i="10"/>
  <c r="I32" i="10" s="1"/>
  <c r="I42" i="10" s="1"/>
  <c r="K46" i="10"/>
  <c r="J25" i="10"/>
  <c r="J27" i="10" s="1"/>
  <c r="J29" i="10" s="1"/>
  <c r="J30" i="10" s="1"/>
  <c r="J32" i="10" s="1"/>
  <c r="J42" i="10" s="1"/>
  <c r="M31" i="10"/>
  <c r="N39" i="10"/>
  <c r="N31" i="10" s="1"/>
  <c r="C32" i="10"/>
  <c r="C42" i="10" s="1"/>
  <c r="P11" i="8"/>
  <c r="P16" i="8" s="1"/>
  <c r="O13" i="8"/>
  <c r="D38" i="8"/>
  <c r="E38" i="8" s="1"/>
  <c r="D39" i="8"/>
  <c r="E37" i="8"/>
  <c r="D37" i="8"/>
  <c r="C37" i="8"/>
  <c r="C40" i="8" s="1"/>
  <c r="G48" i="8"/>
  <c r="H48" i="8" s="1"/>
  <c r="I48" i="8" s="1"/>
  <c r="J48" i="8" s="1"/>
  <c r="K48" i="8" s="1"/>
  <c r="L48" i="8" s="1"/>
  <c r="M48" i="8" s="1"/>
  <c r="N48" i="8" s="1"/>
  <c r="G46" i="8"/>
  <c r="H46" i="8" s="1"/>
  <c r="I46" i="8" s="1"/>
  <c r="J46" i="8" s="1"/>
  <c r="K46" i="8" s="1"/>
  <c r="L46" i="8" s="1"/>
  <c r="M46" i="8" s="1"/>
  <c r="N46" i="8" s="1"/>
  <c r="G47" i="8"/>
  <c r="H47" i="8" s="1"/>
  <c r="I47" i="8" s="1"/>
  <c r="J47" i="8" s="1"/>
  <c r="K47" i="8" s="1"/>
  <c r="L47" i="8" s="1"/>
  <c r="M47" i="8" s="1"/>
  <c r="N47" i="8" s="1"/>
  <c r="G45" i="8"/>
  <c r="H45" i="8" s="1"/>
  <c r="I45" i="8" s="1"/>
  <c r="J45" i="8" s="1"/>
  <c r="K45" i="8" s="1"/>
  <c r="L45" i="8" s="1"/>
  <c r="M45" i="8" s="1"/>
  <c r="N45" i="8" s="1"/>
  <c r="G44" i="8"/>
  <c r="O31" i="10" l="1"/>
  <c r="K24" i="10"/>
  <c r="L45" i="10"/>
  <c r="L46" i="10"/>
  <c r="K25" i="10"/>
  <c r="H44" i="8"/>
  <c r="G19" i="8"/>
  <c r="E40" i="8"/>
  <c r="D40" i="8"/>
  <c r="D31" i="8"/>
  <c r="C31" i="8"/>
  <c r="E39" i="8"/>
  <c r="E31" i="8" s="1"/>
  <c r="G39" i="8"/>
  <c r="H39" i="8" s="1"/>
  <c r="G38" i="8"/>
  <c r="H38" i="8" s="1"/>
  <c r="O21" i="8"/>
  <c r="O20" i="8"/>
  <c r="F37" i="8"/>
  <c r="F31" i="8" s="1"/>
  <c r="G37" i="8"/>
  <c r="H37" i="8"/>
  <c r="I37" i="8"/>
  <c r="J37" i="8"/>
  <c r="K37" i="8"/>
  <c r="L37" i="8"/>
  <c r="M37" i="8"/>
  <c r="N37" i="8"/>
  <c r="M45" i="10" l="1"/>
  <c r="L24" i="10"/>
  <c r="K27" i="10"/>
  <c r="K29" i="10" s="1"/>
  <c r="M46" i="10"/>
  <c r="L25" i="10"/>
  <c r="L27" i="10" s="1"/>
  <c r="L29" i="10" s="1"/>
  <c r="L30" i="10" s="1"/>
  <c r="L32" i="10" s="1"/>
  <c r="L42" i="10" s="1"/>
  <c r="I44" i="8"/>
  <c r="H19" i="8"/>
  <c r="G40" i="8"/>
  <c r="H40" i="8"/>
  <c r="O9" i="8"/>
  <c r="I38" i="8"/>
  <c r="J38" i="8" s="1"/>
  <c r="K38" i="8" s="1"/>
  <c r="L38" i="8" s="1"/>
  <c r="M38" i="8" s="1"/>
  <c r="N38" i="8" s="1"/>
  <c r="N40" i="8" s="1"/>
  <c r="F40" i="8"/>
  <c r="G31" i="8"/>
  <c r="I39" i="8"/>
  <c r="H31" i="8"/>
  <c r="D6" i="9"/>
  <c r="E6" i="9" s="1"/>
  <c r="F6" i="9" s="1"/>
  <c r="G6" i="9" s="1"/>
  <c r="H6" i="9" s="1"/>
  <c r="I6" i="9" s="1"/>
  <c r="J6" i="9" s="1"/>
  <c r="K6" i="9" s="1"/>
  <c r="L6" i="9" s="1"/>
  <c r="M6" i="9" s="1"/>
  <c r="N6" i="9" s="1"/>
  <c r="D15" i="8"/>
  <c r="D17" i="8" s="1"/>
  <c r="E15" i="8"/>
  <c r="E17" i="8" s="1"/>
  <c r="F15" i="8"/>
  <c r="F17" i="8" s="1"/>
  <c r="G15" i="8"/>
  <c r="G17" i="8" s="1"/>
  <c r="H15" i="8"/>
  <c r="H17" i="8" s="1"/>
  <c r="I15" i="8"/>
  <c r="I17" i="8" s="1"/>
  <c r="J15" i="8"/>
  <c r="J17" i="8" s="1"/>
  <c r="K15" i="8"/>
  <c r="K17" i="8" s="1"/>
  <c r="L15" i="8"/>
  <c r="L17" i="8" s="1"/>
  <c r="M15" i="8"/>
  <c r="M17" i="8" s="1"/>
  <c r="N15" i="8"/>
  <c r="N17" i="8" s="1"/>
  <c r="C15" i="8"/>
  <c r="C17" i="8" s="1"/>
  <c r="D8" i="8"/>
  <c r="E8" i="8"/>
  <c r="F8" i="8"/>
  <c r="G8" i="8"/>
  <c r="H8" i="8"/>
  <c r="I8" i="8"/>
  <c r="J8" i="8"/>
  <c r="K8" i="8"/>
  <c r="L8" i="8"/>
  <c r="M8" i="8"/>
  <c r="N8" i="8"/>
  <c r="C8" i="8"/>
  <c r="D6" i="8"/>
  <c r="E6" i="8" s="1"/>
  <c r="F6" i="8" s="1"/>
  <c r="G6" i="8" s="1"/>
  <c r="H6" i="8" s="1"/>
  <c r="I6" i="8" s="1"/>
  <c r="J6" i="8" s="1"/>
  <c r="K6" i="8" s="1"/>
  <c r="L6" i="8" s="1"/>
  <c r="M6" i="8" s="1"/>
  <c r="N6" i="8" s="1"/>
  <c r="K25" i="8" l="1"/>
  <c r="K26" i="8"/>
  <c r="K24" i="8"/>
  <c r="F10" i="8"/>
  <c r="F23" i="8"/>
  <c r="F22" i="8"/>
  <c r="J25" i="8"/>
  <c r="J26" i="8"/>
  <c r="J24" i="8"/>
  <c r="C10" i="8"/>
  <c r="C23" i="8"/>
  <c r="C22" i="8"/>
  <c r="N10" i="8"/>
  <c r="N23" i="8"/>
  <c r="N22" i="8"/>
  <c r="E10" i="8"/>
  <c r="E23" i="8"/>
  <c r="E22" i="8"/>
  <c r="L10" i="8"/>
  <c r="L22" i="8"/>
  <c r="L23" i="8"/>
  <c r="D10" i="8"/>
  <c r="D23" i="8"/>
  <c r="D22" i="8"/>
  <c r="H26" i="8"/>
  <c r="H24" i="8"/>
  <c r="H25" i="8"/>
  <c r="H10" i="8"/>
  <c r="H22" i="8"/>
  <c r="H23" i="8"/>
  <c r="G26" i="8"/>
  <c r="G24" i="8"/>
  <c r="G25" i="8"/>
  <c r="G10" i="8"/>
  <c r="G22" i="8"/>
  <c r="G23" i="8"/>
  <c r="I25" i="8"/>
  <c r="I26" i="8"/>
  <c r="I24" i="8"/>
  <c r="C26" i="8"/>
  <c r="C25" i="8"/>
  <c r="C24" i="8"/>
  <c r="J10" i="8"/>
  <c r="J22" i="8"/>
  <c r="J23" i="8"/>
  <c r="N26" i="8"/>
  <c r="N24" i="8"/>
  <c r="N25" i="8"/>
  <c r="F26" i="8"/>
  <c r="F24" i="8"/>
  <c r="F25" i="8"/>
  <c r="M10" i="8"/>
  <c r="M23" i="8"/>
  <c r="M22" i="8"/>
  <c r="K10" i="8"/>
  <c r="K22" i="8"/>
  <c r="K23" i="8"/>
  <c r="I10" i="8"/>
  <c r="I22" i="8"/>
  <c r="I23" i="8"/>
  <c r="M24" i="8"/>
  <c r="M26" i="8"/>
  <c r="M25" i="8"/>
  <c r="E24" i="8"/>
  <c r="E25" i="8"/>
  <c r="E26" i="8"/>
  <c r="L24" i="8"/>
  <c r="L25" i="8"/>
  <c r="L26" i="8"/>
  <c r="D24" i="8"/>
  <c r="D25" i="8"/>
  <c r="D26" i="8"/>
  <c r="N45" i="10"/>
  <c r="N24" i="10" s="1"/>
  <c r="M24" i="10"/>
  <c r="N46" i="10"/>
  <c r="N25" i="10" s="1"/>
  <c r="N27" i="10" s="1"/>
  <c r="N29" i="10" s="1"/>
  <c r="M25" i="10"/>
  <c r="M27" i="10" s="1"/>
  <c r="M29" i="10" s="1"/>
  <c r="K30" i="10"/>
  <c r="O29" i="10"/>
  <c r="O17" i="8"/>
  <c r="J44" i="8"/>
  <c r="I19" i="8"/>
  <c r="M40" i="8"/>
  <c r="J40" i="8"/>
  <c r="I40" i="8"/>
  <c r="K40" i="8"/>
  <c r="L40" i="8"/>
  <c r="J39" i="8"/>
  <c r="I31" i="8"/>
  <c r="O15" i="8"/>
  <c r="O8" i="8"/>
  <c r="O10" i="8" s="1"/>
  <c r="I85" i="3"/>
  <c r="I84" i="3"/>
  <c r="I83" i="3"/>
  <c r="J85" i="3"/>
  <c r="J84" i="3"/>
  <c r="J83" i="3"/>
  <c r="J79" i="3"/>
  <c r="J80" i="3"/>
  <c r="J81" i="3"/>
  <c r="I81" i="3"/>
  <c r="I80" i="3"/>
  <c r="I79" i="3"/>
  <c r="J76" i="3"/>
  <c r="J75" i="3"/>
  <c r="J74" i="3"/>
  <c r="I76" i="3"/>
  <c r="I75" i="3"/>
  <c r="I74" i="3"/>
  <c r="J70" i="3"/>
  <c r="J71" i="3"/>
  <c r="J72" i="3"/>
  <c r="I72" i="3"/>
  <c r="I71" i="3"/>
  <c r="I70" i="3"/>
  <c r="I65" i="3"/>
  <c r="I64" i="3"/>
  <c r="J65" i="3"/>
  <c r="J64" i="3"/>
  <c r="J63" i="3"/>
  <c r="I63" i="3"/>
  <c r="J61" i="3"/>
  <c r="J60" i="3"/>
  <c r="J59" i="3"/>
  <c r="I61" i="3"/>
  <c r="I60" i="3"/>
  <c r="I59" i="3"/>
  <c r="J54" i="3"/>
  <c r="J55" i="3"/>
  <c r="J56" i="3"/>
  <c r="I56" i="3"/>
  <c r="I55" i="3"/>
  <c r="I54" i="3"/>
  <c r="J52" i="3"/>
  <c r="J51" i="3"/>
  <c r="J50" i="3"/>
  <c r="I52" i="3"/>
  <c r="I51" i="3"/>
  <c r="I50" i="3"/>
  <c r="J43" i="3"/>
  <c r="J42" i="3"/>
  <c r="J41" i="3"/>
  <c r="I43" i="3"/>
  <c r="I42" i="3"/>
  <c r="I41" i="3"/>
  <c r="I38" i="3"/>
  <c r="I39" i="3"/>
  <c r="J39" i="3"/>
  <c r="J38" i="3"/>
  <c r="J37" i="3"/>
  <c r="I37" i="3"/>
  <c r="I34" i="3"/>
  <c r="I33" i="3"/>
  <c r="J34" i="3"/>
  <c r="J33" i="3"/>
  <c r="J32" i="3"/>
  <c r="I32" i="3"/>
  <c r="J28" i="3"/>
  <c r="J29" i="3"/>
  <c r="J30" i="3"/>
  <c r="I30" i="3"/>
  <c r="I29" i="3"/>
  <c r="I28" i="3"/>
  <c r="I21" i="3"/>
  <c r="I20" i="3"/>
  <c r="I19" i="3"/>
  <c r="J21" i="3"/>
  <c r="J20" i="3"/>
  <c r="J19" i="3"/>
  <c r="J17" i="3"/>
  <c r="I17" i="3"/>
  <c r="I16" i="3"/>
  <c r="J16" i="3"/>
  <c r="J15" i="3"/>
  <c r="I15" i="3"/>
  <c r="I12" i="3"/>
  <c r="I11" i="3"/>
  <c r="J12" i="3"/>
  <c r="J11" i="3"/>
  <c r="J10" i="3"/>
  <c r="I10" i="3"/>
  <c r="J8" i="3"/>
  <c r="I8" i="3"/>
  <c r="I7" i="3"/>
  <c r="J7" i="3"/>
  <c r="J6" i="3"/>
  <c r="I6" i="3"/>
  <c r="O22" i="8" l="1"/>
  <c r="O23" i="8"/>
  <c r="O24" i="10"/>
  <c r="K32" i="10"/>
  <c r="K42" i="10" s="1"/>
  <c r="M30" i="10"/>
  <c r="M32" i="10" s="1"/>
  <c r="M42" i="10" s="1"/>
  <c r="N30" i="10"/>
  <c r="N32" i="10" s="1"/>
  <c r="N42" i="10" s="1"/>
  <c r="O25" i="10"/>
  <c r="O27" i="10" s="1"/>
  <c r="P8" i="8"/>
  <c r="P15" i="8" s="1"/>
  <c r="K44" i="8"/>
  <c r="J19" i="8"/>
  <c r="E27" i="8"/>
  <c r="D27" i="8"/>
  <c r="C27" i="8"/>
  <c r="L27" i="8"/>
  <c r="L29" i="8" s="1"/>
  <c r="O24" i="8"/>
  <c r="G27" i="8"/>
  <c r="G29" i="8" s="1"/>
  <c r="K27" i="8"/>
  <c r="K29" i="8" s="1"/>
  <c r="H27" i="8"/>
  <c r="H29" i="8" s="1"/>
  <c r="N27" i="8"/>
  <c r="N29" i="8" s="1"/>
  <c r="J27" i="8"/>
  <c r="J29" i="8" s="1"/>
  <c r="O26" i="8"/>
  <c r="O40" i="8"/>
  <c r="M27" i="8"/>
  <c r="M29" i="8" s="1"/>
  <c r="O25" i="8"/>
  <c r="I27" i="8"/>
  <c r="I29" i="8" s="1"/>
  <c r="K39" i="8"/>
  <c r="J31" i="8"/>
  <c r="O20" i="2"/>
  <c r="O30" i="10" l="1"/>
  <c r="O32" i="10" s="1"/>
  <c r="O42" i="10"/>
  <c r="C29" i="8"/>
  <c r="C30" i="8" s="1"/>
  <c r="C32" i="8" s="1"/>
  <c r="C42" i="8" s="1"/>
  <c r="D29" i="8"/>
  <c r="D30" i="8" s="1"/>
  <c r="D32" i="8" s="1"/>
  <c r="D42" i="8" s="1"/>
  <c r="E29" i="8"/>
  <c r="E30" i="8" s="1"/>
  <c r="E32" i="8" s="1"/>
  <c r="E42" i="8" s="1"/>
  <c r="L44" i="8"/>
  <c r="K19" i="8"/>
  <c r="H30" i="8"/>
  <c r="H32" i="8" s="1"/>
  <c r="H42" i="8" s="1"/>
  <c r="G30" i="8"/>
  <c r="G32" i="8" s="1"/>
  <c r="G42" i="8" s="1"/>
  <c r="K30" i="8"/>
  <c r="J30" i="8"/>
  <c r="J32" i="8" s="1"/>
  <c r="J42" i="8" s="1"/>
  <c r="I30" i="8"/>
  <c r="I32" i="8" s="1"/>
  <c r="I42" i="8" s="1"/>
  <c r="N30" i="8"/>
  <c r="L30" i="8"/>
  <c r="M30" i="8"/>
  <c r="O27" i="8"/>
  <c r="L39" i="8"/>
  <c r="K31" i="8"/>
  <c r="E9" i="2"/>
  <c r="F9" i="2"/>
  <c r="E10" i="2"/>
  <c r="F10" i="2"/>
  <c r="E11" i="2"/>
  <c r="U11" i="2" s="1"/>
  <c r="F11" i="2"/>
  <c r="E12" i="2"/>
  <c r="F12" i="2"/>
  <c r="D12" i="2"/>
  <c r="D11" i="2"/>
  <c r="D10" i="2"/>
  <c r="D9" i="2"/>
  <c r="E35" i="2"/>
  <c r="F35" i="2"/>
  <c r="E36" i="2"/>
  <c r="F36" i="2"/>
  <c r="E37" i="2"/>
  <c r="F37" i="2"/>
  <c r="E38" i="2"/>
  <c r="F38" i="2"/>
  <c r="D38" i="2"/>
  <c r="Q38" i="2" s="1"/>
  <c r="D37" i="2"/>
  <c r="D36" i="2"/>
  <c r="D35" i="2"/>
  <c r="Q50" i="2"/>
  <c r="Q49" i="2"/>
  <c r="Q48" i="2"/>
  <c r="U42" i="2"/>
  <c r="T42" i="2"/>
  <c r="S42" i="2"/>
  <c r="R42" i="2"/>
  <c r="Q42" i="2"/>
  <c r="U41" i="2"/>
  <c r="T41" i="2"/>
  <c r="S41" i="2"/>
  <c r="R41" i="2"/>
  <c r="Q41" i="2"/>
  <c r="U40" i="2"/>
  <c r="T40" i="2"/>
  <c r="S40" i="2"/>
  <c r="R40" i="2"/>
  <c r="Q40" i="2"/>
  <c r="U39" i="2"/>
  <c r="T39" i="2"/>
  <c r="S39" i="2"/>
  <c r="R39" i="2"/>
  <c r="Q39" i="2"/>
  <c r="T38" i="2"/>
  <c r="S38" i="2"/>
  <c r="R38" i="2"/>
  <c r="T37" i="2"/>
  <c r="S37" i="2"/>
  <c r="R37" i="2"/>
  <c r="T36" i="2"/>
  <c r="S36" i="2"/>
  <c r="R36" i="2"/>
  <c r="T35" i="2"/>
  <c r="S35" i="2"/>
  <c r="R35" i="2"/>
  <c r="T12" i="2"/>
  <c r="S12" i="2"/>
  <c r="R12" i="2"/>
  <c r="T11" i="2"/>
  <c r="S11" i="2"/>
  <c r="R11" i="2"/>
  <c r="U16" i="2"/>
  <c r="T16" i="2"/>
  <c r="S16" i="2"/>
  <c r="R16" i="2"/>
  <c r="Q16" i="2"/>
  <c r="U15" i="2"/>
  <c r="T15" i="2"/>
  <c r="S15" i="2"/>
  <c r="R15" i="2"/>
  <c r="Q15" i="2"/>
  <c r="Q24" i="2"/>
  <c r="Q23" i="2"/>
  <c r="U14" i="2"/>
  <c r="T14" i="2"/>
  <c r="S14" i="2"/>
  <c r="R14" i="2"/>
  <c r="Q14" i="2"/>
  <c r="U13" i="2"/>
  <c r="T13" i="2"/>
  <c r="S13" i="2"/>
  <c r="R13" i="2"/>
  <c r="Q13" i="2"/>
  <c r="Q22" i="2"/>
  <c r="T10" i="2"/>
  <c r="S10" i="2"/>
  <c r="R10" i="2"/>
  <c r="T9" i="2"/>
  <c r="S9" i="2"/>
  <c r="R9" i="2"/>
  <c r="O50" i="2"/>
  <c r="N50" i="2"/>
  <c r="M50" i="2"/>
  <c r="L50" i="2"/>
  <c r="K50" i="2"/>
  <c r="J50" i="2"/>
  <c r="S50" i="2" s="1"/>
  <c r="I50" i="2"/>
  <c r="R50" i="2" s="1"/>
  <c r="H50" i="2"/>
  <c r="G50" i="2"/>
  <c r="O49" i="2"/>
  <c r="N49" i="2"/>
  <c r="M49" i="2"/>
  <c r="L49" i="2"/>
  <c r="K49" i="2"/>
  <c r="J49" i="2"/>
  <c r="I49" i="2"/>
  <c r="H49" i="2"/>
  <c r="G49" i="2"/>
  <c r="R49" i="2" s="1"/>
  <c r="O48" i="2"/>
  <c r="N48" i="2"/>
  <c r="M48" i="2"/>
  <c r="T48" i="2" s="1"/>
  <c r="L48" i="2"/>
  <c r="K48" i="2"/>
  <c r="J48" i="2"/>
  <c r="I48" i="2"/>
  <c r="H48" i="2"/>
  <c r="G48" i="2"/>
  <c r="O44" i="2"/>
  <c r="O46" i="2" s="1"/>
  <c r="N44" i="2"/>
  <c r="M44" i="2"/>
  <c r="L44" i="2"/>
  <c r="K44" i="2"/>
  <c r="J44" i="2"/>
  <c r="I44" i="2"/>
  <c r="H44" i="2"/>
  <c r="G44" i="2"/>
  <c r="O24" i="2"/>
  <c r="N24" i="2"/>
  <c r="M24" i="2"/>
  <c r="L24" i="2"/>
  <c r="K24" i="2"/>
  <c r="J24" i="2"/>
  <c r="I24" i="2"/>
  <c r="H24" i="2"/>
  <c r="G24" i="2"/>
  <c r="R24" i="2" s="1"/>
  <c r="O23" i="2"/>
  <c r="N23" i="2"/>
  <c r="M23" i="2"/>
  <c r="T23" i="2" s="1"/>
  <c r="L23" i="2"/>
  <c r="K23" i="2"/>
  <c r="J23" i="2"/>
  <c r="I23" i="2"/>
  <c r="H23" i="2"/>
  <c r="G23" i="2"/>
  <c r="R23" i="2" s="1"/>
  <c r="O22" i="2"/>
  <c r="N22" i="2"/>
  <c r="M22" i="2"/>
  <c r="L22" i="2"/>
  <c r="K22" i="2"/>
  <c r="J22" i="2"/>
  <c r="I22" i="2"/>
  <c r="H22" i="2"/>
  <c r="G22" i="2"/>
  <c r="O18" i="2"/>
  <c r="N18" i="2"/>
  <c r="M18" i="2"/>
  <c r="L18" i="2"/>
  <c r="K18" i="2"/>
  <c r="J18" i="2"/>
  <c r="I18" i="2"/>
  <c r="H18" i="2"/>
  <c r="G18" i="2"/>
  <c r="C60" i="2"/>
  <c r="C58" i="2"/>
  <c r="C53" i="2"/>
  <c r="C52" i="2"/>
  <c r="C51" i="2"/>
  <c r="C50" i="2"/>
  <c r="C49" i="2"/>
  <c r="C48" i="2"/>
  <c r="C46" i="2"/>
  <c r="C44" i="2"/>
  <c r="C32" i="2"/>
  <c r="C27" i="2"/>
  <c r="C26" i="2"/>
  <c r="C25" i="2"/>
  <c r="C24" i="2"/>
  <c r="C23" i="2"/>
  <c r="C22" i="2"/>
  <c r="A19" i="2"/>
  <c r="A20" i="2" s="1"/>
  <c r="C18" i="2"/>
  <c r="M44" i="8" l="1"/>
  <c r="L19" i="8"/>
  <c r="K32" i="8"/>
  <c r="K42" i="8" s="1"/>
  <c r="M39" i="8"/>
  <c r="L31" i="8"/>
  <c r="L32" i="8" s="1"/>
  <c r="L42" i="8" s="1"/>
  <c r="U50" i="2"/>
  <c r="T49" i="2"/>
  <c r="T50" i="2"/>
  <c r="T22" i="2"/>
  <c r="T24" i="2"/>
  <c r="S48" i="2"/>
  <c r="S49" i="2"/>
  <c r="U48" i="2"/>
  <c r="U23" i="2"/>
  <c r="U22" i="2"/>
  <c r="S22" i="2"/>
  <c r="S23" i="2"/>
  <c r="S24" i="2"/>
  <c r="U24" i="2"/>
  <c r="R22" i="2"/>
  <c r="R48" i="2"/>
  <c r="U49" i="2"/>
  <c r="U37" i="2"/>
  <c r="Q12" i="2"/>
  <c r="Q11" i="2"/>
  <c r="Q9" i="2"/>
  <c r="U10" i="2"/>
  <c r="U12" i="2"/>
  <c r="Q10" i="2"/>
  <c r="U9" i="2"/>
  <c r="U35" i="2"/>
  <c r="Q36" i="2"/>
  <c r="U38" i="2"/>
  <c r="Q37" i="2"/>
  <c r="U36" i="2"/>
  <c r="Q35" i="2"/>
  <c r="C20" i="2"/>
  <c r="N44" i="8" l="1"/>
  <c r="N19" i="8" s="1"/>
  <c r="M19" i="8"/>
  <c r="N39" i="8"/>
  <c r="N31" i="8" s="1"/>
  <c r="N32" i="8" s="1"/>
  <c r="N42" i="8" s="1"/>
  <c r="M31" i="8"/>
  <c r="M32" i="8" s="1"/>
  <c r="M42" i="8" s="1"/>
  <c r="F12" i="1"/>
  <c r="E12" i="1"/>
  <c r="D12" i="1"/>
  <c r="F11" i="1"/>
  <c r="E11" i="1"/>
  <c r="D11" i="1"/>
  <c r="F10" i="1"/>
  <c r="E10" i="1"/>
  <c r="D10" i="1"/>
  <c r="F9" i="1"/>
  <c r="E9" i="1"/>
  <c r="D9" i="1"/>
  <c r="E39" i="1"/>
  <c r="F39" i="1"/>
  <c r="E40" i="1"/>
  <c r="F40" i="1"/>
  <c r="D40" i="1"/>
  <c r="D39" i="1"/>
  <c r="E38" i="1"/>
  <c r="F38" i="1"/>
  <c r="D38" i="1"/>
  <c r="E37" i="1"/>
  <c r="F37" i="1"/>
  <c r="D37" i="1"/>
  <c r="U44" i="1"/>
  <c r="T44" i="1"/>
  <c r="S44" i="1"/>
  <c r="R44" i="1"/>
  <c r="Q44" i="1"/>
  <c r="U43" i="1"/>
  <c r="T43" i="1"/>
  <c r="S43" i="1"/>
  <c r="R43" i="1"/>
  <c r="Q43" i="1"/>
  <c r="U42" i="1"/>
  <c r="T42" i="1"/>
  <c r="S42" i="1"/>
  <c r="R42" i="1"/>
  <c r="Q42" i="1"/>
  <c r="U41" i="1"/>
  <c r="T41" i="1"/>
  <c r="S41" i="1"/>
  <c r="R41" i="1"/>
  <c r="Q41" i="1"/>
  <c r="T40" i="1"/>
  <c r="S40" i="1"/>
  <c r="R40" i="1"/>
  <c r="T39" i="1"/>
  <c r="S39" i="1"/>
  <c r="R39" i="1"/>
  <c r="T38" i="1"/>
  <c r="S38" i="1"/>
  <c r="R38" i="1"/>
  <c r="T37" i="1"/>
  <c r="S37" i="1"/>
  <c r="R37" i="1"/>
  <c r="U16" i="1"/>
  <c r="T16" i="1"/>
  <c r="S16" i="1"/>
  <c r="R16" i="1"/>
  <c r="Q16" i="1"/>
  <c r="U15" i="1"/>
  <c r="T15" i="1"/>
  <c r="S15" i="1"/>
  <c r="R15" i="1"/>
  <c r="Q15" i="1"/>
  <c r="T12" i="1"/>
  <c r="S12" i="1"/>
  <c r="R12" i="1"/>
  <c r="T11" i="1"/>
  <c r="S11" i="1"/>
  <c r="R11" i="1"/>
  <c r="U14" i="1"/>
  <c r="T14" i="1"/>
  <c r="S14" i="1"/>
  <c r="R14" i="1"/>
  <c r="Q14" i="1"/>
  <c r="U13" i="1"/>
  <c r="T13" i="1"/>
  <c r="S13" i="1"/>
  <c r="R13" i="1"/>
  <c r="Q13" i="1"/>
  <c r="R10" i="1"/>
  <c r="S10" i="1"/>
  <c r="T10" i="1"/>
  <c r="T9" i="1"/>
  <c r="S9" i="1"/>
  <c r="R9" i="1"/>
  <c r="Q9" i="1"/>
  <c r="O52" i="1"/>
  <c r="O54" i="1" s="1"/>
  <c r="N52" i="1"/>
  <c r="N54" i="1" s="1"/>
  <c r="M52" i="1"/>
  <c r="L52" i="1"/>
  <c r="K52" i="1"/>
  <c r="K54" i="1" s="1"/>
  <c r="J52" i="1"/>
  <c r="J54" i="1" s="1"/>
  <c r="I52" i="1"/>
  <c r="I54" i="1" s="1"/>
  <c r="I55" i="1" s="1"/>
  <c r="I56" i="1" s="1"/>
  <c r="H52" i="1"/>
  <c r="H54" i="1" s="1"/>
  <c r="G52" i="1"/>
  <c r="G54" i="1" s="1"/>
  <c r="O51" i="1"/>
  <c r="N51" i="1"/>
  <c r="M51" i="1"/>
  <c r="L51" i="1"/>
  <c r="K51" i="1"/>
  <c r="J51" i="1"/>
  <c r="I51" i="1"/>
  <c r="R51" i="1" s="1"/>
  <c r="H51" i="1"/>
  <c r="G51" i="1"/>
  <c r="O50" i="1"/>
  <c r="N50" i="1"/>
  <c r="M50" i="1"/>
  <c r="L50" i="1"/>
  <c r="L55" i="1" s="1"/>
  <c r="K50" i="1"/>
  <c r="J50" i="1"/>
  <c r="I50" i="1"/>
  <c r="H50" i="1"/>
  <c r="G50" i="1"/>
  <c r="O46" i="1"/>
  <c r="O48" i="1" s="1"/>
  <c r="N46" i="1"/>
  <c r="N48" i="1" s="1"/>
  <c r="M46" i="1"/>
  <c r="M48" i="1" s="1"/>
  <c r="L46" i="1"/>
  <c r="K46" i="1"/>
  <c r="K48" i="1" s="1"/>
  <c r="J46" i="1"/>
  <c r="J48" i="1" s="1"/>
  <c r="I46" i="1"/>
  <c r="I48" i="1" s="1"/>
  <c r="H46" i="1"/>
  <c r="G46" i="1"/>
  <c r="O24" i="1"/>
  <c r="O26" i="1" s="1"/>
  <c r="N24" i="1"/>
  <c r="N26" i="1" s="1"/>
  <c r="M24" i="1"/>
  <c r="T24" i="1" s="1"/>
  <c r="L24" i="1"/>
  <c r="K24" i="1"/>
  <c r="K26" i="1" s="1"/>
  <c r="J24" i="1"/>
  <c r="I24" i="1"/>
  <c r="H24" i="1"/>
  <c r="G24" i="1"/>
  <c r="G26" i="1" s="1"/>
  <c r="O23" i="1"/>
  <c r="N23" i="1"/>
  <c r="M23" i="1"/>
  <c r="L23" i="1"/>
  <c r="K23" i="1"/>
  <c r="J23" i="1"/>
  <c r="I23" i="1"/>
  <c r="H23" i="1"/>
  <c r="G23" i="1"/>
  <c r="G27" i="1" s="1"/>
  <c r="O22" i="1"/>
  <c r="N22" i="1"/>
  <c r="M22" i="1"/>
  <c r="L22" i="1"/>
  <c r="K22" i="1"/>
  <c r="J22" i="1"/>
  <c r="I22" i="1"/>
  <c r="H22" i="1"/>
  <c r="G22" i="1"/>
  <c r="O18" i="1"/>
  <c r="O20" i="1" s="1"/>
  <c r="J18" i="1"/>
  <c r="J20" i="1" s="1"/>
  <c r="K18" i="1"/>
  <c r="K20" i="1" s="1"/>
  <c r="L18" i="1"/>
  <c r="L20" i="1" s="1"/>
  <c r="M18" i="1"/>
  <c r="N18" i="1"/>
  <c r="N20" i="1" s="1"/>
  <c r="I18" i="1"/>
  <c r="I20" i="1" s="1"/>
  <c r="H18" i="1"/>
  <c r="H20" i="1" s="1"/>
  <c r="G18" i="1"/>
  <c r="G20" i="1" s="1"/>
  <c r="C64" i="1"/>
  <c r="C62" i="1"/>
  <c r="C52" i="1"/>
  <c r="C51" i="1"/>
  <c r="A51" i="1"/>
  <c r="A52" i="1" s="1"/>
  <c r="C50" i="1"/>
  <c r="A47" i="1"/>
  <c r="C48" i="1" s="1"/>
  <c r="C46" i="1"/>
  <c r="C34" i="1"/>
  <c r="C29" i="1"/>
  <c r="C28" i="1"/>
  <c r="C27" i="1"/>
  <c r="C26" i="1"/>
  <c r="C24" i="1"/>
  <c r="C23" i="1"/>
  <c r="C22" i="1"/>
  <c r="C20" i="1"/>
  <c r="A19" i="1"/>
  <c r="A20" i="1" s="1"/>
  <c r="C18" i="1"/>
  <c r="E6" i="1"/>
  <c r="F6" i="1" s="1"/>
  <c r="G6" i="1" s="1"/>
  <c r="H6" i="1" s="1"/>
  <c r="I6" i="1" s="1"/>
  <c r="J6" i="1" s="1"/>
  <c r="K6" i="1" s="1"/>
  <c r="L6" i="1" s="1"/>
  <c r="M6" i="1" s="1"/>
  <c r="N6" i="1" s="1"/>
  <c r="O6" i="1" s="1"/>
  <c r="Q18" i="1"/>
  <c r="D20" i="1"/>
  <c r="E20" i="1"/>
  <c r="F20" i="1"/>
  <c r="M20" i="1"/>
  <c r="D26" i="1"/>
  <c r="D27" i="1" s="1"/>
  <c r="E26" i="1"/>
  <c r="E27" i="1" s="1"/>
  <c r="F26" i="1"/>
  <c r="F27" i="1" s="1"/>
  <c r="H26" i="1"/>
  <c r="J26" i="1"/>
  <c r="L26" i="1"/>
  <c r="Q46" i="1"/>
  <c r="D48" i="1"/>
  <c r="E48" i="1"/>
  <c r="F48" i="1"/>
  <c r="G48" i="1"/>
  <c r="H48" i="1"/>
  <c r="L48" i="1"/>
  <c r="D54" i="1"/>
  <c r="D55" i="1" s="1"/>
  <c r="D56" i="1" s="1"/>
  <c r="E54" i="1"/>
  <c r="E55" i="1" s="1"/>
  <c r="F54" i="1"/>
  <c r="F55" i="1" s="1"/>
  <c r="L54" i="1"/>
  <c r="D59" i="1"/>
  <c r="E59" i="1"/>
  <c r="F59" i="1"/>
  <c r="G59" i="1"/>
  <c r="H59" i="1"/>
  <c r="I59" i="1"/>
  <c r="J59" i="1"/>
  <c r="K59" i="1"/>
  <c r="L59" i="1"/>
  <c r="M59" i="1"/>
  <c r="N59" i="1"/>
  <c r="O59" i="1"/>
  <c r="O31" i="8" l="1"/>
  <c r="U38" i="1"/>
  <c r="U11" i="1"/>
  <c r="L56" i="1"/>
  <c r="J55" i="1"/>
  <c r="K55" i="1"/>
  <c r="K56" i="1" s="1"/>
  <c r="Q48" i="1"/>
  <c r="Q47" i="1" s="1"/>
  <c r="U9" i="1"/>
  <c r="U12" i="1"/>
  <c r="T50" i="1"/>
  <c r="T51" i="1"/>
  <c r="T52" i="1"/>
  <c r="O27" i="1"/>
  <c r="O29" i="1" s="1"/>
  <c r="O30" i="1" s="1"/>
  <c r="N27" i="1"/>
  <c r="N29" i="1" s="1"/>
  <c r="M26" i="1"/>
  <c r="M27" i="1" s="1"/>
  <c r="M29" i="1" s="1"/>
  <c r="T22" i="1"/>
  <c r="T23" i="1"/>
  <c r="U50" i="1"/>
  <c r="U51" i="1"/>
  <c r="S50" i="1"/>
  <c r="S51" i="1"/>
  <c r="S22" i="1"/>
  <c r="S23" i="1"/>
  <c r="U24" i="1"/>
  <c r="S24" i="1"/>
  <c r="D57" i="1"/>
  <c r="H27" i="1"/>
  <c r="H28" i="1" s="1"/>
  <c r="R22" i="1"/>
  <c r="R24" i="1"/>
  <c r="J27" i="1"/>
  <c r="J29" i="1" s="1"/>
  <c r="I26" i="1"/>
  <c r="I27" i="1" s="1"/>
  <c r="Q11" i="1"/>
  <c r="U22" i="1"/>
  <c r="G55" i="1"/>
  <c r="G56" i="1" s="1"/>
  <c r="O55" i="1"/>
  <c r="O56" i="1" s="1"/>
  <c r="N55" i="1"/>
  <c r="R23" i="1"/>
  <c r="R50" i="1"/>
  <c r="R52" i="1"/>
  <c r="Q20" i="1"/>
  <c r="Q19" i="1" s="1"/>
  <c r="K27" i="1"/>
  <c r="K28" i="1" s="1"/>
  <c r="S52" i="1"/>
  <c r="M54" i="1"/>
  <c r="M55" i="1" s="1"/>
  <c r="M56" i="1" s="1"/>
  <c r="A48" i="1"/>
  <c r="Q40" i="1"/>
  <c r="U10" i="1"/>
  <c r="U23" i="1"/>
  <c r="U52" i="1"/>
  <c r="Q10" i="1"/>
  <c r="Q12" i="1"/>
  <c r="Q39" i="1"/>
  <c r="U40" i="1"/>
  <c r="U39" i="1"/>
  <c r="Q38" i="1"/>
  <c r="U37" i="1"/>
  <c r="Q37" i="1"/>
  <c r="H55" i="1"/>
  <c r="H56" i="1" s="1"/>
  <c r="I57" i="1"/>
  <c r="I58" i="1" s="1"/>
  <c r="L57" i="1"/>
  <c r="L27" i="1"/>
  <c r="L28" i="1" s="1"/>
  <c r="I29" i="1"/>
  <c r="I30" i="1" s="1"/>
  <c r="G29" i="1"/>
  <c r="G30" i="1" s="1"/>
  <c r="A53" i="1"/>
  <c r="A54" i="1" s="1"/>
  <c r="A55" i="1" s="1"/>
  <c r="C54" i="1"/>
  <c r="F57" i="1"/>
  <c r="Q57" i="1" s="1"/>
  <c r="F56" i="1"/>
  <c r="E56" i="1"/>
  <c r="Q55" i="1"/>
  <c r="Q56" i="1" s="1"/>
  <c r="E57" i="1"/>
  <c r="K57" i="1"/>
  <c r="F28" i="1"/>
  <c r="F29" i="1"/>
  <c r="N57" i="1"/>
  <c r="N56" i="1"/>
  <c r="N28" i="1"/>
  <c r="J56" i="1"/>
  <c r="J57" i="1"/>
  <c r="M28" i="1"/>
  <c r="E28" i="1"/>
  <c r="E29" i="1"/>
  <c r="D28" i="1"/>
  <c r="Q27" i="1"/>
  <c r="Q28" i="1" s="1"/>
  <c r="D29" i="1"/>
  <c r="I28" i="1"/>
  <c r="G28" i="1"/>
  <c r="D58" i="1"/>
  <c r="L58" i="1"/>
  <c r="H29" i="1" l="1"/>
  <c r="H30" i="1" s="1"/>
  <c r="G57" i="1"/>
  <c r="G58" i="1" s="1"/>
  <c r="M57" i="1"/>
  <c r="O57" i="1"/>
  <c r="O58" i="1" s="1"/>
  <c r="O28" i="1"/>
  <c r="K29" i="1"/>
  <c r="L29" i="1"/>
  <c r="L30" i="1" s="1"/>
  <c r="J28" i="1"/>
  <c r="H57" i="1"/>
  <c r="H58" i="1" s="1"/>
  <c r="C57" i="1"/>
  <c r="C56" i="1"/>
  <c r="C55" i="1"/>
  <c r="K30" i="1"/>
  <c r="M30" i="1"/>
  <c r="F30" i="1"/>
  <c r="E58" i="1"/>
  <c r="F58" i="1"/>
  <c r="E30" i="1"/>
  <c r="K58" i="1"/>
  <c r="J58" i="1"/>
  <c r="D61" i="1"/>
  <c r="Q29" i="1"/>
  <c r="D30" i="1"/>
  <c r="N58" i="1"/>
  <c r="N30" i="1"/>
  <c r="J30" i="1"/>
  <c r="D60" i="1"/>
  <c r="D62" i="1" s="1"/>
  <c r="M58" i="1"/>
  <c r="Q30" i="1" l="1"/>
  <c r="Q58" i="1"/>
  <c r="D32" i="1"/>
  <c r="D33" i="1" s="1"/>
  <c r="E60" i="1"/>
  <c r="D34" i="1"/>
  <c r="E32" i="1" l="1"/>
  <c r="E33" i="1" s="1"/>
  <c r="E34" i="1"/>
  <c r="D64" i="1"/>
  <c r="E62" i="1"/>
  <c r="E61" i="1"/>
  <c r="F60" i="1" l="1"/>
  <c r="F62" i="1" s="1"/>
  <c r="F32" i="1"/>
  <c r="F33" i="1" s="1"/>
  <c r="F34" i="1"/>
  <c r="E64" i="1"/>
  <c r="G60" i="1" l="1"/>
  <c r="G61" i="1" s="1"/>
  <c r="G32" i="1"/>
  <c r="G33" i="1" s="1"/>
  <c r="F64" i="1"/>
  <c r="F61" i="1"/>
  <c r="Q60" i="1"/>
  <c r="Q32" i="1"/>
  <c r="Q33" i="1" s="1"/>
  <c r="G34" i="1" l="1"/>
  <c r="H32" i="1" s="1"/>
  <c r="H33" i="1" s="1"/>
  <c r="Q63" i="1"/>
  <c r="Q61" i="1"/>
  <c r="G62" i="1"/>
  <c r="H60" i="1" l="1"/>
  <c r="H61" i="1" s="1"/>
  <c r="H34" i="1"/>
  <c r="G64" i="1"/>
  <c r="H62" i="1" l="1"/>
  <c r="I60" i="1"/>
  <c r="I61" i="1" s="1"/>
  <c r="H64" i="1"/>
  <c r="I32" i="1"/>
  <c r="I33" i="1" s="1"/>
  <c r="I62" i="1" l="1"/>
  <c r="J60" i="1" s="1"/>
  <c r="J61" i="1" s="1"/>
  <c r="I34" i="1"/>
  <c r="J32" i="1" s="1"/>
  <c r="J33" i="1" s="1"/>
  <c r="J62" i="1" l="1"/>
  <c r="K60" i="1" s="1"/>
  <c r="K61" i="1" s="1"/>
  <c r="I64" i="1"/>
  <c r="K62" i="1" l="1"/>
  <c r="L60" i="1" s="1"/>
  <c r="L61" i="1" s="1"/>
  <c r="J34" i="1"/>
  <c r="L62" i="1" l="1"/>
  <c r="J64" i="1"/>
  <c r="K32" i="1"/>
  <c r="K33" i="1" s="1"/>
  <c r="K34" i="1" l="1"/>
  <c r="M60" i="1"/>
  <c r="M61" i="1" s="1"/>
  <c r="M62" i="1" l="1"/>
  <c r="K64" i="1"/>
  <c r="L32" i="1"/>
  <c r="L33" i="1" s="1"/>
  <c r="L34" i="1" l="1"/>
  <c r="N60" i="1"/>
  <c r="N61" i="1" s="1"/>
  <c r="N62" i="1" l="1"/>
  <c r="M32" i="1"/>
  <c r="M33" i="1" s="1"/>
  <c r="L64" i="1"/>
  <c r="M34" i="1" l="1"/>
  <c r="M64" i="1" s="1"/>
  <c r="O60" i="1"/>
  <c r="O61" i="1" s="1"/>
  <c r="O62" i="1" l="1"/>
  <c r="N32" i="1"/>
  <c r="N33" i="1" s="1"/>
  <c r="N34" i="1" l="1"/>
  <c r="N64" i="1" s="1"/>
  <c r="O32" i="1" l="1"/>
  <c r="O33" i="1" s="1"/>
  <c r="O34" i="1"/>
  <c r="O64" i="1" s="1"/>
  <c r="H179" i="7" l="1"/>
  <c r="Q179" i="7" s="1"/>
  <c r="Q178" i="7"/>
  <c r="M178" i="7" s="1"/>
  <c r="O178" i="7" s="1"/>
  <c r="D178" i="7"/>
  <c r="F178" i="7" s="1"/>
  <c r="A177" i="7"/>
  <c r="A178" i="7" s="1"/>
  <c r="J176" i="7"/>
  <c r="J175" i="7"/>
  <c r="H163" i="7"/>
  <c r="H164" i="7" s="1"/>
  <c r="Q162" i="7"/>
  <c r="M162" i="7" s="1"/>
  <c r="O162" i="7" s="1"/>
  <c r="D162" i="7"/>
  <c r="F162" i="7" s="1"/>
  <c r="A161" i="7"/>
  <c r="J160" i="7"/>
  <c r="J159" i="7"/>
  <c r="H145" i="7"/>
  <c r="Q145" i="7" s="1"/>
  <c r="M145" i="7" s="1"/>
  <c r="O145" i="7" s="1"/>
  <c r="A144" i="7"/>
  <c r="J144" i="7" s="1"/>
  <c r="J143" i="7"/>
  <c r="J142" i="7"/>
  <c r="H128" i="7"/>
  <c r="Q128" i="7" s="1"/>
  <c r="M128" i="7" s="1"/>
  <c r="O128" i="7" s="1"/>
  <c r="A127" i="7"/>
  <c r="A128" i="7" s="1"/>
  <c r="A129" i="7" s="1"/>
  <c r="J126" i="7"/>
  <c r="J125" i="7"/>
  <c r="H111" i="7"/>
  <c r="D111" i="7" s="1"/>
  <c r="F111" i="7" s="1"/>
  <c r="A110" i="7"/>
  <c r="J110" i="7" s="1"/>
  <c r="J109" i="7"/>
  <c r="J108" i="7"/>
  <c r="H94" i="7"/>
  <c r="D94" i="7" s="1"/>
  <c r="F94" i="7" s="1"/>
  <c r="A93" i="7"/>
  <c r="J92" i="7"/>
  <c r="J91" i="7"/>
  <c r="H77" i="7"/>
  <c r="D77" i="7" s="1"/>
  <c r="F77" i="7" s="1"/>
  <c r="A76" i="7"/>
  <c r="J76" i="7" s="1"/>
  <c r="A75" i="7"/>
  <c r="J75" i="7" s="1"/>
  <c r="J74" i="7"/>
  <c r="J73" i="7"/>
  <c r="H59" i="7"/>
  <c r="Q59" i="7" s="1"/>
  <c r="M59" i="7" s="1"/>
  <c r="O59" i="7" s="1"/>
  <c r="J58" i="7"/>
  <c r="A57" i="7"/>
  <c r="J57" i="7" s="1"/>
  <c r="J56" i="7"/>
  <c r="J55" i="7"/>
  <c r="H42" i="7"/>
  <c r="D42" i="7" s="1"/>
  <c r="F42" i="7" s="1"/>
  <c r="A41" i="7"/>
  <c r="A42" i="7" s="1"/>
  <c r="J40" i="7"/>
  <c r="J39" i="7"/>
  <c r="H27" i="7"/>
  <c r="H60" i="7" s="1"/>
  <c r="Q60" i="7" s="1"/>
  <c r="Q26" i="7"/>
  <c r="M26" i="7" s="1"/>
  <c r="O26" i="7" s="1"/>
  <c r="D26" i="7"/>
  <c r="F26" i="7" s="1"/>
  <c r="A26" i="7"/>
  <c r="J26" i="7" s="1"/>
  <c r="J25" i="7"/>
  <c r="J24" i="7"/>
  <c r="J23" i="7"/>
  <c r="N21" i="7"/>
  <c r="M21" i="7"/>
  <c r="E21" i="7"/>
  <c r="D21" i="7"/>
  <c r="N20" i="7"/>
  <c r="M20" i="7"/>
  <c r="E20" i="7"/>
  <c r="D20" i="7"/>
  <c r="N19" i="7"/>
  <c r="M19" i="7"/>
  <c r="E19" i="7"/>
  <c r="D19" i="7"/>
  <c r="N18" i="7"/>
  <c r="M18" i="7"/>
  <c r="E18" i="7"/>
  <c r="D18" i="7"/>
  <c r="N17" i="7"/>
  <c r="M17" i="7"/>
  <c r="E17" i="7"/>
  <c r="D17" i="7"/>
  <c r="O16" i="7"/>
  <c r="F16" i="7"/>
  <c r="O15" i="7"/>
  <c r="F15" i="7"/>
  <c r="O14" i="7"/>
  <c r="F14" i="7"/>
  <c r="O13" i="7"/>
  <c r="F13" i="7"/>
  <c r="O12" i="7"/>
  <c r="F12" i="7"/>
  <c r="O11" i="7"/>
  <c r="F11" i="7"/>
  <c r="O10" i="7"/>
  <c r="F10" i="7"/>
  <c r="O9" i="7"/>
  <c r="F9" i="7"/>
  <c r="O8" i="7"/>
  <c r="F8" i="7"/>
  <c r="O7" i="7"/>
  <c r="F7" i="7"/>
  <c r="O6" i="7"/>
  <c r="F6" i="7"/>
  <c r="A6" i="7"/>
  <c r="A7" i="7" s="1"/>
  <c r="A8" i="7" s="1"/>
  <c r="O5" i="7"/>
  <c r="J5" i="7"/>
  <c r="F5" i="7"/>
  <c r="Q4" i="7"/>
  <c r="D27" i="7" l="1"/>
  <c r="A111" i="7"/>
  <c r="A112" i="7" s="1"/>
  <c r="A113" i="7" s="1"/>
  <c r="A59" i="7"/>
  <c r="J59" i="7" s="1"/>
  <c r="O17" i="7"/>
  <c r="H43" i="7"/>
  <c r="Q43" i="7" s="1"/>
  <c r="O20" i="7"/>
  <c r="F20" i="7"/>
  <c r="H28" i="7"/>
  <c r="H44" i="7" s="1"/>
  <c r="Q44" i="7" s="1"/>
  <c r="J127" i="7"/>
  <c r="A145" i="7"/>
  <c r="J145" i="7" s="1"/>
  <c r="Q163" i="7"/>
  <c r="A60" i="7"/>
  <c r="J60" i="7" s="1"/>
  <c r="A77" i="7"/>
  <c r="J77" i="7" s="1"/>
  <c r="O18" i="7"/>
  <c r="O19" i="7"/>
  <c r="D128" i="7"/>
  <c r="F128" i="7" s="1"/>
  <c r="J41" i="7"/>
  <c r="D59" i="7"/>
  <c r="F59" i="7" s="1"/>
  <c r="D60" i="7" s="1"/>
  <c r="D179" i="7"/>
  <c r="F179" i="7" s="1"/>
  <c r="Q77" i="7"/>
  <c r="M77" i="7" s="1"/>
  <c r="O77" i="7" s="1"/>
  <c r="H30" i="7"/>
  <c r="H63" i="7" s="1"/>
  <c r="Q63" i="7" s="1"/>
  <c r="F27" i="7"/>
  <c r="Q111" i="7"/>
  <c r="M111" i="7" s="1"/>
  <c r="O111" i="7" s="1"/>
  <c r="F18" i="7"/>
  <c r="O21" i="7"/>
  <c r="J42" i="7"/>
  <c r="A43" i="7"/>
  <c r="J8" i="7"/>
  <c r="A29" i="7"/>
  <c r="J29" i="7" s="1"/>
  <c r="A9" i="7"/>
  <c r="M60" i="7"/>
  <c r="O60" i="7" s="1"/>
  <c r="A27" i="7"/>
  <c r="J27" i="7" s="1"/>
  <c r="J6" i="7"/>
  <c r="Q42" i="7"/>
  <c r="M42" i="7" s="1"/>
  <c r="H62" i="7"/>
  <c r="Q62" i="7" s="1"/>
  <c r="F19" i="7"/>
  <c r="F21" i="7"/>
  <c r="F17" i="7"/>
  <c r="A28" i="7"/>
  <c r="J28" i="7" s="1"/>
  <c r="J7" i="7"/>
  <c r="H165" i="7"/>
  <c r="Q164" i="7"/>
  <c r="Q27" i="7"/>
  <c r="M27" i="7" s="1"/>
  <c r="O27" i="7" s="1"/>
  <c r="A179" i="7"/>
  <c r="J178" i="7"/>
  <c r="A94" i="7"/>
  <c r="J93" i="7"/>
  <c r="M179" i="7"/>
  <c r="O179" i="7" s="1"/>
  <c r="J112" i="7"/>
  <c r="H112" i="7"/>
  <c r="Q112" i="7" s="1"/>
  <c r="H95" i="7"/>
  <c r="Q95" i="7" s="1"/>
  <c r="H78" i="7"/>
  <c r="Q78" i="7" s="1"/>
  <c r="H146" i="7"/>
  <c r="Q146" i="7" s="1"/>
  <c r="M146" i="7" s="1"/>
  <c r="O146" i="7" s="1"/>
  <c r="H129" i="7"/>
  <c r="Q129" i="7" s="1"/>
  <c r="M129" i="7" s="1"/>
  <c r="O129" i="7" s="1"/>
  <c r="A130" i="7"/>
  <c r="J129" i="7"/>
  <c r="A146" i="7"/>
  <c r="A162" i="7"/>
  <c r="J161" i="7"/>
  <c r="A114" i="7"/>
  <c r="J113" i="7"/>
  <c r="D163" i="7"/>
  <c r="F163" i="7" s="1"/>
  <c r="M163" i="7"/>
  <c r="O163" i="7" s="1"/>
  <c r="Q94" i="7"/>
  <c r="M94" i="7" s="1"/>
  <c r="O94" i="7" s="1"/>
  <c r="D145" i="7"/>
  <c r="F145" i="7" s="1"/>
  <c r="J128" i="7"/>
  <c r="H180" i="7"/>
  <c r="J177" i="7"/>
  <c r="A78" i="7" l="1"/>
  <c r="D43" i="7"/>
  <c r="D28" i="7"/>
  <c r="D78" i="7"/>
  <c r="F78" i="7" s="1"/>
  <c r="A61" i="7"/>
  <c r="J61" i="7" s="1"/>
  <c r="H61" i="7"/>
  <c r="Q61" i="7" s="1"/>
  <c r="M61" i="7" s="1"/>
  <c r="O61" i="7" s="1"/>
  <c r="H113" i="7"/>
  <c r="Q113" i="7" s="1"/>
  <c r="H130" i="7"/>
  <c r="Q130" i="7" s="1"/>
  <c r="M130" i="7" s="1"/>
  <c r="O130" i="7" s="1"/>
  <c r="Q28" i="7"/>
  <c r="M28" i="7" s="1"/>
  <c r="O28" i="7" s="1"/>
  <c r="H147" i="7"/>
  <c r="Q147" i="7" s="1"/>
  <c r="M147" i="7" s="1"/>
  <c r="O147" i="7" s="1"/>
  <c r="M112" i="7"/>
  <c r="O112" i="7" s="1"/>
  <c r="H79" i="7"/>
  <c r="Q79" i="7" s="1"/>
  <c r="J111" i="7"/>
  <c r="M78" i="7"/>
  <c r="O78" i="7" s="1"/>
  <c r="H96" i="7"/>
  <c r="Q96" i="7" s="1"/>
  <c r="D180" i="7"/>
  <c r="F180" i="7" s="1"/>
  <c r="H46" i="7"/>
  <c r="Q46" i="7" s="1"/>
  <c r="H45" i="7"/>
  <c r="Q45" i="7" s="1"/>
  <c r="H132" i="7"/>
  <c r="Q132" i="7" s="1"/>
  <c r="H115" i="7"/>
  <c r="Q115" i="7" s="1"/>
  <c r="H114" i="7"/>
  <c r="Q114" i="7" s="1"/>
  <c r="H131" i="7"/>
  <c r="Q131" i="7" s="1"/>
  <c r="H81" i="7"/>
  <c r="Q81" i="7" s="1"/>
  <c r="H80" i="7"/>
  <c r="Q80" i="7" s="1"/>
  <c r="F60" i="7"/>
  <c r="D61" i="7" s="1"/>
  <c r="F61" i="7" s="1"/>
  <c r="H149" i="7"/>
  <c r="Q149" i="7" s="1"/>
  <c r="H148" i="7"/>
  <c r="Q148" i="7" s="1"/>
  <c r="Q29" i="7"/>
  <c r="H31" i="7"/>
  <c r="H47" i="7" s="1"/>
  <c r="Q47" i="7" s="1"/>
  <c r="H98" i="7"/>
  <c r="Q98" i="7" s="1"/>
  <c r="H97" i="7"/>
  <c r="Q97" i="7" s="1"/>
  <c r="Q30" i="7"/>
  <c r="A62" i="7"/>
  <c r="D164" i="7"/>
  <c r="F164" i="7" s="1"/>
  <c r="J78" i="7"/>
  <c r="A79" i="7"/>
  <c r="L5" i="7"/>
  <c r="O42" i="7"/>
  <c r="M95" i="7"/>
  <c r="O95" i="7" s="1"/>
  <c r="F28" i="7"/>
  <c r="J130" i="7"/>
  <c r="A131" i="7"/>
  <c r="D146" i="7"/>
  <c r="F146" i="7" s="1"/>
  <c r="A115" i="7"/>
  <c r="J114" i="7"/>
  <c r="D95" i="7"/>
  <c r="F95" i="7" s="1"/>
  <c r="C5" i="7"/>
  <c r="J9" i="7"/>
  <c r="A10" i="7"/>
  <c r="A30" i="7"/>
  <c r="J30" i="7" s="1"/>
  <c r="Q180" i="7"/>
  <c r="M180" i="7" s="1"/>
  <c r="O180" i="7" s="1"/>
  <c r="H181" i="7"/>
  <c r="M164" i="7"/>
  <c r="O164" i="7" s="1"/>
  <c r="J94" i="7"/>
  <c r="A95" i="7"/>
  <c r="H166" i="7"/>
  <c r="Q165" i="7"/>
  <c r="D129" i="7"/>
  <c r="F129" i="7" s="1"/>
  <c r="J162" i="7"/>
  <c r="A163" i="7"/>
  <c r="D112" i="7"/>
  <c r="F112" i="7" s="1"/>
  <c r="J146" i="7"/>
  <c r="A147" i="7"/>
  <c r="A180" i="7"/>
  <c r="J179" i="7"/>
  <c r="F43" i="7"/>
  <c r="J43" i="7"/>
  <c r="A44" i="7"/>
  <c r="M113" i="7" l="1"/>
  <c r="O113" i="7" s="1"/>
  <c r="M114" i="7" s="1"/>
  <c r="O114" i="7" s="1"/>
  <c r="M79" i="7"/>
  <c r="O79" i="7" s="1"/>
  <c r="M80" i="7" s="1"/>
  <c r="O80" i="7" s="1"/>
  <c r="D181" i="7"/>
  <c r="F181" i="7" s="1"/>
  <c r="H116" i="7"/>
  <c r="Q116" i="7" s="1"/>
  <c r="H133" i="7"/>
  <c r="Q133" i="7" s="1"/>
  <c r="D79" i="7"/>
  <c r="F79" i="7" s="1"/>
  <c r="D80" i="7" s="1"/>
  <c r="F80" i="7" s="1"/>
  <c r="H82" i="7"/>
  <c r="Q82" i="7" s="1"/>
  <c r="H99" i="7"/>
  <c r="Q99" i="7" s="1"/>
  <c r="Q31" i="7"/>
  <c r="H150" i="7"/>
  <c r="Q150" i="7" s="1"/>
  <c r="H64" i="7"/>
  <c r="Q64" i="7" s="1"/>
  <c r="J62" i="7"/>
  <c r="A63" i="7"/>
  <c r="D62" i="7"/>
  <c r="F62" i="7" s="1"/>
  <c r="M62" i="7"/>
  <c r="O62" i="7" s="1"/>
  <c r="M131" i="7"/>
  <c r="O131" i="7" s="1"/>
  <c r="D147" i="7"/>
  <c r="F147" i="7" s="1"/>
  <c r="M165" i="7"/>
  <c r="O165" i="7" s="1"/>
  <c r="D165" i="7"/>
  <c r="F165" i="7" s="1"/>
  <c r="M43" i="7"/>
  <c r="L6" i="7" s="1"/>
  <c r="Q6" i="7" s="1"/>
  <c r="Q5" i="7"/>
  <c r="J163" i="7"/>
  <c r="A164" i="7"/>
  <c r="D96" i="7"/>
  <c r="F96" i="7" s="1"/>
  <c r="J79" i="7"/>
  <c r="A80" i="7"/>
  <c r="D44" i="7"/>
  <c r="J44" i="7"/>
  <c r="A45" i="7"/>
  <c r="H5" i="7"/>
  <c r="D130" i="7"/>
  <c r="F130" i="7" s="1"/>
  <c r="H100" i="7"/>
  <c r="Q100" i="7" s="1"/>
  <c r="H151" i="7"/>
  <c r="Q151" i="7" s="1"/>
  <c r="H83" i="7"/>
  <c r="Q83" i="7" s="1"/>
  <c r="H134" i="7"/>
  <c r="Q134" i="7" s="1"/>
  <c r="H117" i="7"/>
  <c r="Q117" i="7" s="1"/>
  <c r="H48" i="7"/>
  <c r="Q48" i="7" s="1"/>
  <c r="H65" i="7"/>
  <c r="Q65" i="7" s="1"/>
  <c r="Q32" i="7"/>
  <c r="H33" i="7"/>
  <c r="Q181" i="7"/>
  <c r="M181" i="7" s="1"/>
  <c r="O181" i="7" s="1"/>
  <c r="H182" i="7"/>
  <c r="D182" i="7" s="1"/>
  <c r="F182" i="7" s="1"/>
  <c r="A116" i="7"/>
  <c r="J115" i="7"/>
  <c r="D29" i="7"/>
  <c r="F29" i="7" s="1"/>
  <c r="D113" i="7"/>
  <c r="F113" i="7" s="1"/>
  <c r="J131" i="7"/>
  <c r="A132" i="7"/>
  <c r="C6" i="7"/>
  <c r="H6" i="7" s="1"/>
  <c r="J180" i="7"/>
  <c r="A181" i="7"/>
  <c r="M96" i="7"/>
  <c r="O96" i="7" s="1"/>
  <c r="M29" i="7"/>
  <c r="J147" i="7"/>
  <c r="A148" i="7"/>
  <c r="H167" i="7"/>
  <c r="Q166" i="7"/>
  <c r="M148" i="7"/>
  <c r="O148" i="7" s="1"/>
  <c r="J95" i="7"/>
  <c r="A96" i="7"/>
  <c r="J10" i="7"/>
  <c r="A31" i="7"/>
  <c r="J31" i="7" s="1"/>
  <c r="A11" i="7"/>
  <c r="J63" i="7" l="1"/>
  <c r="A64" i="7"/>
  <c r="D166" i="7"/>
  <c r="F166" i="7" s="1"/>
  <c r="M115" i="7"/>
  <c r="O115" i="7" s="1"/>
  <c r="D97" i="7"/>
  <c r="F97" i="7" s="1"/>
  <c r="D114" i="7"/>
  <c r="F114" i="7" s="1"/>
  <c r="D63" i="7"/>
  <c r="F63" i="7" s="1"/>
  <c r="M166" i="7"/>
  <c r="O166" i="7" s="1"/>
  <c r="M132" i="7"/>
  <c r="O132" i="7" s="1"/>
  <c r="H168" i="7"/>
  <c r="Q167" i="7"/>
  <c r="C7" i="7"/>
  <c r="C17" i="7" s="1"/>
  <c r="H17" i="7" s="1"/>
  <c r="J148" i="7"/>
  <c r="A149" i="7"/>
  <c r="D30" i="7"/>
  <c r="F30" i="7" s="1"/>
  <c r="J80" i="7"/>
  <c r="A81" i="7"/>
  <c r="J96" i="7"/>
  <c r="A97" i="7"/>
  <c r="M149" i="7"/>
  <c r="O149" i="7" s="1"/>
  <c r="M97" i="7"/>
  <c r="O97" i="7" s="1"/>
  <c r="D131" i="7"/>
  <c r="F131" i="7" s="1"/>
  <c r="J181" i="7"/>
  <c r="A182" i="7"/>
  <c r="D81" i="7"/>
  <c r="F81" i="7" s="1"/>
  <c r="J132" i="7"/>
  <c r="A133" i="7"/>
  <c r="A117" i="7"/>
  <c r="J116" i="7"/>
  <c r="O43" i="7"/>
  <c r="Q182" i="7"/>
  <c r="M182" i="7" s="1"/>
  <c r="O182" i="7" s="1"/>
  <c r="H183" i="7"/>
  <c r="D183" i="7" s="1"/>
  <c r="F183" i="7" s="1"/>
  <c r="A46" i="7"/>
  <c r="J45" i="7"/>
  <c r="D148" i="7"/>
  <c r="F148" i="7" s="1"/>
  <c r="M63" i="7"/>
  <c r="O63" i="7" s="1"/>
  <c r="O29" i="7"/>
  <c r="M81" i="7"/>
  <c r="O81" i="7" s="1"/>
  <c r="H101" i="7"/>
  <c r="Q101" i="7" s="1"/>
  <c r="H152" i="7"/>
  <c r="Q152" i="7" s="1"/>
  <c r="H84" i="7"/>
  <c r="Q84" i="7" s="1"/>
  <c r="H135" i="7"/>
  <c r="Q135" i="7" s="1"/>
  <c r="H118" i="7"/>
  <c r="Q118" i="7" s="1"/>
  <c r="H49" i="7"/>
  <c r="Q49" i="7" s="1"/>
  <c r="H66" i="7"/>
  <c r="Q66" i="7" s="1"/>
  <c r="Q33" i="7"/>
  <c r="H34" i="7"/>
  <c r="F44" i="7"/>
  <c r="J164" i="7"/>
  <c r="A165" i="7"/>
  <c r="J11" i="7"/>
  <c r="A32" i="7"/>
  <c r="J32" i="7" s="1"/>
  <c r="A12" i="7"/>
  <c r="A65" i="7" l="1"/>
  <c r="J64" i="7"/>
  <c r="D167" i="7"/>
  <c r="F167" i="7" s="1"/>
  <c r="M150" i="7"/>
  <c r="O150" i="7" s="1"/>
  <c r="M151" i="7" s="1"/>
  <c r="D64" i="7"/>
  <c r="F64" i="7" s="1"/>
  <c r="M133" i="7"/>
  <c r="O133" i="7" s="1"/>
  <c r="M134" i="7" s="1"/>
  <c r="D115" i="7"/>
  <c r="F115" i="7" s="1"/>
  <c r="D149" i="7"/>
  <c r="F149" i="7" s="1"/>
  <c r="M82" i="7"/>
  <c r="O82" i="7" s="1"/>
  <c r="M64" i="7"/>
  <c r="O64" i="7" s="1"/>
  <c r="D132" i="7"/>
  <c r="F132" i="7" s="1"/>
  <c r="D45" i="7"/>
  <c r="C8" i="7" s="1"/>
  <c r="J133" i="7"/>
  <c r="A134" i="7"/>
  <c r="J149" i="7"/>
  <c r="A150" i="7"/>
  <c r="A47" i="7"/>
  <c r="J46" i="7"/>
  <c r="H7" i="7"/>
  <c r="J12" i="7"/>
  <c r="A13" i="7"/>
  <c r="A33" i="7"/>
  <c r="J33" i="7" s="1"/>
  <c r="Q183" i="7"/>
  <c r="M183" i="7" s="1"/>
  <c r="O183" i="7" s="1"/>
  <c r="H184" i="7"/>
  <c r="D184" i="7" s="1"/>
  <c r="F184" i="7" s="1"/>
  <c r="D82" i="7"/>
  <c r="F82" i="7" s="1"/>
  <c r="M98" i="7"/>
  <c r="O98" i="7" s="1"/>
  <c r="D98" i="7"/>
  <c r="F98" i="7" s="1"/>
  <c r="M30" i="7"/>
  <c r="J81" i="7"/>
  <c r="A82" i="7"/>
  <c r="H169" i="7"/>
  <c r="Q168" i="7"/>
  <c r="M44" i="7"/>
  <c r="L7" i="7" s="1"/>
  <c r="M167" i="7"/>
  <c r="O167" i="7" s="1"/>
  <c r="M116" i="7"/>
  <c r="O116" i="7" s="1"/>
  <c r="H102" i="7"/>
  <c r="Q102" i="7" s="1"/>
  <c r="H85" i="7"/>
  <c r="Q85" i="7" s="1"/>
  <c r="H153" i="7"/>
  <c r="Q153" i="7" s="1"/>
  <c r="H136" i="7"/>
  <c r="Q136" i="7" s="1"/>
  <c r="H119" i="7"/>
  <c r="Q119" i="7" s="1"/>
  <c r="H50" i="7"/>
  <c r="Q50" i="7" s="1"/>
  <c r="H67" i="7"/>
  <c r="Q67" i="7" s="1"/>
  <c r="Q34" i="7"/>
  <c r="A98" i="7"/>
  <c r="J97" i="7"/>
  <c r="J165" i="7"/>
  <c r="A166" i="7"/>
  <c r="J182" i="7"/>
  <c r="A183" i="7"/>
  <c r="D31" i="7"/>
  <c r="F31" i="7" s="1"/>
  <c r="A118" i="7"/>
  <c r="J117" i="7"/>
  <c r="M117" i="7" l="1"/>
  <c r="J65" i="7"/>
  <c r="A66" i="7"/>
  <c r="O44" i="7"/>
  <c r="M45" i="7" s="1"/>
  <c r="L8" i="7" s="1"/>
  <c r="M65" i="7"/>
  <c r="D168" i="7"/>
  <c r="F168" i="7" s="1"/>
  <c r="D150" i="7"/>
  <c r="F150" i="7" s="1"/>
  <c r="D151" i="7" s="1"/>
  <c r="M168" i="7"/>
  <c r="O168" i="7" s="1"/>
  <c r="D116" i="7"/>
  <c r="F116" i="7" s="1"/>
  <c r="D117" i="7" s="1"/>
  <c r="M99" i="7"/>
  <c r="O99" i="7" s="1"/>
  <c r="D32" i="7"/>
  <c r="F32" i="7" s="1"/>
  <c r="D99" i="7"/>
  <c r="F99" i="7" s="1"/>
  <c r="D100" i="7" s="1"/>
  <c r="J13" i="7"/>
  <c r="A34" i="7"/>
  <c r="J34" i="7" s="1"/>
  <c r="A14" i="7"/>
  <c r="M83" i="7"/>
  <c r="A99" i="7"/>
  <c r="J98" i="7"/>
  <c r="H8" i="7"/>
  <c r="D65" i="7"/>
  <c r="H86" i="7"/>
  <c r="Q86" i="7" s="1"/>
  <c r="H154" i="7"/>
  <c r="Q154" i="7" s="1"/>
  <c r="H137" i="7"/>
  <c r="Q137" i="7" s="1"/>
  <c r="H120" i="7"/>
  <c r="Q120" i="7" s="1"/>
  <c r="H103" i="7"/>
  <c r="H51" i="7"/>
  <c r="Q51" i="7" s="1"/>
  <c r="H68" i="7"/>
  <c r="Q68" i="7" s="1"/>
  <c r="Q35" i="7"/>
  <c r="H36" i="7"/>
  <c r="J82" i="7"/>
  <c r="A83" i="7"/>
  <c r="F45" i="7"/>
  <c r="H170" i="7"/>
  <c r="Q169" i="7"/>
  <c r="J183" i="7"/>
  <c r="A184" i="7"/>
  <c r="D83" i="7"/>
  <c r="Q184" i="7"/>
  <c r="M184" i="7" s="1"/>
  <c r="O184" i="7" s="1"/>
  <c r="H185" i="7"/>
  <c r="D185" i="7" s="1"/>
  <c r="F185" i="7" s="1"/>
  <c r="D133" i="7"/>
  <c r="F133" i="7" s="1"/>
  <c r="D134" i="7" s="1"/>
  <c r="J134" i="7"/>
  <c r="A135" i="7"/>
  <c r="A48" i="7"/>
  <c r="J47" i="7"/>
  <c r="J166" i="7"/>
  <c r="A167" i="7"/>
  <c r="O30" i="7"/>
  <c r="J150" i="7"/>
  <c r="A151" i="7"/>
  <c r="A119" i="7"/>
  <c r="J118" i="7"/>
  <c r="Q7" i="7"/>
  <c r="L17" i="7"/>
  <c r="Q17" i="7" s="1"/>
  <c r="O65" i="7" l="1"/>
  <c r="F83" i="7"/>
  <c r="M100" i="7"/>
  <c r="O83" i="7"/>
  <c r="F65" i="7"/>
  <c r="A67" i="7"/>
  <c r="J66" i="7"/>
  <c r="D33" i="7"/>
  <c r="F33" i="7" s="1"/>
  <c r="D169" i="7"/>
  <c r="F169" i="7" s="1"/>
  <c r="M169" i="7"/>
  <c r="O169" i="7" s="1"/>
  <c r="J167" i="7"/>
  <c r="A168" i="7"/>
  <c r="O45" i="7"/>
  <c r="Q103" i="7"/>
  <c r="H104" i="7"/>
  <c r="J184" i="7"/>
  <c r="A185" i="7"/>
  <c r="D46" i="7"/>
  <c r="C9" i="7" s="1"/>
  <c r="Q8" i="7"/>
  <c r="A120" i="7"/>
  <c r="J119" i="7"/>
  <c r="J83" i="7"/>
  <c r="A84" i="7"/>
  <c r="A100" i="7"/>
  <c r="J99" i="7"/>
  <c r="A49" i="7"/>
  <c r="J48" i="7"/>
  <c r="Q185" i="7"/>
  <c r="M185" i="7" s="1"/>
  <c r="O185" i="7" s="1"/>
  <c r="H186" i="7"/>
  <c r="D186" i="7" s="1"/>
  <c r="F186" i="7" s="1"/>
  <c r="H138" i="7"/>
  <c r="Q138" i="7" s="1"/>
  <c r="H121" i="7"/>
  <c r="Q121" i="7" s="1"/>
  <c r="H87" i="7"/>
  <c r="Q87" i="7" s="1"/>
  <c r="H69" i="7"/>
  <c r="Q69" i="7" s="1"/>
  <c r="H52" i="7"/>
  <c r="Q52" i="7" s="1"/>
  <c r="H155" i="7"/>
  <c r="Q155" i="7" s="1"/>
  <c r="Q36" i="7"/>
  <c r="H37" i="7"/>
  <c r="M31" i="7"/>
  <c r="J151" i="7"/>
  <c r="A152" i="7"/>
  <c r="J135" i="7"/>
  <c r="A136" i="7"/>
  <c r="H171" i="7"/>
  <c r="Q170" i="7"/>
  <c r="J14" i="7"/>
  <c r="A15" i="7"/>
  <c r="A35" i="7"/>
  <c r="J35" i="7" s="1"/>
  <c r="C66" i="7" l="1"/>
  <c r="C84" i="7"/>
  <c r="D66" i="7"/>
  <c r="F66" i="7" s="1"/>
  <c r="L84" i="7"/>
  <c r="L66" i="7"/>
  <c r="J67" i="7"/>
  <c r="A68" i="7"/>
  <c r="D170" i="7"/>
  <c r="F170" i="7" s="1"/>
  <c r="M170" i="7"/>
  <c r="O170" i="7" s="1"/>
  <c r="D34" i="7"/>
  <c r="H172" i="7"/>
  <c r="Q171" i="7"/>
  <c r="J185" i="7"/>
  <c r="A186" i="7"/>
  <c r="J136" i="7"/>
  <c r="A137" i="7"/>
  <c r="J152" i="7"/>
  <c r="A153" i="7"/>
  <c r="A50" i="7"/>
  <c r="J49" i="7"/>
  <c r="J120" i="7"/>
  <c r="A121" i="7"/>
  <c r="Q186" i="7"/>
  <c r="M186" i="7" s="1"/>
  <c r="O186" i="7" s="1"/>
  <c r="H187" i="7"/>
  <c r="Q104" i="7"/>
  <c r="H105" i="7"/>
  <c r="Q105" i="7" s="1"/>
  <c r="M46" i="7"/>
  <c r="L9" i="7" s="1"/>
  <c r="J15" i="7"/>
  <c r="A36" i="7"/>
  <c r="J36" i="7" s="1"/>
  <c r="A16" i="7"/>
  <c r="A101" i="7"/>
  <c r="J100" i="7"/>
  <c r="J168" i="7"/>
  <c r="A169" i="7"/>
  <c r="O31" i="7"/>
  <c r="J84" i="7"/>
  <c r="A85" i="7"/>
  <c r="H9" i="7"/>
  <c r="H139" i="7"/>
  <c r="Q139" i="7" s="1"/>
  <c r="H122" i="7"/>
  <c r="Q122" i="7" s="1"/>
  <c r="H156" i="7"/>
  <c r="Q156" i="7" s="1"/>
  <c r="H88" i="7"/>
  <c r="Q88" i="7" s="1"/>
  <c r="H53" i="7"/>
  <c r="Q53" i="7" s="1"/>
  <c r="H70" i="7"/>
  <c r="Q70" i="7" s="1"/>
  <c r="Q37" i="7"/>
  <c r="F46" i="7"/>
  <c r="L134" i="7" l="1"/>
  <c r="L100" i="7"/>
  <c r="M66" i="7"/>
  <c r="O66" i="7" s="1"/>
  <c r="D67" i="7"/>
  <c r="L117" i="7"/>
  <c r="L151" i="7"/>
  <c r="M84" i="7"/>
  <c r="O84" i="7" s="1"/>
  <c r="C117" i="7"/>
  <c r="C151" i="7"/>
  <c r="C100" i="7"/>
  <c r="C134" i="7"/>
  <c r="D84" i="7"/>
  <c r="F84" i="7" s="1"/>
  <c r="F34" i="7"/>
  <c r="F67" i="7"/>
  <c r="J68" i="7"/>
  <c r="A69" i="7"/>
  <c r="O46" i="7"/>
  <c r="M47" i="7" s="1"/>
  <c r="L10" i="7" s="1"/>
  <c r="Q10" i="7" s="1"/>
  <c r="D68" i="7"/>
  <c r="F68" i="7" s="1"/>
  <c r="D69" i="7" s="1"/>
  <c r="M171" i="7"/>
  <c r="O171" i="7" s="1"/>
  <c r="D171" i="7"/>
  <c r="F171" i="7" s="1"/>
  <c r="J121" i="7"/>
  <c r="A122" i="7"/>
  <c r="J122" i="7" s="1"/>
  <c r="J85" i="7"/>
  <c r="A86" i="7"/>
  <c r="Q187" i="7"/>
  <c r="M187" i="7" s="1"/>
  <c r="O187" i="7" s="1"/>
  <c r="H188" i="7"/>
  <c r="J153" i="7"/>
  <c r="A154" i="7"/>
  <c r="J169" i="7"/>
  <c r="A170" i="7"/>
  <c r="J16" i="7"/>
  <c r="A37" i="7"/>
  <c r="J37" i="7" s="1"/>
  <c r="Q9" i="7"/>
  <c r="J137" i="7"/>
  <c r="A138" i="7"/>
  <c r="M32" i="7"/>
  <c r="O32" i="7" s="1"/>
  <c r="J186" i="7"/>
  <c r="A187" i="7"/>
  <c r="D47" i="7"/>
  <c r="C10" i="7" s="1"/>
  <c r="D187" i="7"/>
  <c r="F187" i="7" s="1"/>
  <c r="H173" i="7"/>
  <c r="Q173" i="7" s="1"/>
  <c r="Q172" i="7"/>
  <c r="D35" i="7"/>
  <c r="F35" i="7" s="1"/>
  <c r="A102" i="7"/>
  <c r="J101" i="7"/>
  <c r="A51" i="7"/>
  <c r="J50" i="7"/>
  <c r="F100" i="7" l="1"/>
  <c r="F151" i="7"/>
  <c r="O117" i="7"/>
  <c r="M67" i="7"/>
  <c r="F117" i="7"/>
  <c r="O100" i="7"/>
  <c r="F134" i="7"/>
  <c r="M85" i="7"/>
  <c r="D85" i="7"/>
  <c r="O151" i="7"/>
  <c r="O134" i="7"/>
  <c r="J69" i="7"/>
  <c r="A70" i="7"/>
  <c r="J70" i="7" s="1"/>
  <c r="O47" i="7"/>
  <c r="M48" i="7" s="1"/>
  <c r="O48" i="7" s="1"/>
  <c r="M33" i="7"/>
  <c r="O33" i="7" s="1"/>
  <c r="H10" i="7"/>
  <c r="C18" i="7"/>
  <c r="H18" i="7" s="1"/>
  <c r="F47" i="7"/>
  <c r="L18" i="7"/>
  <c r="Q18" i="7" s="1"/>
  <c r="Q188" i="7"/>
  <c r="M188" i="7" s="1"/>
  <c r="O188" i="7" s="1"/>
  <c r="H189" i="7"/>
  <c r="Q189" i="7" s="1"/>
  <c r="A87" i="7"/>
  <c r="J86" i="7"/>
  <c r="D36" i="7"/>
  <c r="F36" i="7" s="1"/>
  <c r="D172" i="7"/>
  <c r="F172" i="7" s="1"/>
  <c r="M172" i="7"/>
  <c r="O172" i="7" s="1"/>
  <c r="A52" i="7"/>
  <c r="J51" i="7"/>
  <c r="J187" i="7"/>
  <c r="A188" i="7"/>
  <c r="D188" i="7"/>
  <c r="F188" i="7" s="1"/>
  <c r="A103" i="7"/>
  <c r="J102" i="7"/>
  <c r="J170" i="7"/>
  <c r="A171" i="7"/>
  <c r="J138" i="7"/>
  <c r="A139" i="7"/>
  <c r="J139" i="7" s="1"/>
  <c r="J154" i="7"/>
  <c r="A155" i="7"/>
  <c r="O85" i="7" l="1"/>
  <c r="C152" i="7"/>
  <c r="L118" i="7"/>
  <c r="M118" i="7" s="1"/>
  <c r="O118" i="7" s="1"/>
  <c r="M119" i="7" s="1"/>
  <c r="O67" i="7"/>
  <c r="C135" i="7"/>
  <c r="L101" i="7"/>
  <c r="L135" i="7"/>
  <c r="L152" i="7"/>
  <c r="F85" i="7"/>
  <c r="L11" i="7"/>
  <c r="Q11" i="7" s="1"/>
  <c r="D173" i="7"/>
  <c r="F173" i="7" s="1"/>
  <c r="M49" i="7"/>
  <c r="O49" i="7" s="1"/>
  <c r="M189" i="7"/>
  <c r="O189" i="7" s="1"/>
  <c r="A156" i="7"/>
  <c r="J156" i="7" s="1"/>
  <c r="J155" i="7"/>
  <c r="J188" i="7"/>
  <c r="A189" i="7"/>
  <c r="J189" i="7" s="1"/>
  <c r="M34" i="7"/>
  <c r="D37" i="7"/>
  <c r="F37" i="7" s="1"/>
  <c r="F69" i="7"/>
  <c r="D70" i="7" s="1"/>
  <c r="M173" i="7"/>
  <c r="O173" i="7" s="1"/>
  <c r="D48" i="7"/>
  <c r="C11" i="7" s="1"/>
  <c r="A104" i="7"/>
  <c r="J103" i="7"/>
  <c r="A53" i="7"/>
  <c r="J53" i="7" s="1"/>
  <c r="J52" i="7"/>
  <c r="D189" i="7"/>
  <c r="F189" i="7" s="1"/>
  <c r="A88" i="7"/>
  <c r="J88" i="7" s="1"/>
  <c r="J87" i="7"/>
  <c r="J171" i="7"/>
  <c r="A172" i="7"/>
  <c r="M68" i="7" l="1"/>
  <c r="O68" i="7" s="1"/>
  <c r="D152" i="7"/>
  <c r="F152" i="7"/>
  <c r="M135" i="7"/>
  <c r="O135" i="7" s="1"/>
  <c r="M86" i="7"/>
  <c r="O86" i="7" s="1"/>
  <c r="D86" i="7"/>
  <c r="F86" i="7" s="1"/>
  <c r="M101" i="7"/>
  <c r="O101" i="7" s="1"/>
  <c r="C101" i="7"/>
  <c r="M152" i="7"/>
  <c r="O152" i="7" s="1"/>
  <c r="C118" i="7"/>
  <c r="D135" i="7"/>
  <c r="F135" i="7" s="1"/>
  <c r="O119" i="7"/>
  <c r="F70" i="7"/>
  <c r="M50" i="7"/>
  <c r="J104" i="7"/>
  <c r="A105" i="7"/>
  <c r="J105" i="7" s="1"/>
  <c r="O34" i="7"/>
  <c r="J172" i="7"/>
  <c r="A173" i="7"/>
  <c r="J173" i="7" s="1"/>
  <c r="H11" i="7"/>
  <c r="F48" i="7"/>
  <c r="M136" i="7" l="1"/>
  <c r="O136" i="7" s="1"/>
  <c r="M102" i="7"/>
  <c r="O102" i="7"/>
  <c r="D136" i="7"/>
  <c r="F136" i="7"/>
  <c r="D153" i="7"/>
  <c r="D118" i="7"/>
  <c r="F118" i="7"/>
  <c r="D87" i="7"/>
  <c r="F87" i="7" s="1"/>
  <c r="D88" i="7" s="1"/>
  <c r="F88" i="7" s="1"/>
  <c r="M69" i="7"/>
  <c r="O69" i="7" s="1"/>
  <c r="M70" i="7" s="1"/>
  <c r="O70" i="7" s="1"/>
  <c r="L12" i="7"/>
  <c r="M153" i="7"/>
  <c r="O153" i="7"/>
  <c r="M87" i="7"/>
  <c r="O87" i="7" s="1"/>
  <c r="M88" i="7" s="1"/>
  <c r="O88" i="7" s="1"/>
  <c r="D101" i="7"/>
  <c r="F101" i="7"/>
  <c r="O50" i="7"/>
  <c r="M137" i="7"/>
  <c r="O137" i="7" s="1"/>
  <c r="M138" i="7" s="1"/>
  <c r="M120" i="7"/>
  <c r="O120" i="7" s="1"/>
  <c r="M121" i="7" s="1"/>
  <c r="Q12" i="7"/>
  <c r="D49" i="7"/>
  <c r="C12" i="7" s="1"/>
  <c r="M35" i="7"/>
  <c r="D137" i="7" l="1"/>
  <c r="F137" i="7" s="1"/>
  <c r="L13" i="7"/>
  <c r="Q13" i="7" s="1"/>
  <c r="M103" i="7"/>
  <c r="O103" i="7" s="1"/>
  <c r="M104" i="7" s="1"/>
  <c r="D119" i="7"/>
  <c r="M51" i="7"/>
  <c r="O51" i="7" s="1"/>
  <c r="M52" i="7" s="1"/>
  <c r="O52" i="7" s="1"/>
  <c r="D102" i="7"/>
  <c r="F153" i="7"/>
  <c r="M154" i="7"/>
  <c r="O154" i="7" s="1"/>
  <c r="O121" i="7"/>
  <c r="M122" i="7" s="1"/>
  <c r="O122" i="7" s="1"/>
  <c r="H12" i="7"/>
  <c r="O35" i="7"/>
  <c r="F49" i="7"/>
  <c r="L19" i="7"/>
  <c r="Q19" i="7" s="1"/>
  <c r="M155" i="7" l="1"/>
  <c r="O155" i="7" s="1"/>
  <c r="M156" i="7" s="1"/>
  <c r="O156" i="7" s="1"/>
  <c r="F102" i="7"/>
  <c r="F119" i="7"/>
  <c r="D154" i="7"/>
  <c r="F154" i="7" s="1"/>
  <c r="L14" i="7"/>
  <c r="Q14" i="7" s="1"/>
  <c r="D138" i="7"/>
  <c r="F138" i="7" s="1"/>
  <c r="D139" i="7" s="1"/>
  <c r="F139" i="7" s="1"/>
  <c r="M53" i="7"/>
  <c r="O53" i="7" s="1"/>
  <c r="D50" i="7"/>
  <c r="M36" i="7"/>
  <c r="D155" i="7" l="1"/>
  <c r="F155" i="7"/>
  <c r="D156" i="7" s="1"/>
  <c r="F156" i="7" s="1"/>
  <c r="D103" i="7"/>
  <c r="F103" i="7" s="1"/>
  <c r="D120" i="7"/>
  <c r="F120" i="7" s="1"/>
  <c r="D121" i="7" s="1"/>
  <c r="F121" i="7" s="1"/>
  <c r="D122" i="7" s="1"/>
  <c r="F122" i="7" s="1"/>
  <c r="C13" i="7"/>
  <c r="H13" i="7" s="1"/>
  <c r="F50" i="7"/>
  <c r="O36" i="7"/>
  <c r="D104" i="7" l="1"/>
  <c r="F104" i="7" s="1"/>
  <c r="D105" i="7" s="1"/>
  <c r="F105" i="7" s="1"/>
  <c r="C19" i="7"/>
  <c r="H19" i="7" s="1"/>
  <c r="M37" i="7"/>
  <c r="D51" i="7"/>
  <c r="C14" i="7" s="1"/>
  <c r="O37" i="7" l="1"/>
  <c r="H14" i="7"/>
  <c r="F51" i="7"/>
  <c r="D52" i="7" l="1"/>
  <c r="C15" i="7" s="1"/>
  <c r="H15" i="7" l="1"/>
  <c r="F52" i="7"/>
  <c r="D53" i="7" l="1"/>
  <c r="C16" i="7" s="1"/>
  <c r="H16" i="7" l="1"/>
  <c r="C21" i="7"/>
  <c r="H21" i="7" s="1"/>
  <c r="C20" i="7"/>
  <c r="H20" i="7" s="1"/>
  <c r="F53" i="7"/>
  <c r="U18" i="2" l="1"/>
  <c r="J93" i="3" l="1"/>
  <c r="J94" i="3"/>
  <c r="J92" i="3"/>
  <c r="J97" i="3"/>
  <c r="J98" i="3"/>
  <c r="J96" i="3"/>
  <c r="U18" i="1" l="1"/>
  <c r="K92" i="3" l="1"/>
  <c r="K96" i="3" l="1"/>
  <c r="K94" i="3" l="1"/>
  <c r="F62" i="3"/>
  <c r="F66" i="3"/>
  <c r="F67" i="3" l="1"/>
  <c r="F188" i="3" l="1"/>
  <c r="F86" i="3"/>
  <c r="F77" i="3" l="1"/>
  <c r="F73" i="3"/>
  <c r="F9" i="3"/>
  <c r="F78" i="3" l="1"/>
  <c r="K98" i="3" l="1"/>
  <c r="K97" i="3"/>
  <c r="K93" i="3"/>
  <c r="F160" i="3" l="1"/>
  <c r="F164" i="3"/>
  <c r="F165" i="3" l="1"/>
  <c r="F197" i="3" l="1"/>
  <c r="F193" i="3"/>
  <c r="F184" i="3"/>
  <c r="F189" i="3" s="1"/>
  <c r="F179" i="3"/>
  <c r="F175" i="3"/>
  <c r="F155" i="3"/>
  <c r="F151" i="3"/>
  <c r="F142" i="3"/>
  <c r="F138" i="3"/>
  <c r="F134" i="3"/>
  <c r="F130" i="3"/>
  <c r="F122" i="3"/>
  <c r="F118" i="3"/>
  <c r="F114" i="3"/>
  <c r="F110" i="3"/>
  <c r="F99" i="3"/>
  <c r="F95" i="3"/>
  <c r="F82" i="3"/>
  <c r="F87" i="3" s="1"/>
  <c r="F57" i="3"/>
  <c r="F53" i="3"/>
  <c r="F44" i="3"/>
  <c r="F40" i="3"/>
  <c r="F35" i="3"/>
  <c r="F31" i="3"/>
  <c r="F22" i="3"/>
  <c r="F18" i="3"/>
  <c r="F13" i="3"/>
  <c r="F36" i="3" l="1"/>
  <c r="F45" i="3"/>
  <c r="F156" i="3"/>
  <c r="F166" i="3" s="1"/>
  <c r="F23" i="3"/>
  <c r="F100" i="3"/>
  <c r="F180" i="3"/>
  <c r="F58" i="3"/>
  <c r="F14" i="3"/>
  <c r="T18" i="1" l="1"/>
  <c r="G55" i="2" l="1"/>
  <c r="D55" i="2"/>
  <c r="O51" i="2"/>
  <c r="O52" i="2" s="1"/>
  <c r="N51" i="2"/>
  <c r="N52" i="2" s="1"/>
  <c r="M51" i="2"/>
  <c r="L51" i="2"/>
  <c r="L52" i="2" s="1"/>
  <c r="K51" i="2"/>
  <c r="J51" i="2"/>
  <c r="I51" i="2"/>
  <c r="I52" i="2" s="1"/>
  <c r="H51" i="2"/>
  <c r="H52" i="2" s="1"/>
  <c r="G51" i="2"/>
  <c r="G52" i="2" s="1"/>
  <c r="F51" i="2"/>
  <c r="F52" i="2" s="1"/>
  <c r="E51" i="2"/>
  <c r="E52" i="2" s="1"/>
  <c r="D51" i="2"/>
  <c r="D52" i="2" s="1"/>
  <c r="N46" i="2"/>
  <c r="M46" i="2"/>
  <c r="L46" i="2"/>
  <c r="K46" i="2"/>
  <c r="J46" i="2"/>
  <c r="I46" i="2"/>
  <c r="H46" i="2"/>
  <c r="G46" i="2"/>
  <c r="F46" i="2"/>
  <c r="E46" i="2"/>
  <c r="D46" i="2"/>
  <c r="U44" i="2"/>
  <c r="T44" i="2"/>
  <c r="S44" i="2"/>
  <c r="R44" i="2"/>
  <c r="Q44" i="2"/>
  <c r="H55" i="2"/>
  <c r="O25" i="2"/>
  <c r="N25" i="2"/>
  <c r="N26" i="2" s="1"/>
  <c r="M25" i="2"/>
  <c r="M26" i="2" s="1"/>
  <c r="L25" i="2"/>
  <c r="K25" i="2"/>
  <c r="K26" i="2" s="1"/>
  <c r="J25" i="2"/>
  <c r="J26" i="2" s="1"/>
  <c r="I25" i="2"/>
  <c r="I26" i="2" s="1"/>
  <c r="H25" i="2"/>
  <c r="G25" i="2"/>
  <c r="G26" i="2" s="1"/>
  <c r="F25" i="2"/>
  <c r="F26" i="2" s="1"/>
  <c r="E25" i="2"/>
  <c r="E26" i="2" s="1"/>
  <c r="D25" i="2"/>
  <c r="N20" i="2"/>
  <c r="M20" i="2"/>
  <c r="L20" i="2"/>
  <c r="L27" i="2" s="1"/>
  <c r="L28" i="2" s="1"/>
  <c r="K20" i="2"/>
  <c r="J20" i="2"/>
  <c r="I20" i="2"/>
  <c r="H20" i="2"/>
  <c r="G20" i="2"/>
  <c r="F20" i="2"/>
  <c r="E20" i="2"/>
  <c r="E27" i="2" s="1"/>
  <c r="E28" i="2" s="1"/>
  <c r="D20" i="2"/>
  <c r="T18" i="2"/>
  <c r="S18" i="2"/>
  <c r="R18" i="2"/>
  <c r="Q18" i="2"/>
  <c r="E6" i="2"/>
  <c r="F6" i="2" s="1"/>
  <c r="G6" i="2" s="1"/>
  <c r="H6" i="2" s="1"/>
  <c r="I6" i="2" s="1"/>
  <c r="J6" i="2" s="1"/>
  <c r="K6" i="2" s="1"/>
  <c r="L6" i="2" s="1"/>
  <c r="M6" i="2" s="1"/>
  <c r="N6" i="2" s="1"/>
  <c r="O6" i="2" s="1"/>
  <c r="U46" i="1"/>
  <c r="T46" i="1"/>
  <c r="S46" i="1"/>
  <c r="R46" i="1"/>
  <c r="S18" i="1"/>
  <c r="R18" i="1"/>
  <c r="D53" i="2" l="1"/>
  <c r="K27" i="2"/>
  <c r="K28" i="2" s="1"/>
  <c r="H27" i="2"/>
  <c r="H28" i="2" s="1"/>
  <c r="F27" i="2"/>
  <c r="F28" i="2" s="1"/>
  <c r="G27" i="2"/>
  <c r="G28" i="2" s="1"/>
  <c r="J27" i="2"/>
  <c r="J28" i="2" s="1"/>
  <c r="M27" i="2"/>
  <c r="M28" i="2" s="1"/>
  <c r="N27" i="2"/>
  <c r="N28" i="2" s="1"/>
  <c r="O27" i="2"/>
  <c r="O28" i="2" s="1"/>
  <c r="U20" i="1"/>
  <c r="I27" i="2"/>
  <c r="I28" i="2" s="1"/>
  <c r="D54" i="2"/>
  <c r="S20" i="2"/>
  <c r="S19" i="2" s="1"/>
  <c r="Q25" i="2"/>
  <c r="Q26" i="2" s="1"/>
  <c r="E53" i="2"/>
  <c r="E54" i="2" s="1"/>
  <c r="T46" i="2"/>
  <c r="T45" i="2" s="1"/>
  <c r="T20" i="2"/>
  <c r="T19" i="2" s="1"/>
  <c r="N53" i="2"/>
  <c r="N54" i="2" s="1"/>
  <c r="D26" i="2"/>
  <c r="L53" i="2"/>
  <c r="L54" i="2" s="1"/>
  <c r="K53" i="2"/>
  <c r="K54" i="2" s="1"/>
  <c r="F53" i="2"/>
  <c r="F54" i="2" s="1"/>
  <c r="Q51" i="2"/>
  <c r="Q52" i="2" s="1"/>
  <c r="D27" i="2"/>
  <c r="D28" i="2" s="1"/>
  <c r="Q20" i="2"/>
  <c r="Q19" i="2" s="1"/>
  <c r="F55" i="2"/>
  <c r="E55" i="2"/>
  <c r="U46" i="2"/>
  <c r="U45" i="2" s="1"/>
  <c r="Q46" i="2"/>
  <c r="Q45" i="2" s="1"/>
  <c r="S51" i="2"/>
  <c r="S52" i="2" s="1"/>
  <c r="J52" i="2"/>
  <c r="J53" i="2"/>
  <c r="J54" i="2" s="1"/>
  <c r="K52" i="2"/>
  <c r="H26" i="2"/>
  <c r="R46" i="2"/>
  <c r="R45" i="2" s="1"/>
  <c r="M53" i="2"/>
  <c r="M54" i="2" s="1"/>
  <c r="M52" i="2"/>
  <c r="G53" i="2"/>
  <c r="G54" i="2" s="1"/>
  <c r="R48" i="1"/>
  <c r="R47" i="1" s="1"/>
  <c r="R20" i="1"/>
  <c r="R19" i="1" s="1"/>
  <c r="O53" i="2"/>
  <c r="O54" i="2" s="1"/>
  <c r="T51" i="2"/>
  <c r="T52" i="2" s="1"/>
  <c r="O26" i="2"/>
  <c r="T25" i="2"/>
  <c r="T26" i="2" s="1"/>
  <c r="U51" i="2"/>
  <c r="U52" i="2" s="1"/>
  <c r="S46" i="2"/>
  <c r="S45" i="2" s="1"/>
  <c r="L26" i="2"/>
  <c r="S25" i="2"/>
  <c r="S26" i="2" s="1"/>
  <c r="U20" i="2"/>
  <c r="U19" i="2" s="1"/>
  <c r="S20" i="1"/>
  <c r="S19" i="1" s="1"/>
  <c r="R51" i="2"/>
  <c r="R52" i="2" s="1"/>
  <c r="I53" i="2"/>
  <c r="I54" i="2" s="1"/>
  <c r="H53" i="2"/>
  <c r="H54" i="2" s="1"/>
  <c r="U25" i="2"/>
  <c r="U26" i="2" s="1"/>
  <c r="R25" i="2"/>
  <c r="R26" i="2" s="1"/>
  <c r="R20" i="2"/>
  <c r="R19" i="2" s="1"/>
  <c r="U27" i="1"/>
  <c r="U28" i="1" s="1"/>
  <c r="R55" i="1"/>
  <c r="R56" i="1" s="1"/>
  <c r="S48" i="1"/>
  <c r="S47" i="1" s="1"/>
  <c r="T20" i="1"/>
  <c r="T19" i="1" s="1"/>
  <c r="R27" i="1"/>
  <c r="R28" i="1" s="1"/>
  <c r="T48" i="1"/>
  <c r="T47" i="1" s="1"/>
  <c r="S55" i="1"/>
  <c r="S56" i="1" s="1"/>
  <c r="S27" i="1"/>
  <c r="S28" i="1" s="1"/>
  <c r="T27" i="1"/>
  <c r="T28" i="1" s="1"/>
  <c r="T55" i="1"/>
  <c r="T56" i="1" s="1"/>
  <c r="T57" i="1" l="1"/>
  <c r="T58" i="1"/>
  <c r="Q53" i="2"/>
  <c r="R27" i="2"/>
  <c r="S53" i="2"/>
  <c r="S28" i="2"/>
  <c r="R28" i="2"/>
  <c r="T54" i="2"/>
  <c r="S54" i="2"/>
  <c r="Q54" i="2"/>
  <c r="S27" i="2"/>
  <c r="T53" i="2"/>
  <c r="Q28" i="2"/>
  <c r="D56" i="2"/>
  <c r="D58" i="2" s="1"/>
  <c r="Q27" i="2"/>
  <c r="T29" i="1"/>
  <c r="T27" i="2"/>
  <c r="T28" i="2"/>
  <c r="U27" i="2"/>
  <c r="R54" i="2"/>
  <c r="U53" i="2"/>
  <c r="R53" i="2"/>
  <c r="I55" i="2"/>
  <c r="U19" i="1"/>
  <c r="U55" i="1"/>
  <c r="U56" i="1" s="1"/>
  <c r="S29" i="1"/>
  <c r="T30" i="1"/>
  <c r="U48" i="1"/>
  <c r="U47" i="1" s="1"/>
  <c r="R57" i="1"/>
  <c r="S57" i="1"/>
  <c r="R29" i="1"/>
  <c r="U54" i="2" l="1"/>
  <c r="U28" i="2"/>
  <c r="E56" i="2"/>
  <c r="E57" i="2" s="1"/>
  <c r="D57" i="2"/>
  <c r="D30" i="2"/>
  <c r="S58" i="1"/>
  <c r="J55" i="2"/>
  <c r="R58" i="1"/>
  <c r="U58" i="1"/>
  <c r="U30" i="1"/>
  <c r="U57" i="1"/>
  <c r="U29" i="1"/>
  <c r="R30" i="1"/>
  <c r="S30" i="1"/>
  <c r="D32" i="2" l="1"/>
  <c r="D31" i="2"/>
  <c r="E58" i="2"/>
  <c r="K55" i="2"/>
  <c r="F56" i="2" l="1"/>
  <c r="D60" i="2"/>
  <c r="E30" i="2"/>
  <c r="L55" i="2"/>
  <c r="F57" i="2" l="1"/>
  <c r="Q56" i="2"/>
  <c r="Q57" i="2" s="1"/>
  <c r="E31" i="2"/>
  <c r="E32" i="2"/>
  <c r="E60" i="2" s="1"/>
  <c r="F58" i="2"/>
  <c r="M55" i="2"/>
  <c r="F30" i="2" l="1"/>
  <c r="F31" i="2" s="1"/>
  <c r="G56" i="2"/>
  <c r="O55" i="2"/>
  <c r="N55" i="2"/>
  <c r="Q30" i="2" l="1"/>
  <c r="Q31" i="2" s="1"/>
  <c r="F32" i="2"/>
  <c r="F60" i="2" s="1"/>
  <c r="G57" i="2"/>
  <c r="G58" i="2"/>
  <c r="H56" i="2" s="1"/>
  <c r="G30" i="2" l="1"/>
  <c r="G31" i="2" s="1"/>
  <c r="H58" i="2"/>
  <c r="H57" i="2"/>
  <c r="G32" i="2" l="1"/>
  <c r="G60" i="2" s="1"/>
  <c r="I56" i="2"/>
  <c r="H30" i="2" l="1"/>
  <c r="H31" i="2" s="1"/>
  <c r="I57" i="2"/>
  <c r="R56" i="2"/>
  <c r="R57" i="2" s="1"/>
  <c r="I58" i="2"/>
  <c r="J56" i="2" s="1"/>
  <c r="J57" i="2" s="1"/>
  <c r="R60" i="1"/>
  <c r="H32" i="2" l="1"/>
  <c r="I30" i="2" s="1"/>
  <c r="I32" i="2" s="1"/>
  <c r="J58" i="2"/>
  <c r="K56" i="2" s="1"/>
  <c r="R32" i="1"/>
  <c r="R33" i="1" s="1"/>
  <c r="R63" i="1"/>
  <c r="R61" i="1"/>
  <c r="H60" i="2" l="1"/>
  <c r="K57" i="2"/>
  <c r="I31" i="2"/>
  <c r="R30" i="2"/>
  <c r="R31" i="2" s="1"/>
  <c r="J30" i="2"/>
  <c r="J32" i="2" s="1"/>
  <c r="K30" i="2" s="1"/>
  <c r="I60" i="2"/>
  <c r="K58" i="2"/>
  <c r="L56" i="2" s="1"/>
  <c r="S56" i="2" s="1"/>
  <c r="S57" i="2" s="1"/>
  <c r="L58" i="2" l="1"/>
  <c r="L57" i="2"/>
  <c r="K31" i="2"/>
  <c r="J60" i="2"/>
  <c r="J31" i="2"/>
  <c r="K32" i="2" l="1"/>
  <c r="M56" i="2"/>
  <c r="M58" i="2" l="1"/>
  <c r="N56" i="2" s="1"/>
  <c r="N57" i="2" s="1"/>
  <c r="M57" i="2"/>
  <c r="K60" i="2"/>
  <c r="L30" i="2"/>
  <c r="S30" i="2" s="1"/>
  <c r="S31" i="2" s="1"/>
  <c r="S60" i="1"/>
  <c r="N58" i="2" l="1"/>
  <c r="O56" i="2" s="1"/>
  <c r="L32" i="2"/>
  <c r="L31" i="2"/>
  <c r="S63" i="1"/>
  <c r="S61" i="1"/>
  <c r="O57" i="2" l="1"/>
  <c r="T56" i="2"/>
  <c r="T57" i="2" s="1"/>
  <c r="U56" i="2"/>
  <c r="U57" i="2" s="1"/>
  <c r="O58" i="2"/>
  <c r="L60" i="2"/>
  <c r="M30" i="2"/>
  <c r="S32" i="1"/>
  <c r="S33" i="1" s="1"/>
  <c r="M32" i="2" l="1"/>
  <c r="M31" i="2"/>
  <c r="M60" i="2" l="1"/>
  <c r="N30" i="2"/>
  <c r="N32" i="2" s="1"/>
  <c r="U60" i="1"/>
  <c r="T60" i="1"/>
  <c r="N31" i="2" l="1"/>
  <c r="N60" i="2"/>
  <c r="O30" i="2"/>
  <c r="U30" i="2" s="1"/>
  <c r="U31" i="2" s="1"/>
  <c r="T63" i="1"/>
  <c r="T61" i="1"/>
  <c r="U63" i="1"/>
  <c r="U61" i="1"/>
  <c r="T30" i="2" l="1"/>
  <c r="T31" i="2" s="1"/>
  <c r="O32" i="2"/>
  <c r="O60" i="2" s="1"/>
  <c r="O31" i="2"/>
  <c r="U32" i="1"/>
  <c r="U33" i="1" s="1"/>
  <c r="T32" i="1"/>
  <c r="T33" i="1" s="1"/>
  <c r="L15" i="7" l="1"/>
  <c r="O138" i="7"/>
  <c r="M139" i="7" l="1"/>
  <c r="O139" i="7" s="1"/>
  <c r="Q15" i="7"/>
  <c r="O104" i="7"/>
  <c r="M105" i="7" l="1"/>
  <c r="L16" i="7" s="1"/>
  <c r="O105" i="7" l="1"/>
  <c r="Q16" i="7"/>
  <c r="L20" i="7"/>
  <c r="Q20" i="7" s="1"/>
  <c r="L21" i="7"/>
  <c r="Q21" i="7" s="1"/>
  <c r="F27" i="8"/>
  <c r="F29" i="8" s="1"/>
  <c r="O19" i="8"/>
  <c r="F30" i="8" l="1"/>
  <c r="O30" i="8" s="1"/>
  <c r="O29" i="8"/>
  <c r="O32" i="8" l="1"/>
  <c r="F32" i="8"/>
  <c r="F42" i="8" s="1"/>
  <c r="O4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5" authorId="0" shapeId="0" xr:uid="{00000000-0006-0000-0400-000001000000}">
      <text>
        <r>
          <rPr>
            <b/>
            <sz val="9"/>
            <color indexed="81"/>
            <rFont val="Tahoma"/>
            <family val="2"/>
          </rPr>
          <t>Author:</t>
        </r>
        <r>
          <rPr>
            <sz val="9"/>
            <color indexed="81"/>
            <rFont val="Tahoma"/>
            <family val="2"/>
          </rPr>
          <t xml:space="preserve">
January correcting entry to be made in February of $585.39</t>
        </r>
      </text>
    </comment>
    <comment ref="F58" authorId="0" shapeId="0" xr:uid="{00000000-0006-0000-0400-000002000000}">
      <text>
        <r>
          <rPr>
            <b/>
            <sz val="9"/>
            <color indexed="81"/>
            <rFont val="Tahoma"/>
            <family val="2"/>
          </rPr>
          <t>tlk:</t>
        </r>
        <r>
          <rPr>
            <sz val="9"/>
            <color indexed="81"/>
            <rFont val="Tahoma"/>
            <family val="2"/>
          </rPr>
          <t xml:space="preserve">
Actual Earnings Sharing amount transfers when amort filing is made in September, interest true-up also booked in September</t>
        </r>
      </text>
    </comment>
    <comment ref="O58" authorId="0" shapeId="0" xr:uid="{00000000-0006-0000-0400-00000300000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 ref="F76" authorId="0" shapeId="0" xr:uid="{00000000-0006-0000-0400-000004000000}">
      <text>
        <r>
          <rPr>
            <b/>
            <sz val="9"/>
            <color indexed="81"/>
            <rFont val="Tahoma"/>
            <family val="2"/>
          </rPr>
          <t>tlk:</t>
        </r>
        <r>
          <rPr>
            <sz val="9"/>
            <color indexed="81"/>
            <rFont val="Tahoma"/>
            <family val="2"/>
          </rPr>
          <t xml:space="preserve">
Actual Earnings Sharing amount transfers when amort filing is made in September, interest true-up also booked in September</t>
        </r>
      </text>
    </comment>
    <comment ref="O76" authorId="0" shapeId="0" xr:uid="{00000000-0006-0000-0400-000005000000}">
      <text>
        <r>
          <rPr>
            <b/>
            <sz val="9"/>
            <color indexed="81"/>
            <rFont val="Tahoma"/>
            <family val="2"/>
          </rPr>
          <t>tlk:</t>
        </r>
        <r>
          <rPr>
            <sz val="9"/>
            <color indexed="81"/>
            <rFont val="Tahoma"/>
            <family val="2"/>
          </rPr>
          <t xml:space="preserve">
Earnings Sharing amount transferred in September, interest calculated as if transferred in December, interest true-up booked in August corrected in September</t>
        </r>
      </text>
    </comment>
  </commentList>
</comments>
</file>

<file path=xl/sharedStrings.xml><?xml version="1.0" encoding="utf-8"?>
<sst xmlns="http://schemas.openxmlformats.org/spreadsheetml/2006/main" count="1126" uniqueCount="294">
  <si>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</si>
  <si>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</si>
  <si>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</si>
  <si>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</si>
  <si>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</si>
  <si>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</si>
  <si>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</si>
  <si>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</si>
  <si>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</si>
  <si>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</si>
  <si>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</si>
  <si>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</si>
  <si>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</si>
  <si>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</si>
  <si>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</si>
  <si>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</si>
  <si>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</si>
  <si>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</si>
  <si>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</si>
  <si>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</si>
  <si>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</si>
  <si>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</si>
  <si>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</si>
  <si>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</si>
  <si>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</si>
  <si>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</si>
  <si>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</si>
  <si>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</si>
  <si>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</si>
  <si>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</si>
  <si>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</si>
  <si>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</si>
  <si>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</si>
  <si>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</si>
  <si>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</si>
  <si>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</si>
  <si>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</si>
  <si>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</si>
  <si>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</si>
  <si>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</si>
  <si>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</si>
  <si>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</si>
  <si>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</si>
  <si>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</si>
  <si>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</si>
  <si>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</si>
  <si>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</si>
  <si>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</si>
  <si>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</si>
  <si>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</si>
  <si>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</si>
  <si>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</si>
  <si>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</si>
  <si>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</si>
  <si>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</si>
  <si>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</si>
  <si>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</si>
  <si>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</si>
  <si>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</si>
  <si>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</si>
  <si>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</si>
  <si>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</si>
  <si>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</si>
  <si>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</si>
  <si>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</si>
  <si>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</si>
  <si>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</si>
  <si>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</si>
  <si>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</si>
  <si>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</si>
  <si>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</si>
  <si>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</si>
  <si>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</si>
  <si>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</si>
  <si>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</si>
  <si>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</si>
  <si>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</si>
  <si>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</si>
  <si>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</si>
  <si>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</si>
  <si>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</si>
  <si>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</si>
  <si>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</si>
  <si>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</si>
  <si>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</si>
  <si>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</si>
  <si>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</si>
  <si>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5, Page 3</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</si>
  <si>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</si>
  <si>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</si>
  <si>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</si>
  <si>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</si>
  <si>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</si>
  <si>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</si>
  <si>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</si>
  <si>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</si>
  <si>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</si>
  <si>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</si>
  <si>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</si>
  <si>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</si>
  <si>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</si>
  <si>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</si>
  <si>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</si>
  <si>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</si>
  <si>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</si>
  <si>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</si>
  <si>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</si>
  <si>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</si>
  <si>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</si>
  <si>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</si>
  <si>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</si>
  <si>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</si>
  <si>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</si>
  <si>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</si>
  <si>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</si>
  <si>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</si>
  <si>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</si>
  <si>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</si>
  <si>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</si>
  <si>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</si>
  <si>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</si>
  <si>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</si>
  <si>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</si>
  <si>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</si>
  <si>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</si>
  <si>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</si>
  <si>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</si>
  <si>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</si>
  <si>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</si>
  <si>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</si>
  <si>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</si>
  <si>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</si>
  <si>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</si>
  <si>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</si>
  <si>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</si>
  <si>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</si>
  <si>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</si>
  <si>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</si>
  <si>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</si>
  <si>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</si>
  <si>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</si>
  <si>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</si>
  <si>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</si>
  <si>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</si>
  <si>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</si>
  <si>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</si>
  <si>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</si>
  <si>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</si>
  <si>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</si>
  <si>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</si>
  <si>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</si>
  <si>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</si>
  <si>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Development of WA Electric Deferrals (Calendar Year 2020)</t>
  </si>
  <si>
    <t>1st Quarter</t>
  </si>
  <si>
    <t>2nd Quarter</t>
  </si>
  <si>
    <t>3rd Quarter</t>
  </si>
  <si>
    <t>4th Quarter</t>
  </si>
  <si>
    <t>Development of WA Natural Gas Deferrals (Calendar Year 2020)</t>
  </si>
  <si>
    <t>2019 Deferred Revenue Pending Recovery</t>
  </si>
  <si>
    <t>Provision for Rate Refund - December 2019 Estimate</t>
  </si>
  <si>
    <t>Decoupling Mechanism - UE-170485 Base effective 5/1/2018, 
UE-190334 Base effective 4/1/2020</t>
  </si>
  <si>
    <t>Actual Usage (kWhs)</t>
  </si>
  <si>
    <t>New Customers</t>
  </si>
  <si>
    <t>New Customer Usage (kWhs)</t>
  </si>
  <si>
    <t>New Customer Base Rate Revenue</t>
  </si>
  <si>
    <t>New Customer Basic Charge Revenue</t>
  </si>
  <si>
    <t>Actual Customers/Test Year Existing</t>
  </si>
  <si>
    <t>Attachment 3,  Page 3</t>
  </si>
  <si>
    <t>Actual Base Rate Revenue/Test Year Existing</t>
  </si>
  <si>
    <t>Actual Basic Charge Revenue/Test Year Existing</t>
  </si>
  <si>
    <t>Actual Usage (kWhs)/Test Year Existing</t>
  </si>
  <si>
    <t>Attachment 3, Page 1</t>
  </si>
  <si>
    <t>Cumulative Deferral (Rebate)/Surcharge Balance</t>
  </si>
  <si>
    <t>Attachment 3, Page 3</t>
  </si>
  <si>
    <t>Total Cumulative Deferral (Rebate)/Surcharge Balance</t>
  </si>
  <si>
    <t>Decoupling Mechanism - UG-170486 Base effective 5/1/2018, 
UG-190335 Base effective 4/1/2020</t>
  </si>
  <si>
    <t>Actual Usage ("Therms)</t>
  </si>
  <si>
    <t>New Customer Usage (Therms)</t>
  </si>
  <si>
    <t>New Customer Fixed Charge Revenue</t>
  </si>
  <si>
    <t>Actual/Test Year Existing Customers</t>
  </si>
  <si>
    <t>Actual Usage /Test Year Existing</t>
  </si>
  <si>
    <t>Actual Base Rate Revenue / Test Year Existing</t>
  </si>
  <si>
    <t>Actual Fixed Charge Revenue / Test Year Existing</t>
  </si>
  <si>
    <t>Cumulative Deferral (Rebate) Balance</t>
  </si>
  <si>
    <t>Test Year Existing Customers</t>
  </si>
  <si>
    <t>Actual Usage (Therms) /Test Year Existing</t>
  </si>
  <si>
    <t>Total Cumulative Deferral (Rebate)</t>
  </si>
  <si>
    <t>YTD Weighted</t>
  </si>
  <si>
    <r>
      <rPr>
        <b/>
        <sz val="11"/>
        <color theme="1"/>
        <rFont val="Calibri"/>
        <family val="2"/>
        <scheme val="minor"/>
      </rPr>
      <t>2)</t>
    </r>
    <r>
      <rPr>
        <sz val="11"/>
        <color theme="1"/>
        <rFont val="Calibri"/>
        <family val="2"/>
        <scheme val="minor"/>
      </rPr>
      <t xml:space="preserve">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2020 surcharge may not be fully recovered by 12/31/2022 and therefore would not be recognizable as income for financial reporting purposes in 2020.   The income statement impact of any contra deferral entries will be eliminated for Commission Basis results reporting.</t>
    </r>
  </si>
  <si>
    <t>Check to Int Recon Tab</t>
  </si>
  <si>
    <t>TRANSFER PRIOR YEAR BALANCES APPROVED FOR RECOVERY TO SURCHARGE/REBATE ACCOUNTS EFFECTIVE AUGUST 1, 2020.</t>
  </si>
  <si>
    <t>Annual</t>
  </si>
  <si>
    <t>202010</t>
  </si>
  <si>
    <t>202011</t>
  </si>
  <si>
    <t>202012</t>
  </si>
  <si>
    <t>Average Customer Adjustment</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</si>
  <si>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2020.  For residential electric customers, usage and decoupled revenue were higher than authorized resulting in a rebate deferral. Non-residential electric customer usage and decoupled revenue were lower than authorized resulting in a surcharge deferral.  Natural gas customers usage and decoupled revenues were lower than authorized resulting in surcharge deferrals for both the residential and non-residential groups.  The average customer adjustment increased the rebate for electric residential customers and decreased the surcharge for natural gas customers as shown.</t>
    </r>
  </si>
  <si>
    <t>New Customers Excluded from Decoupling Mechanism</t>
  </si>
  <si>
    <t>UE-190334 Base effective 4/1/2020</t>
  </si>
  <si>
    <t>2020 Total</t>
  </si>
  <si>
    <t>Rate Base</t>
  </si>
  <si>
    <t>Return Requirement</t>
  </si>
  <si>
    <t>Income Tax</t>
  </si>
  <si>
    <t>Variable Power Costs</t>
  </si>
  <si>
    <t>Average</t>
  </si>
  <si>
    <t>Apr - Dec</t>
  </si>
  <si>
    <t>Allowed ROR</t>
  </si>
  <si>
    <t>The Company will maintain and present data and a brief explanatory narrative for 30-, 20-, 15-, and 10-year moving averages for purposes of decoupling in its annual decoupling report.</t>
  </si>
  <si>
    <t>30-Year Normal DDH</t>
  </si>
  <si>
    <t>30-Year Normal DDC</t>
  </si>
  <si>
    <t>Normal - Actual DDH</t>
  </si>
  <si>
    <t>Actual Degree Days Heating</t>
  </si>
  <si>
    <t>Actual Degree Days Cooling</t>
  </si>
  <si>
    <t>Normal - Actual DDC</t>
  </si>
  <si>
    <t>30-Year Residential Usage Adjustment</t>
  </si>
  <si>
    <t>30-Year Non-Residential Usage Adjustment</t>
  </si>
  <si>
    <t>*</t>
  </si>
  <si>
    <t xml:space="preserve"> **</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</si>
  <si>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$19,742.07.</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</si>
  <si>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$12,682.42.</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</si>
  <si>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an increase to decoupled revenue of $262.05.</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</si>
  <si>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$10,366.26.</t>
  </si>
  <si>
    <t>Tax Benefit of Interest</t>
  </si>
  <si>
    <t>Weighted Cost of Debt</t>
  </si>
  <si>
    <t>Excise Tax</t>
  </si>
  <si>
    <t>Uncollectibles</t>
  </si>
  <si>
    <t>Commission Fees</t>
  </si>
  <si>
    <t>Retail Revenue Credit Rate</t>
  </si>
  <si>
    <t>Excise Tax Rate</t>
  </si>
  <si>
    <t>Uncollectible Expense Rate</t>
  </si>
  <si>
    <t>Commission Fee Rate</t>
  </si>
  <si>
    <t>Federal Tax Rate</t>
  </si>
  <si>
    <t>Operating Income Before FIT</t>
  </si>
  <si>
    <t>Operating Income</t>
  </si>
  <si>
    <t>No. of Excluded Customer Bills - Residential</t>
  </si>
  <si>
    <t>No. of Excluded Customer Bills - Non-Residential</t>
  </si>
  <si>
    <t>Total New Customer Revenue</t>
  </si>
  <si>
    <t>Total New Customer Expense</t>
  </si>
  <si>
    <t>NOI Sufficiency (Deficiency)</t>
  </si>
  <si>
    <t>Description</t>
  </si>
  <si>
    <t>Avg Cust Service Cost per Bill (2)</t>
  </si>
  <si>
    <t>Avg Cust Acctg Cost per Bill (1)</t>
  </si>
  <si>
    <t>Note (1)</t>
  </si>
  <si>
    <t>Note (2)</t>
  </si>
  <si>
    <t>UG-190335 Base effective 4/1/2020</t>
  </si>
  <si>
    <t>Variable Gas Costs</t>
  </si>
  <si>
    <t>Gas Cost Excl from Base Rate Rev</t>
  </si>
  <si>
    <t xml:space="preserve">New Customer Use per Customer - Residential </t>
  </si>
  <si>
    <t xml:space="preserve">New Customer Use per Customer - Non-Residential </t>
  </si>
  <si>
    <t>New Customer Usage - 
Non-Residential</t>
  </si>
  <si>
    <t>Residential Non-Weather</t>
  </si>
  <si>
    <t>Residential Weather Component</t>
  </si>
  <si>
    <t>Deferred Decoupled Revenue</t>
  </si>
  <si>
    <t>Total Residential Decoupling Deferral</t>
  </si>
  <si>
    <t>Non-Residential Weather Component</t>
  </si>
  <si>
    <t>Non-Residential Non-Weather</t>
  </si>
  <si>
    <t>Total Non-Residential Decoupling Deferral</t>
  </si>
  <si>
    <t>30-Year Weather Assumption</t>
  </si>
  <si>
    <t>20-Year Weather Assumption</t>
  </si>
  <si>
    <t>20-Year Normal DDH</t>
  </si>
  <si>
    <t>20-Year Normal DDC</t>
  </si>
  <si>
    <t>20-Year Residential Usage Adjustment</t>
  </si>
  <si>
    <t>20-Year Non-Residential Usage Adjustment</t>
  </si>
  <si>
    <t>15-Year Weather Assumption</t>
  </si>
  <si>
    <t>15-Year Normal DDH</t>
  </si>
  <si>
    <t>15-Year Normal DDC</t>
  </si>
  <si>
    <t>15-Year Residential Usage Adjustment</t>
  </si>
  <si>
    <t>15-Year Non-Residential Usage Adjustment</t>
  </si>
  <si>
    <t>10-Year Weather Assumption</t>
  </si>
  <si>
    <t>10-Year Normal DDH</t>
  </si>
  <si>
    <t>10-Year Normal DDC</t>
  </si>
  <si>
    <t>10-Year Residential Usage Adjustment</t>
  </si>
  <si>
    <t>10-Year Non-Residential Usage Adjustment</t>
  </si>
  <si>
    <t>Depreciation Expense (1)</t>
  </si>
  <si>
    <t>Property Tax Expense (1)</t>
  </si>
  <si>
    <t>Customer Accounting Cost (2)</t>
  </si>
  <si>
    <t>Customer Service Cost (3)</t>
  </si>
  <si>
    <t>Plant Investment Associated with New Customers Since Test Year (1)</t>
  </si>
  <si>
    <t>Accumulated Depreciation (1)</t>
  </si>
  <si>
    <t>Accumulated Deferred Taxes (1)</t>
  </si>
  <si>
    <t>Avg Cust Acctg Cost per Bill (2)</t>
  </si>
  <si>
    <t>Avg Cust Service Cost per Bill (3)</t>
  </si>
  <si>
    <t>Note (3)</t>
  </si>
  <si>
    <t>All plant related new customer costs are derived from "New Revenue - Growth" project category transfers to plant cumulative additions since the test year.</t>
  </si>
  <si>
    <t>Reflects 12ME Customer Accounting Expenses per Bill (excludes Uncollectible Accounts Expense).</t>
  </si>
  <si>
    <t>Reflects 12ME Customer Service and Info Expenses per Bill (excludes Public Purpose Tariff Rider and Limited Income Tax Refund Program expense offsets).</t>
  </si>
  <si>
    <t>Explanatory Narrative:</t>
  </si>
  <si>
    <t>Heating degree-day and Cooling degree-day moving averages provide an updated determination of "normal" or expected weather each year.  In the context of a general rate case, changing these assumptions impacts the normalized test year usage that new rates are based on, the same costs spread over less usage will result in higher charges per kWh to achieve the same revenue per customer (RPC) and vice-versa.  In the context of the Company's decoupling mechanism the allowed decoupled  RPC is determined in the development of current effective rates in a general rate proceeding.  Once the RPC is set, assumptions regarding what proportion of decoupling deferrals are associated with weather have no impact on the deferrals in total, only the portion explained by "abnormal" weather.</t>
  </si>
  <si>
    <t>The data shown below indicates that if 2020 were a test year in a future general rate case the definition of "normal" weather would impact both the overall normalized usage and the monthly shape of normalized usage (impacting the cost of power and the Decoupling monthly RPC).  Electric usage is sensitive to both heating and cooling.  Generally, the data below shows that the shorter the moving average periods, the less heating degree-days and more cooling degree-days with offsetting impacts.  Residential service would have the highest normalized usage under the 15-year moving average assumption and non-residential service would have the highest normalized usage under the 10-year moving average assumption.</t>
  </si>
  <si>
    <r>
      <t xml:space="preserve">The data shown below indicates that if 2020 were a test year in a future general rate case the definition of "normal" weather would impact both the overall normalized usage and the monthly shape of normalized usage (impacting the Decoupling monthly RPC).  Natural gas usage is only sensitive to heating, therefore changes to cooling expectations have no impact to the normalized test year usage.  Generally, the data below shows that the shorter the moving average periods, the less heating degree-days and more cooling degree-days.  Both residential and non-residential natural gas service would have the highest normalized usage under the </t>
    </r>
    <r>
      <rPr>
        <sz val="11"/>
        <color rgb="FFFF0000"/>
        <rFont val="Calibri"/>
        <family val="2"/>
        <scheme val="minor"/>
      </rPr>
      <t>30</t>
    </r>
    <r>
      <rPr>
        <sz val="11"/>
        <color theme="1"/>
        <rFont val="Calibri"/>
        <family val="2"/>
        <scheme val="minor"/>
      </rPr>
      <t>-year moving average assumption (lowest rate per therm for the same RPC) and the lowest normalized usage under the 10-year moving average assumption (highest rate per therm for the same RPC).</t>
    </r>
  </si>
  <si>
    <t>New Customer Usage -
 Residential</t>
  </si>
  <si>
    <t>Base Rate Revenue from Excluded Customers - Residential</t>
  </si>
  <si>
    <t>Base Rate Revenue from Excluded Customers - Non-Residential</t>
  </si>
  <si>
    <t>New Customer Usage -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</si>
</sst>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9">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8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sz val="11"/>
      <color theme="1"/>
      <name val="Symbol"/>
      <family val="1"/>
      <charset val="2"/>
    </font>
    <font>
      <sz val="11"/>
      <color rgb="FF3333FF"/>
      <name val="Calibri"/>
      <family val="2"/>
      <scheme val="minor"/>
    </font>
    <font>
      <sz val="10"/>
      <color rgb="FF080DDE"/>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314">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167" fontId="5" fillId="0" borderId="0" xfId="3" applyNumberFormat="1" applyFont="1" applyFill="1" applyBorder="1"/>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17" fontId="0" fillId="0" borderId="0" xfId="0" applyNumberFormat="1" applyAlignment="1">
      <alignment horizontal="center"/>
    </xf>
    <xf numFmtId="243" fontId="0" fillId="0" borderId="0" xfId="0" applyNumberFormat="1"/>
    <xf numFmtId="10" fontId="0" fillId="0" borderId="0" xfId="0" applyNumberFormat="1"/>
    <xf numFmtId="0" fontId="0" fillId="0" borderId="0" xfId="0" applyAlignment="1">
      <alignment shrinkToFit="1"/>
    </xf>
    <xf numFmtId="0" fontId="0" fillId="0" borderId="0" xfId="0" applyAlignment="1">
      <alignment horizontal="center" vertical="center"/>
    </xf>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17" fontId="30" fillId="0" borderId="0" xfId="0" applyNumberFormat="1" applyFont="1" applyAlignment="1">
      <alignment horizontal="center"/>
    </xf>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0" fontId="0" fillId="0" borderId="0" xfId="0" quotePrefix="1"/>
    <xf numFmtId="17" fontId="177" fillId="2" borderId="51" xfId="3" applyNumberFormat="1" applyFont="1" applyFill="1" applyBorder="1" applyAlignment="1">
      <alignment horizontal="center" vertical="center"/>
    </xf>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9" fontId="8" fillId="0" borderId="0" xfId="2" applyFont="1" applyFill="1" applyBorder="1"/>
    <xf numFmtId="167" fontId="6" fillId="2" borderId="57" xfId="3" applyNumberFormat="1" applyFont="1" applyFill="1" applyBorder="1"/>
    <xf numFmtId="167" fontId="8" fillId="2" borderId="58" xfId="3" applyNumberFormat="1" applyFont="1" applyFill="1" applyBorder="1"/>
    <xf numFmtId="0" fontId="5" fillId="2" borderId="0" xfId="3" applyFont="1" applyFill="1" applyBorder="1" applyAlignment="1">
      <alignment horizontal="center"/>
    </xf>
    <xf numFmtId="166" fontId="7" fillId="0" borderId="0" xfId="3" applyNumberFormat="1" applyFont="1" applyFill="1" applyBorder="1" applyAlignment="1">
      <alignment vertical="center" wrapText="1"/>
    </xf>
    <xf numFmtId="0" fontId="7" fillId="2" borderId="0" xfId="3"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167" fontId="5" fillId="2" borderId="0" xfId="3" applyNumberFormat="1" applyFont="1" applyFill="1" applyBorder="1"/>
    <xf numFmtId="166" fontId="7" fillId="0" borderId="0" xfId="3" applyNumberFormat="1" applyFont="1" applyFill="1" applyBorder="1" applyAlignment="1">
      <alignment vertical="center"/>
    </xf>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17" fontId="30" fillId="0" borderId="0" xfId="0" applyNumberFormat="1" applyFont="1"/>
    <xf numFmtId="0" fontId="30" fillId="0" borderId="0" xfId="0" applyFont="1" applyAlignment="1">
      <alignment horizontal="left"/>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7" fontId="30" fillId="0" borderId="0" xfId="0" applyNumberFormat="1" applyFont="1" applyAlignment="1">
      <alignment horizontal="center"/>
    </xf>
    <xf numFmtId="7" fontId="0" fillId="0" borderId="0" xfId="0" applyNumberFormat="1"/>
    <xf numFmtId="7" fontId="0" fillId="0" borderId="0" xfId="0" applyNumberFormat="1" applyAlignment="1">
      <alignment horizontal="center"/>
    </xf>
    <xf numFmtId="0" fontId="0" fillId="0" borderId="0" xfId="0" applyNumberFormat="1" applyAlignment="1">
      <alignment horizontal="center"/>
    </xf>
    <xf numFmtId="0" fontId="30" fillId="0" borderId="0" xfId="0" applyNumberFormat="1" applyFont="1" applyAlignment="1">
      <alignment horizontal="right"/>
    </xf>
    <xf numFmtId="0" fontId="0" fillId="0" borderId="0" xfId="0" applyNumberFormat="1"/>
    <xf numFmtId="0" fontId="0" fillId="0" borderId="0" xfId="0" applyNumberFormat="1" applyAlignment="1"/>
    <xf numFmtId="7" fontId="178" fillId="0" borderId="0" xfId="0" applyNumberFormat="1" applyFont="1"/>
    <xf numFmtId="0" fontId="180" fillId="0" borderId="0" xfId="0" applyFont="1"/>
    <xf numFmtId="7" fontId="178" fillId="0" borderId="0" xfId="0" applyNumberFormat="1" applyFont="1" applyFill="1"/>
    <xf numFmtId="7" fontId="30" fillId="0" borderId="0" xfId="0" applyNumberFormat="1" applyFont="1"/>
    <xf numFmtId="7" fontId="0" fillId="0" borderId="0" xfId="0" applyNumberFormat="1" applyAlignment="1">
      <alignment horizontal="left" wrapText="1"/>
    </xf>
    <xf numFmtId="7" fontId="0" fillId="0" borderId="0" xfId="1" applyNumberFormat="1" applyFont="1"/>
    <xf numFmtId="7" fontId="179" fillId="0" borderId="0" xfId="0" applyNumberFormat="1" applyFont="1" applyFill="1"/>
    <xf numFmtId="7" fontId="0" fillId="0" borderId="0" xfId="0" applyNumberFormat="1" applyFill="1"/>
    <xf numFmtId="7" fontId="0" fillId="0" borderId="0" xfId="0" applyNumberFormat="1" applyFill="1" applyBorder="1"/>
    <xf numFmtId="7" fontId="11" fillId="0" borderId="0" xfId="1" applyNumberFormat="1" applyFont="1" applyFill="1" applyBorder="1" applyAlignment="1">
      <alignment horizontal="right" vertical="center"/>
    </xf>
    <xf numFmtId="7" fontId="0" fillId="0" borderId="0" xfId="0" applyNumberFormat="1" applyFill="1" applyAlignment="1">
      <alignment horizontal="center"/>
    </xf>
    <xf numFmtId="7" fontId="179" fillId="0" borderId="0" xfId="0" applyNumberFormat="1" applyFont="1"/>
    <xf numFmtId="44" fontId="178" fillId="0" borderId="0" xfId="0" applyNumberFormat="1" applyFont="1" applyFill="1"/>
    <xf numFmtId="44" fontId="181" fillId="0" borderId="0" xfId="0" applyNumberFormat="1" applyFont="1"/>
    <xf numFmtId="165" fontId="7" fillId="2" borderId="0" xfId="6" applyNumberFormat="1" applyFont="1" applyFill="1"/>
    <xf numFmtId="0" fontId="5" fillId="2" borderId="0" xfId="3" applyFont="1" applyFill="1" applyAlignment="1">
      <alignment wrapText="1"/>
    </xf>
    <xf numFmtId="0" fontId="3" fillId="2" borderId="0" xfId="3" applyFont="1" applyFill="1" applyAlignment="1">
      <alignment horizontal="left"/>
    </xf>
    <xf numFmtId="0" fontId="3" fillId="2" borderId="0" xfId="3" applyFont="1" applyFill="1" applyAlignment="1">
      <alignment horizontal="left" wrapText="1"/>
    </xf>
    <xf numFmtId="165" fontId="5" fillId="2" borderId="0" xfId="3" applyNumberFormat="1" applyFont="1" applyFill="1" applyAlignment="1">
      <alignment horizontal="center"/>
    </xf>
    <xf numFmtId="167" fontId="5" fillId="2" borderId="0" xfId="3" applyNumberFormat="1" applyFont="1" applyFill="1" applyAlignment="1">
      <alignment horizontal="center"/>
    </xf>
    <xf numFmtId="165" fontId="182" fillId="2" borderId="0" xfId="3" applyNumberFormat="1" applyFont="1" applyFill="1" applyAlignment="1">
      <alignment horizontal="center"/>
    </xf>
    <xf numFmtId="165" fontId="182" fillId="2" borderId="0" xfId="3" applyNumberFormat="1" applyFont="1" applyFill="1" applyBorder="1" applyAlignment="1">
      <alignment horizontal="center"/>
    </xf>
    <xf numFmtId="167" fontId="182" fillId="2" borderId="0" xfId="3" applyNumberFormat="1" applyFont="1" applyFill="1" applyAlignment="1">
      <alignment horizontal="center"/>
    </xf>
    <xf numFmtId="167" fontId="182" fillId="2" borderId="0" xfId="3" applyNumberFormat="1" applyFont="1" applyFill="1" applyBorder="1" applyAlignment="1">
      <alignment horizontal="center"/>
    </xf>
    <xf numFmtId="165" fontId="7" fillId="2" borderId="0" xfId="4" applyNumberFormat="1" applyFont="1" applyFill="1" applyBorder="1"/>
    <xf numFmtId="165" fontId="7" fillId="2" borderId="0" xfId="6" applyNumberFormat="1" applyFont="1" applyFill="1" applyBorder="1"/>
    <xf numFmtId="165" fontId="182" fillId="2" borderId="0" xfId="3" applyNumberFormat="1" applyFont="1" applyFill="1"/>
    <xf numFmtId="167" fontId="182" fillId="2" borderId="0" xfId="3" applyNumberFormat="1" applyFont="1" applyFill="1"/>
    <xf numFmtId="165" fontId="182" fillId="2" borderId="0" xfId="3" applyNumberFormat="1" applyFont="1" applyFill="1" applyBorder="1"/>
    <xf numFmtId="167" fontId="182" fillId="2" borderId="0" xfId="3" applyNumberFormat="1" applyFont="1" applyFill="1" applyBorder="1"/>
    <xf numFmtId="167" fontId="7" fillId="2" borderId="0" xfId="1" applyNumberFormat="1" applyFont="1" applyFill="1" applyBorder="1"/>
    <xf numFmtId="0" fontId="0" fillId="0" borderId="0" xfId="0" applyFill="1" applyAlignment="1">
      <alignment vertical="top" wrapText="1"/>
    </xf>
    <xf numFmtId="0" fontId="0" fillId="0" borderId="0" xfId="0" applyAlignment="1">
      <alignment vertical="top" wrapText="1"/>
    </xf>
    <xf numFmtId="0" fontId="0" fillId="0" borderId="0" xfId="0" applyFont="1" applyFill="1" applyAlignment="1">
      <alignment vertical="top" wrapText="1"/>
    </xf>
    <xf numFmtId="0" fontId="0" fillId="0" borderId="0" xfId="0" applyFill="1" applyAlignment="1"/>
    <xf numFmtId="165" fontId="0" fillId="0" borderId="0" xfId="6" applyNumberFormat="1" applyFont="1" applyFill="1"/>
    <xf numFmtId="10" fontId="122" fillId="0" borderId="0" xfId="2" applyNumberFormat="1" applyFont="1" applyFill="1"/>
    <xf numFmtId="0" fontId="0" fillId="0" borderId="0" xfId="0" applyAlignment="1">
      <alignment horizontal="left" wrapText="1"/>
    </xf>
    <xf numFmtId="203" fontId="171" fillId="0" borderId="0" xfId="0" applyNumberFormat="1" applyFont="1" applyAlignment="1">
      <alignment vertical="top"/>
    </xf>
    <xf numFmtId="203" fontId="0" fillId="0" borderId="0" xfId="0" applyNumberFormat="1" applyAlignment="1">
      <alignment vertical="top"/>
    </xf>
    <xf numFmtId="0" fontId="0" fillId="0" borderId="0" xfId="0" applyAlignment="1">
      <alignment horizontal="center" wrapText="1"/>
    </xf>
    <xf numFmtId="10" fontId="182" fillId="0" borderId="0" xfId="2" applyNumberFormat="1" applyFont="1" applyFill="1"/>
    <xf numFmtId="0" fontId="30" fillId="0" borderId="0" xfId="0" applyFont="1" applyAlignment="1">
      <alignment horizontal="center"/>
    </xf>
    <xf numFmtId="0" fontId="0" fillId="0" borderId="0" xfId="0" applyAlignment="1">
      <alignment wrapText="1"/>
    </xf>
    <xf numFmtId="165" fontId="0" fillId="0" borderId="0" xfId="0" applyNumberFormat="1"/>
    <xf numFmtId="167" fontId="0" fillId="0" borderId="0" xfId="1" applyNumberFormat="1" applyFont="1" applyAlignment="1">
      <alignment wrapText="1"/>
    </xf>
    <xf numFmtId="167" fontId="0" fillId="0" borderId="0" xfId="0" applyNumberFormat="1"/>
    <xf numFmtId="0" fontId="30" fillId="0" borderId="38" xfId="0" applyFont="1" applyBorder="1" applyAlignment="1">
      <alignment horizontal="center"/>
    </xf>
    <xf numFmtId="167" fontId="6" fillId="2" borderId="0" xfId="3" applyNumberFormat="1" applyFont="1" applyFill="1" applyBorder="1"/>
    <xf numFmtId="174" fontId="0" fillId="0" borderId="0" xfId="0" applyNumberFormat="1"/>
    <xf numFmtId="9" fontId="0" fillId="0" borderId="0" xfId="2" applyFont="1"/>
    <xf numFmtId="167" fontId="178" fillId="0" borderId="0" xfId="0" applyNumberFormat="1" applyFont="1"/>
    <xf numFmtId="0" fontId="178" fillId="0" borderId="0" xfId="0" applyFont="1"/>
    <xf numFmtId="174" fontId="178" fillId="0" borderId="0" xfId="0" applyNumberFormat="1" applyFont="1"/>
    <xf numFmtId="9" fontId="178" fillId="0" borderId="0" xfId="2" applyFont="1"/>
    <xf numFmtId="167" fontId="178" fillId="0" borderId="0" xfId="1" applyNumberFormat="1" applyFont="1" applyAlignment="1">
      <alignment wrapText="1"/>
    </xf>
    <xf numFmtId="0" fontId="30" fillId="0" borderId="0" xfId="0" applyFont="1" applyAlignment="1">
      <alignment horizontal="center" vertical="center" wrapText="1"/>
    </xf>
    <xf numFmtId="167" fontId="30" fillId="0" borderId="0" xfId="0" applyNumberFormat="1" applyFont="1" applyAlignment="1">
      <alignment vertical="center" wrapText="1"/>
    </xf>
    <xf numFmtId="165" fontId="0" fillId="0" borderId="0" xfId="6" applyNumberFormat="1" applyFont="1" applyAlignment="1">
      <alignment vertical="center" wrapText="1"/>
    </xf>
    <xf numFmtId="0" fontId="0" fillId="0" borderId="0" xfId="0" applyAlignment="1">
      <alignment vertical="center" wrapText="1"/>
    </xf>
    <xf numFmtId="167" fontId="178" fillId="0" borderId="0" xfId="1" applyNumberFormat="1" applyFont="1" applyAlignment="1">
      <alignment vertical="center" wrapText="1"/>
    </xf>
    <xf numFmtId="167" fontId="0" fillId="0" borderId="0" xfId="0" applyNumberFormat="1" applyAlignment="1">
      <alignment vertical="center"/>
    </xf>
    <xf numFmtId="0" fontId="0" fillId="0" borderId="0" xfId="0" applyAlignment="1">
      <alignment vertical="center"/>
    </xf>
    <xf numFmtId="0" fontId="30" fillId="0" borderId="0" xfId="0" applyFont="1" applyAlignment="1">
      <alignment horizontal="center" vertical="center"/>
    </xf>
    <xf numFmtId="0" fontId="30" fillId="0" borderId="0" xfId="0" applyFont="1" applyAlignment="1">
      <alignment wrapText="1"/>
    </xf>
    <xf numFmtId="167" fontId="30" fillId="0" borderId="0" xfId="0" applyNumberFormat="1" applyFont="1"/>
    <xf numFmtId="0" fontId="30" fillId="0" borderId="0" xfId="0" applyFont="1" applyAlignment="1">
      <alignment horizontal="center"/>
    </xf>
    <xf numFmtId="44" fontId="0" fillId="0" borderId="0" xfId="1" applyFont="1"/>
    <xf numFmtId="165" fontId="0" fillId="0" borderId="0" xfId="0" applyNumberFormat="1" applyAlignment="1">
      <alignment vertical="center"/>
    </xf>
    <xf numFmtId="0" fontId="30" fillId="0" borderId="0" xfId="0" applyFont="1" applyAlignment="1">
      <alignment horizontal="center"/>
    </xf>
    <xf numFmtId="0" fontId="0" fillId="0" borderId="0" xfId="0" applyAlignment="1">
      <alignment horizontal="center"/>
    </xf>
    <xf numFmtId="44" fontId="178" fillId="0" borderId="0" xfId="1" applyFont="1"/>
    <xf numFmtId="43" fontId="178" fillId="0" borderId="0" xfId="6" applyFont="1"/>
    <xf numFmtId="0" fontId="178" fillId="0" borderId="0" xfId="0" applyFont="1" applyFill="1"/>
    <xf numFmtId="167" fontId="0" fillId="0" borderId="0" xfId="1" applyNumberFormat="1" applyFont="1"/>
    <xf numFmtId="0" fontId="30" fillId="0" borderId="0" xfId="0" applyFont="1" applyAlignment="1">
      <alignment horizontal="center"/>
    </xf>
    <xf numFmtId="0" fontId="0" fillId="0" borderId="0" xfId="0" applyAlignment="1">
      <alignment horizontal="center"/>
    </xf>
    <xf numFmtId="165" fontId="178" fillId="0" borderId="0" xfId="6" applyNumberFormat="1" applyFont="1" applyFill="1"/>
    <xf numFmtId="167" fontId="178" fillId="0" borderId="0" xfId="1" applyNumberFormat="1" applyFont="1" applyFill="1"/>
    <xf numFmtId="0" fontId="5" fillId="2" borderId="0" xfId="3" applyFont="1" applyFill="1" applyAlignment="1">
      <alignment horizontal="left" wrapText="1"/>
    </xf>
    <xf numFmtId="0" fontId="14" fillId="0" borderId="0" xfId="0" applyFont="1" applyAlignment="1">
      <alignment horizontal="center"/>
    </xf>
    <xf numFmtId="0" fontId="0" fillId="0" borderId="0" xfId="0" applyAlignment="1">
      <alignment horizontal="center" wrapText="1"/>
    </xf>
    <xf numFmtId="0" fontId="12" fillId="108" borderId="3" xfId="0" applyFont="1" applyFill="1" applyBorder="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xf numFmtId="0" fontId="0" fillId="0" borderId="0" xfId="0" applyFill="1" applyAlignment="1">
      <alignment horizontal="center"/>
    </xf>
    <xf numFmtId="0" fontId="0" fillId="0" borderId="0" xfId="0" applyAlignment="1">
      <alignment horizontal="center"/>
    </xf>
    <xf numFmtId="0" fontId="30" fillId="0" borderId="0" xfId="0" applyFont="1" applyAlignment="1">
      <alignment horizontal="left" wrapText="1"/>
    </xf>
    <xf numFmtId="0" fontId="0" fillId="0" borderId="0" xfId="0" applyAlignment="1">
      <alignment horizontal="justify" vertical="top" wrapText="1"/>
    </xf>
    <xf numFmtId="167" fontId="0" fillId="0" borderId="0" xfId="1" applyNumberFormat="1" applyFont="1" applyAlignment="1">
      <alignment vertical="center" wrapText="1"/>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tabSelected="1" topLeftCell="A29" zoomScaleNormal="100" workbookViewId="0">
      <selection activeCell="Y57" sqref="Y57"/>
    </sheetView>
  </sheetViews>
  <sheetFormatPr defaultRowHeight="15"/>
  <cols>
    <col min="1" max="1" width="6" customWidth="1"/>
    <col min="2" max="2" width="38.140625" customWidth="1"/>
    <col min="3" max="3" width="16.85546875" customWidth="1"/>
    <col min="4" max="4" width="12.7109375" hidden="1" customWidth="1"/>
    <col min="5" max="6" width="12.42578125" hidden="1" customWidth="1"/>
    <col min="7" max="8" width="12.28515625" hidden="1" customWidth="1"/>
    <col min="9" max="9" width="11" hidden="1" customWidth="1"/>
    <col min="10" max="10" width="12.7109375" hidden="1" customWidth="1"/>
    <col min="11" max="11" width="13" hidden="1" customWidth="1"/>
    <col min="12" max="12" width="12.42578125" hidden="1" customWidth="1"/>
    <col min="13" max="14" width="12.7109375" customWidth="1"/>
    <col min="15" max="15" width="12.5703125" customWidth="1"/>
    <col min="16" max="16" width="4.140625" style="71" customWidth="1"/>
    <col min="17" max="18" width="11.7109375" style="36" customWidth="1"/>
    <col min="19" max="20" width="11.5703125" style="36" customWidth="1"/>
    <col min="21" max="21" width="13" style="36" customWidth="1"/>
  </cols>
  <sheetData>
    <row r="1" spans="1:21" ht="15.75">
      <c r="A1" s="133" t="s">
        <v>0</v>
      </c>
      <c r="B1" s="133"/>
      <c r="C1" s="133"/>
      <c r="D1" s="133"/>
      <c r="E1" s="133"/>
      <c r="F1" s="133"/>
      <c r="G1" s="133"/>
      <c r="H1" s="133"/>
      <c r="I1" s="133"/>
      <c r="J1" s="133"/>
      <c r="K1" s="133"/>
      <c r="L1" s="133"/>
      <c r="M1" s="133"/>
      <c r="N1" s="133"/>
      <c r="O1" s="133"/>
      <c r="P1" s="133"/>
      <c r="Q1" s="119"/>
      <c r="R1" s="119"/>
      <c r="S1" s="119"/>
      <c r="T1" s="119"/>
      <c r="U1" s="119"/>
    </row>
    <row r="2" spans="1:21" ht="18.75" customHeight="1">
      <c r="A2" s="238" t="s">
        <v>160</v>
      </c>
      <c r="B2" s="239"/>
      <c r="C2" s="239"/>
      <c r="D2" s="239"/>
      <c r="E2" s="239"/>
      <c r="F2" s="239"/>
      <c r="G2" s="239"/>
      <c r="H2" s="239"/>
      <c r="I2" s="239"/>
      <c r="J2" s="239"/>
      <c r="K2" s="239"/>
      <c r="L2" s="239"/>
      <c r="M2" s="239"/>
      <c r="N2" s="239"/>
      <c r="O2" s="239"/>
      <c r="P2" s="239"/>
      <c r="Q2" s="239"/>
      <c r="R2" s="120"/>
      <c r="S2" s="120"/>
      <c r="T2" s="120"/>
      <c r="U2" s="120"/>
    </row>
    <row r="3" spans="1:21" ht="15.75">
      <c r="A3" s="133" t="s">
        <v>152</v>
      </c>
      <c r="B3" s="133"/>
      <c r="C3" s="133"/>
      <c r="D3" s="133"/>
      <c r="E3" s="133"/>
      <c r="F3" s="133"/>
      <c r="G3" s="133"/>
      <c r="H3" s="133"/>
      <c r="I3" s="133"/>
      <c r="J3" s="133"/>
      <c r="K3" s="133"/>
      <c r="L3" s="133"/>
      <c r="M3" s="133"/>
      <c r="N3" s="133"/>
      <c r="O3" s="133"/>
      <c r="P3" s="133"/>
      <c r="Q3" s="121"/>
      <c r="R3" s="121"/>
      <c r="S3" s="121"/>
      <c r="T3" s="121"/>
      <c r="U3" s="121"/>
    </row>
    <row r="4" spans="1:21" ht="14.45" customHeight="1">
      <c r="A4" s="134"/>
      <c r="B4" s="102"/>
      <c r="C4" s="103"/>
      <c r="D4" s="103"/>
      <c r="E4" s="103"/>
      <c r="F4" s="103"/>
      <c r="G4" s="103"/>
      <c r="H4" s="103"/>
      <c r="I4" s="103"/>
      <c r="J4" s="103"/>
      <c r="K4" s="103"/>
      <c r="L4" s="103"/>
      <c r="M4" s="103"/>
      <c r="N4" s="103"/>
      <c r="O4" s="103"/>
      <c r="P4" s="103"/>
      <c r="Q4" s="122"/>
      <c r="R4" s="122"/>
      <c r="S4" s="122"/>
      <c r="T4" s="122"/>
      <c r="U4" s="122"/>
    </row>
    <row r="5" spans="1:21" ht="24" customHeight="1">
      <c r="A5" s="33"/>
      <c r="B5" s="33"/>
      <c r="C5" s="33"/>
      <c r="D5" s="104"/>
      <c r="E5" s="2"/>
      <c r="F5" s="2"/>
      <c r="G5" s="33"/>
      <c r="H5" s="33"/>
      <c r="I5" s="33"/>
      <c r="J5" s="33"/>
      <c r="K5" s="33"/>
      <c r="L5" s="33"/>
      <c r="M5" s="33"/>
      <c r="N5" s="33"/>
      <c r="O5" s="33"/>
      <c r="P5" s="33"/>
      <c r="Q5" s="122" t="s">
        <v>153</v>
      </c>
      <c r="R5" s="122" t="s">
        <v>154</v>
      </c>
      <c r="S5" s="122" t="s">
        <v>155</v>
      </c>
      <c r="T5" s="122" t="s">
        <v>156</v>
      </c>
      <c r="U5" s="122" t="s">
        <v>191</v>
      </c>
    </row>
    <row r="6" spans="1:21" ht="25.5">
      <c r="A6" s="105" t="s">
        <v>1</v>
      </c>
      <c r="B6" s="106"/>
      <c r="C6" s="101" t="s">
        <v>2</v>
      </c>
      <c r="D6" s="170">
        <v>43831</v>
      </c>
      <c r="E6" s="107">
        <f>EDATE(D6,1)</f>
        <v>43862</v>
      </c>
      <c r="F6" s="107">
        <f t="shared" ref="F6:O6" si="0">EDATE(E6,1)</f>
        <v>43891</v>
      </c>
      <c r="G6" s="107">
        <f t="shared" si="0"/>
        <v>43922</v>
      </c>
      <c r="H6" s="107">
        <f t="shared" si="0"/>
        <v>43952</v>
      </c>
      <c r="I6" s="107">
        <f t="shared" si="0"/>
        <v>43983</v>
      </c>
      <c r="J6" s="107">
        <f t="shared" si="0"/>
        <v>44013</v>
      </c>
      <c r="K6" s="107">
        <f t="shared" si="0"/>
        <v>44044</v>
      </c>
      <c r="L6" s="107">
        <f t="shared" si="0"/>
        <v>44075</v>
      </c>
      <c r="M6" s="107">
        <f t="shared" si="0"/>
        <v>44105</v>
      </c>
      <c r="N6" s="107">
        <f t="shared" si="0"/>
        <v>44136</v>
      </c>
      <c r="O6" s="107">
        <f t="shared" si="0"/>
        <v>44166</v>
      </c>
      <c r="P6" s="107"/>
      <c r="Q6" s="123" t="s">
        <v>3</v>
      </c>
      <c r="R6" s="123" t="s">
        <v>3</v>
      </c>
      <c r="S6" s="123" t="s">
        <v>3</v>
      </c>
      <c r="T6" s="123" t="s">
        <v>3</v>
      </c>
      <c r="U6" s="123" t="s">
        <v>3</v>
      </c>
    </row>
    <row r="7" spans="1:21">
      <c r="A7" s="62"/>
      <c r="B7" s="62" t="s">
        <v>4</v>
      </c>
      <c r="C7" s="62" t="s">
        <v>5</v>
      </c>
      <c r="D7" s="62" t="s">
        <v>6</v>
      </c>
      <c r="E7" s="62" t="s">
        <v>7</v>
      </c>
      <c r="F7" s="62" t="s">
        <v>8</v>
      </c>
      <c r="G7" s="62" t="s">
        <v>9</v>
      </c>
      <c r="H7" s="192" t="s">
        <v>10</v>
      </c>
      <c r="I7" s="62" t="s">
        <v>11</v>
      </c>
      <c r="J7" s="62" t="s">
        <v>12</v>
      </c>
      <c r="K7" s="62" t="s">
        <v>13</v>
      </c>
      <c r="L7" s="62" t="s">
        <v>14</v>
      </c>
      <c r="M7" s="62" t="s">
        <v>15</v>
      </c>
      <c r="N7" s="62" t="s">
        <v>16</v>
      </c>
      <c r="O7" s="62" t="s">
        <v>17</v>
      </c>
      <c r="P7" s="62"/>
      <c r="Q7" s="7"/>
      <c r="R7" s="7"/>
      <c r="S7" s="7"/>
      <c r="T7" s="7"/>
      <c r="U7" s="15"/>
    </row>
    <row r="8" spans="1:21">
      <c r="A8" s="62"/>
      <c r="B8" s="2" t="s">
        <v>19</v>
      </c>
      <c r="C8" s="62"/>
      <c r="D8" s="62"/>
      <c r="E8" s="62"/>
      <c r="F8" s="62"/>
      <c r="G8" s="62"/>
      <c r="H8" s="192"/>
      <c r="I8" s="62"/>
      <c r="J8" s="62"/>
      <c r="K8" s="62"/>
      <c r="L8" s="62"/>
      <c r="M8" s="62"/>
      <c r="N8" s="62"/>
      <c r="O8" s="62"/>
      <c r="P8" s="62"/>
      <c r="Q8" s="127"/>
      <c r="R8" s="127"/>
      <c r="S8" s="127"/>
      <c r="T8" s="127"/>
      <c r="U8" s="15"/>
    </row>
    <row r="9" spans="1:21" s="71" customFormat="1">
      <c r="A9" s="62">
        <v>1</v>
      </c>
      <c r="B9" s="33" t="s">
        <v>20</v>
      </c>
      <c r="C9" s="62" t="s">
        <v>21</v>
      </c>
      <c r="D9" s="236">
        <f>D18</f>
        <v>221120</v>
      </c>
      <c r="E9" s="236">
        <f t="shared" ref="E9:F9" si="1">E18</f>
        <v>220271</v>
      </c>
      <c r="F9" s="236">
        <f t="shared" si="1"/>
        <v>220636</v>
      </c>
      <c r="G9" s="242">
        <v>220604</v>
      </c>
      <c r="H9" s="243">
        <v>220212</v>
      </c>
      <c r="I9" s="242">
        <v>220636</v>
      </c>
      <c r="J9" s="242">
        <v>220799</v>
      </c>
      <c r="K9" s="242">
        <v>220884</v>
      </c>
      <c r="L9" s="242">
        <v>221811</v>
      </c>
      <c r="M9" s="242">
        <v>221953</v>
      </c>
      <c r="N9" s="242">
        <v>222003</v>
      </c>
      <c r="O9" s="242">
        <v>222995</v>
      </c>
      <c r="P9" s="242"/>
      <c r="Q9" s="124">
        <f t="shared" ref="Q9:Q16" si="2">SUM(D9:F9)</f>
        <v>662027</v>
      </c>
      <c r="R9" s="124">
        <f t="shared" ref="R9:R16" si="3">SUM(G9:I9)</f>
        <v>661452</v>
      </c>
      <c r="S9" s="124">
        <f t="shared" ref="S9:S16" si="4">SUM(J9:L9)</f>
        <v>663494</v>
      </c>
      <c r="T9" s="124">
        <f t="shared" ref="T9:T16" si="5">SUM(M9:O9)</f>
        <v>666951</v>
      </c>
      <c r="U9" s="125">
        <f t="shared" ref="U9:U16" si="6">SUM(D9:O9)</f>
        <v>2653924</v>
      </c>
    </row>
    <row r="10" spans="1:21" s="71" customFormat="1">
      <c r="A10" s="62">
        <v>2</v>
      </c>
      <c r="B10" s="6" t="s">
        <v>161</v>
      </c>
      <c r="C10" s="62" t="s">
        <v>21</v>
      </c>
      <c r="D10" s="236">
        <f>D24</f>
        <v>258096251.255</v>
      </c>
      <c r="E10" s="236">
        <f t="shared" ref="E10:F10" si="7">E24</f>
        <v>225826179.56900001</v>
      </c>
      <c r="F10" s="236">
        <f t="shared" si="7"/>
        <v>218575769.98300001</v>
      </c>
      <c r="G10" s="242">
        <v>188286072.70765999</v>
      </c>
      <c r="H10" s="243">
        <v>159744333.37814</v>
      </c>
      <c r="I10" s="242">
        <v>155578204.13097</v>
      </c>
      <c r="J10" s="242">
        <v>190128187.26699001</v>
      </c>
      <c r="K10" s="242">
        <v>205649832.12900999</v>
      </c>
      <c r="L10" s="242">
        <v>168829432.412</v>
      </c>
      <c r="M10" s="242">
        <v>173706609.64999998</v>
      </c>
      <c r="N10" s="242">
        <v>230501382</v>
      </c>
      <c r="O10" s="242">
        <v>274711063.70999998</v>
      </c>
      <c r="P10" s="242"/>
      <c r="Q10" s="124">
        <f t="shared" si="2"/>
        <v>702498200.80700004</v>
      </c>
      <c r="R10" s="124">
        <f t="shared" si="3"/>
        <v>503608610.21676999</v>
      </c>
      <c r="S10" s="124">
        <f t="shared" si="4"/>
        <v>564607451.80800009</v>
      </c>
      <c r="T10" s="124">
        <f t="shared" si="5"/>
        <v>678919055.3599999</v>
      </c>
      <c r="U10" s="125">
        <f t="shared" si="6"/>
        <v>2449633318.1917696</v>
      </c>
    </row>
    <row r="11" spans="1:21" s="71" customFormat="1">
      <c r="A11" s="62">
        <v>3</v>
      </c>
      <c r="B11" s="33" t="s">
        <v>37</v>
      </c>
      <c r="C11" s="62" t="s">
        <v>21</v>
      </c>
      <c r="D11" s="66">
        <f>D22</f>
        <v>23579888.337640002</v>
      </c>
      <c r="E11" s="66">
        <f t="shared" ref="E11:F11" si="8">E22</f>
        <v>20630117.590920001</v>
      </c>
      <c r="F11" s="66">
        <f t="shared" si="8"/>
        <v>20089064.750920001</v>
      </c>
      <c r="G11" s="244">
        <v>17970006.974210002</v>
      </c>
      <c r="H11" s="245">
        <v>15313338.164539998</v>
      </c>
      <c r="I11" s="244">
        <v>15206665.519710001</v>
      </c>
      <c r="J11" s="244">
        <v>18292549.780919999</v>
      </c>
      <c r="K11" s="244">
        <v>20121070.151630003</v>
      </c>
      <c r="L11" s="244">
        <v>16336511.157129999</v>
      </c>
      <c r="M11" s="244">
        <v>16643396.805679999</v>
      </c>
      <c r="N11" s="244">
        <v>22255095.434300002</v>
      </c>
      <c r="O11" s="244">
        <v>26944368.805909999</v>
      </c>
      <c r="P11" s="244"/>
      <c r="Q11" s="115">
        <f t="shared" si="2"/>
        <v>64299070.679480001</v>
      </c>
      <c r="R11" s="115">
        <f t="shared" si="3"/>
        <v>48490010.658460006</v>
      </c>
      <c r="S11" s="115">
        <f t="shared" si="4"/>
        <v>54750131.089680001</v>
      </c>
      <c r="T11" s="115">
        <f t="shared" si="5"/>
        <v>65842861.045889996</v>
      </c>
      <c r="U11" s="126">
        <f t="shared" si="6"/>
        <v>233382073.47351003</v>
      </c>
    </row>
    <row r="12" spans="1:21" s="71" customFormat="1">
      <c r="A12" s="62">
        <v>4</v>
      </c>
      <c r="B12" s="33" t="s">
        <v>38</v>
      </c>
      <c r="C12" s="62" t="s">
        <v>21</v>
      </c>
      <c r="D12" s="66">
        <f>D23</f>
        <v>2025764</v>
      </c>
      <c r="E12" s="66">
        <f t="shared" ref="E12:F12" si="9">E23</f>
        <v>2014029.5</v>
      </c>
      <c r="F12" s="66">
        <f t="shared" si="9"/>
        <v>2024532</v>
      </c>
      <c r="G12" s="244">
        <v>2021544</v>
      </c>
      <c r="H12" s="245">
        <v>2023335</v>
      </c>
      <c r="I12" s="244">
        <v>2043423</v>
      </c>
      <c r="J12" s="244">
        <v>2040597</v>
      </c>
      <c r="K12" s="244">
        <v>2045007</v>
      </c>
      <c r="L12" s="244">
        <v>2041983</v>
      </c>
      <c r="M12" s="244">
        <v>2038977</v>
      </c>
      <c r="N12" s="244">
        <v>2036844</v>
      </c>
      <c r="O12" s="244">
        <v>2040939</v>
      </c>
      <c r="P12" s="244"/>
      <c r="Q12" s="115">
        <f t="shared" si="2"/>
        <v>6064325.5</v>
      </c>
      <c r="R12" s="115">
        <f t="shared" si="3"/>
        <v>6088302</v>
      </c>
      <c r="S12" s="115">
        <f t="shared" si="4"/>
        <v>6127587</v>
      </c>
      <c r="T12" s="115">
        <f t="shared" si="5"/>
        <v>6116760</v>
      </c>
      <c r="U12" s="126">
        <f t="shared" si="6"/>
        <v>24396974.5</v>
      </c>
    </row>
    <row r="13" spans="1:21" s="71" customFormat="1" ht="27" customHeight="1">
      <c r="A13" s="62">
        <v>5</v>
      </c>
      <c r="B13" s="33" t="s">
        <v>162</v>
      </c>
      <c r="C13" s="62" t="s">
        <v>21</v>
      </c>
      <c r="D13" s="62"/>
      <c r="E13" s="62"/>
      <c r="F13" s="62"/>
      <c r="G13" s="242">
        <v>3261</v>
      </c>
      <c r="H13" s="243">
        <v>3380</v>
      </c>
      <c r="I13" s="242">
        <v>3544</v>
      </c>
      <c r="J13" s="242">
        <v>3916</v>
      </c>
      <c r="K13" s="242">
        <v>4199</v>
      </c>
      <c r="L13" s="242">
        <v>4652</v>
      </c>
      <c r="M13" s="242">
        <v>4942</v>
      </c>
      <c r="N13" s="242">
        <v>5251</v>
      </c>
      <c r="O13" s="242">
        <v>5437</v>
      </c>
      <c r="P13" s="242"/>
      <c r="Q13" s="124">
        <f t="shared" si="2"/>
        <v>0</v>
      </c>
      <c r="R13" s="124">
        <f t="shared" si="3"/>
        <v>10185</v>
      </c>
      <c r="S13" s="124">
        <f t="shared" si="4"/>
        <v>12767</v>
      </c>
      <c r="T13" s="124">
        <f t="shared" si="5"/>
        <v>15630</v>
      </c>
      <c r="U13" s="125">
        <f t="shared" si="6"/>
        <v>38582</v>
      </c>
    </row>
    <row r="14" spans="1:21" s="71" customFormat="1">
      <c r="A14" s="62">
        <v>6</v>
      </c>
      <c r="B14" s="6" t="s">
        <v>163</v>
      </c>
      <c r="C14" s="62" t="s">
        <v>21</v>
      </c>
      <c r="D14" s="62"/>
      <c r="E14" s="62"/>
      <c r="F14" s="62"/>
      <c r="G14" s="242">
        <v>1762897</v>
      </c>
      <c r="H14" s="243">
        <v>1373082.892</v>
      </c>
      <c r="I14" s="242">
        <v>1398479</v>
      </c>
      <c r="J14" s="242">
        <v>1613174.1510000001</v>
      </c>
      <c r="K14" s="242">
        <v>2155535.4539999999</v>
      </c>
      <c r="L14" s="242">
        <v>2320559.4820000003</v>
      </c>
      <c r="M14" s="242">
        <v>2018639.0160000001</v>
      </c>
      <c r="N14" s="242">
        <v>3258845.409</v>
      </c>
      <c r="O14" s="242">
        <v>4691916.0279999999</v>
      </c>
      <c r="P14" s="242"/>
      <c r="Q14" s="124">
        <f t="shared" si="2"/>
        <v>0</v>
      </c>
      <c r="R14" s="124">
        <f t="shared" si="3"/>
        <v>4534458.892</v>
      </c>
      <c r="S14" s="124">
        <f t="shared" si="4"/>
        <v>6089269.0870000003</v>
      </c>
      <c r="T14" s="124">
        <f t="shared" si="5"/>
        <v>9969400.4529999997</v>
      </c>
      <c r="U14" s="125">
        <f t="shared" si="6"/>
        <v>20593128.432</v>
      </c>
    </row>
    <row r="15" spans="1:21" s="71" customFormat="1">
      <c r="A15" s="62">
        <v>7</v>
      </c>
      <c r="B15" s="33" t="s">
        <v>164</v>
      </c>
      <c r="C15" s="62" t="s">
        <v>21</v>
      </c>
      <c r="D15" s="62"/>
      <c r="E15" s="62"/>
      <c r="F15" s="62"/>
      <c r="G15" s="244">
        <v>175571.19999999998</v>
      </c>
      <c r="H15" s="245">
        <v>144959.69</v>
      </c>
      <c r="I15" s="244">
        <v>149068.5</v>
      </c>
      <c r="J15" s="244">
        <v>169826.08</v>
      </c>
      <c r="K15" s="244">
        <v>219596.84999999998</v>
      </c>
      <c r="L15" s="244">
        <v>235292.46000000002</v>
      </c>
      <c r="M15" s="244">
        <v>211410.63999999998</v>
      </c>
      <c r="N15" s="244">
        <v>326947.99000000005</v>
      </c>
      <c r="O15" s="244">
        <v>464625.75</v>
      </c>
      <c r="P15" s="244"/>
      <c r="Q15" s="115">
        <f t="shared" si="2"/>
        <v>0</v>
      </c>
      <c r="R15" s="115">
        <f t="shared" si="3"/>
        <v>469599.39</v>
      </c>
      <c r="S15" s="115">
        <f t="shared" si="4"/>
        <v>624715.3899999999</v>
      </c>
      <c r="T15" s="115">
        <f t="shared" si="5"/>
        <v>1002984.38</v>
      </c>
      <c r="U15" s="126">
        <f t="shared" si="6"/>
        <v>2097299.16</v>
      </c>
    </row>
    <row r="16" spans="1:21" s="71" customFormat="1">
      <c r="A16" s="62">
        <v>8</v>
      </c>
      <c r="B16" s="33" t="s">
        <v>165</v>
      </c>
      <c r="C16" s="62" t="s">
        <v>21</v>
      </c>
      <c r="D16" s="62"/>
      <c r="E16" s="62"/>
      <c r="F16" s="62"/>
      <c r="G16" s="244">
        <v>29574</v>
      </c>
      <c r="H16" s="245">
        <v>30636</v>
      </c>
      <c r="I16" s="244">
        <v>32742</v>
      </c>
      <c r="J16" s="244">
        <v>35559</v>
      </c>
      <c r="K16" s="244">
        <v>37701</v>
      </c>
      <c r="L16" s="244">
        <v>40851</v>
      </c>
      <c r="M16" s="244">
        <v>44244</v>
      </c>
      <c r="N16" s="244">
        <v>47340</v>
      </c>
      <c r="O16" s="244">
        <v>48843</v>
      </c>
      <c r="P16" s="244"/>
      <c r="Q16" s="115">
        <f t="shared" si="2"/>
        <v>0</v>
      </c>
      <c r="R16" s="115">
        <f t="shared" si="3"/>
        <v>92952</v>
      </c>
      <c r="S16" s="115">
        <f t="shared" si="4"/>
        <v>114111</v>
      </c>
      <c r="T16" s="115">
        <f t="shared" si="5"/>
        <v>140427</v>
      </c>
      <c r="U16" s="126">
        <f t="shared" si="6"/>
        <v>347490</v>
      </c>
    </row>
    <row r="17" spans="1:21" s="71" customFormat="1">
      <c r="A17" s="62"/>
      <c r="B17" s="33"/>
      <c r="C17" s="62"/>
      <c r="D17" s="62"/>
      <c r="E17" s="62"/>
      <c r="F17" s="62"/>
      <c r="G17" s="62"/>
      <c r="H17" s="192"/>
      <c r="I17" s="62"/>
      <c r="J17" s="62"/>
      <c r="K17" s="62"/>
      <c r="L17" s="62"/>
      <c r="M17" s="62"/>
      <c r="N17" s="62"/>
      <c r="O17" s="62"/>
      <c r="P17" s="62"/>
      <c r="Q17" s="127"/>
      <c r="R17" s="127"/>
      <c r="S17" s="127"/>
      <c r="T17" s="127"/>
      <c r="U17" s="15"/>
    </row>
    <row r="18" spans="1:21" ht="21" customHeight="1">
      <c r="A18" s="62">
        <v>9</v>
      </c>
      <c r="B18" s="33" t="s">
        <v>166</v>
      </c>
      <c r="C18" s="62" t="str">
        <f>"("&amp;A9&amp;") - ("&amp;A13&amp;")"</f>
        <v>(1) - (5)</v>
      </c>
      <c r="D18" s="31">
        <v>221120</v>
      </c>
      <c r="E18" s="31">
        <v>220271</v>
      </c>
      <c r="F18" s="31">
        <v>220636</v>
      </c>
      <c r="G18" s="246">
        <f>G9-G13</f>
        <v>217343</v>
      </c>
      <c r="H18" s="65">
        <f t="shared" ref="H18:O18" si="10">H9-H13</f>
        <v>216832</v>
      </c>
      <c r="I18" s="65">
        <f t="shared" si="10"/>
        <v>217092</v>
      </c>
      <c r="J18" s="65">
        <f t="shared" si="10"/>
        <v>216883</v>
      </c>
      <c r="K18" s="65">
        <f t="shared" si="10"/>
        <v>216685</v>
      </c>
      <c r="L18" s="65">
        <f t="shared" si="10"/>
        <v>217159</v>
      </c>
      <c r="M18" s="65">
        <f t="shared" si="10"/>
        <v>217011</v>
      </c>
      <c r="N18" s="65">
        <f t="shared" si="10"/>
        <v>216752</v>
      </c>
      <c r="O18" s="65">
        <f t="shared" si="10"/>
        <v>217558</v>
      </c>
      <c r="P18" s="65"/>
      <c r="Q18" s="124">
        <f>SUM(D18:F18)</f>
        <v>662027</v>
      </c>
      <c r="R18" s="124">
        <f>SUM(G18:I18)</f>
        <v>651267</v>
      </c>
      <c r="S18" s="124">
        <f>SUM(J18:L18)</f>
        <v>650727</v>
      </c>
      <c r="T18" s="124">
        <f>SUM(M18:O18)</f>
        <v>651321</v>
      </c>
      <c r="U18" s="125">
        <f>SUM(D18:O18)</f>
        <v>2615342</v>
      </c>
    </row>
    <row r="19" spans="1:21" ht="25.5">
      <c r="A19" s="100">
        <f t="shared" ref="A19:A20" si="11">A18+1</f>
        <v>10</v>
      </c>
      <c r="B19" s="108" t="s">
        <v>22</v>
      </c>
      <c r="C19" s="108" t="s">
        <v>167</v>
      </c>
      <c r="D19" s="109">
        <v>83.760427903323389</v>
      </c>
      <c r="E19" s="109">
        <v>67.853818238913107</v>
      </c>
      <c r="F19" s="109">
        <v>62.146664385779836</v>
      </c>
      <c r="G19" s="109">
        <v>55.203805219374324</v>
      </c>
      <c r="H19" s="193">
        <v>50.421970407490711</v>
      </c>
      <c r="I19" s="109">
        <v>48.029317197537651</v>
      </c>
      <c r="J19" s="109">
        <v>52.837873850834463</v>
      </c>
      <c r="K19" s="109">
        <v>61.703686598441536</v>
      </c>
      <c r="L19" s="109">
        <v>46.23405385750992</v>
      </c>
      <c r="M19" s="109">
        <v>51.238598552314855</v>
      </c>
      <c r="N19" s="109">
        <v>68.566625722536628</v>
      </c>
      <c r="O19" s="109">
        <v>86.78810401152387</v>
      </c>
      <c r="P19" s="109"/>
      <c r="Q19" s="109">
        <f>Q20/Q18</f>
        <v>71.264654853514159</v>
      </c>
      <c r="R19" s="109">
        <f>R20/R18</f>
        <v>51.220218211945856</v>
      </c>
      <c r="S19" s="109">
        <f>S20/S18</f>
        <v>53.586282460412477</v>
      </c>
      <c r="T19" s="109">
        <f>T20/T18</f>
        <v>68.863698301738722</v>
      </c>
      <c r="U19" s="109">
        <f>U20/U18</f>
        <v>61.276719136981072</v>
      </c>
    </row>
    <row r="20" spans="1:21">
      <c r="A20" s="62">
        <f t="shared" si="11"/>
        <v>11</v>
      </c>
      <c r="B20" s="33" t="s">
        <v>23</v>
      </c>
      <c r="C20" s="62" t="str">
        <f>"("&amp;A18&amp;") x ("&amp;A19&amp;")"</f>
        <v>(9) x (10)</v>
      </c>
      <c r="D20" s="66">
        <f>D18*D19</f>
        <v>18521105.817982867</v>
      </c>
      <c r="E20" s="66">
        <f>E18*E19</f>
        <v>14946228.39730363</v>
      </c>
      <c r="F20" s="66">
        <f t="shared" ref="F20:N20" si="12">F18*F19</f>
        <v>13711791.443420921</v>
      </c>
      <c r="G20" s="66">
        <f t="shared" si="12"/>
        <v>11998160.637794474</v>
      </c>
      <c r="H20" s="67">
        <f t="shared" si="12"/>
        <v>10933096.687397026</v>
      </c>
      <c r="I20" s="66">
        <f t="shared" si="12"/>
        <v>10426780.529047843</v>
      </c>
      <c r="J20" s="66">
        <f t="shared" si="12"/>
        <v>11459636.59439053</v>
      </c>
      <c r="K20" s="66">
        <f t="shared" si="12"/>
        <v>13370263.330583304</v>
      </c>
      <c r="L20" s="66">
        <f t="shared" si="12"/>
        <v>10040140.901642997</v>
      </c>
      <c r="M20" s="66">
        <f t="shared" si="12"/>
        <v>11119339.510436399</v>
      </c>
      <c r="N20" s="66">
        <f t="shared" si="12"/>
        <v>14861953.25861126</v>
      </c>
      <c r="O20" s="249">
        <f>O18*O19-10366.26</f>
        <v>18871080.07253911</v>
      </c>
      <c r="P20" s="66" t="s">
        <v>216</v>
      </c>
      <c r="Q20" s="115">
        <f>SUM(D20:F20)</f>
        <v>47179125.658707418</v>
      </c>
      <c r="R20" s="115">
        <f>SUM(G20:I20)</f>
        <v>33358037.854239341</v>
      </c>
      <c r="S20" s="115">
        <f>SUM(J20:L20)</f>
        <v>34870040.826616831</v>
      </c>
      <c r="T20" s="115">
        <f>SUM(M20:O20)</f>
        <v>44852372.841586769</v>
      </c>
      <c r="U20" s="126">
        <f>SUM(D20:O20)</f>
        <v>160259577.18115035</v>
      </c>
    </row>
    <row r="21" spans="1:21" ht="9" customHeight="1">
      <c r="A21" s="62"/>
      <c r="B21" s="33"/>
      <c r="C21" s="62"/>
      <c r="D21" s="63"/>
      <c r="E21" s="63"/>
      <c r="F21" s="63"/>
      <c r="G21" s="63"/>
      <c r="H21" s="194"/>
      <c r="I21" s="63"/>
      <c r="J21" s="63"/>
      <c r="K21" s="63"/>
      <c r="L21" s="63"/>
      <c r="M21" s="63"/>
      <c r="N21" s="63"/>
      <c r="O21" s="63"/>
      <c r="P21" s="63"/>
      <c r="Q21" s="124"/>
      <c r="R21" s="124"/>
      <c r="S21" s="124"/>
      <c r="T21" s="124"/>
      <c r="U21" s="124"/>
    </row>
    <row r="22" spans="1:21">
      <c r="A22" s="62">
        <v>12</v>
      </c>
      <c r="B22" s="33" t="s">
        <v>168</v>
      </c>
      <c r="C22" s="62" t="str">
        <f>"("&amp;A11&amp;") - ("&amp;A15&amp;")"</f>
        <v>(3) - (7)</v>
      </c>
      <c r="D22" s="110">
        <v>23579888.337640002</v>
      </c>
      <c r="E22" s="110">
        <v>20630117.590920001</v>
      </c>
      <c r="F22" s="110">
        <v>20089064.750920001</v>
      </c>
      <c r="G22" s="67">
        <f>G11-G15</f>
        <v>17794435.774210002</v>
      </c>
      <c r="H22" s="66">
        <f t="shared" ref="H22:O23" si="13">H11-H15</f>
        <v>15168378.474539999</v>
      </c>
      <c r="I22" s="66">
        <f t="shared" si="13"/>
        <v>15057597.019710001</v>
      </c>
      <c r="J22" s="66">
        <f t="shared" si="13"/>
        <v>18122723.700920001</v>
      </c>
      <c r="K22" s="66">
        <f t="shared" si="13"/>
        <v>19901473.301630002</v>
      </c>
      <c r="L22" s="66">
        <f t="shared" si="13"/>
        <v>16101218.697129998</v>
      </c>
      <c r="M22" s="66">
        <f t="shared" si="13"/>
        <v>16431986.165679999</v>
      </c>
      <c r="N22" s="66">
        <f t="shared" si="13"/>
        <v>21928147.444300003</v>
      </c>
      <c r="O22" s="66">
        <f t="shared" si="13"/>
        <v>26479743.055909999</v>
      </c>
      <c r="P22" s="66"/>
      <c r="Q22" s="115"/>
      <c r="R22" s="115">
        <f>SUM(G22:I22)</f>
        <v>48020411.268460006</v>
      </c>
      <c r="S22" s="115">
        <f>SUM(J22:L22)</f>
        <v>54125415.699680001</v>
      </c>
      <c r="T22" s="115">
        <f>SUM(M22:O22)</f>
        <v>64839876.665890001</v>
      </c>
      <c r="U22" s="126">
        <f>SUM(D22:O22)</f>
        <v>231284774.31350997</v>
      </c>
    </row>
    <row r="23" spans="1:21">
      <c r="A23" s="62">
        <v>13</v>
      </c>
      <c r="B23" s="33" t="s">
        <v>169</v>
      </c>
      <c r="C23" s="62" t="str">
        <f t="shared" ref="C23" si="14">"("&amp;A12&amp;") - ("&amp;A16&amp;")"</f>
        <v>(4) - (8)</v>
      </c>
      <c r="D23" s="110">
        <v>2025764</v>
      </c>
      <c r="E23" s="110">
        <v>2014029.5</v>
      </c>
      <c r="F23" s="110">
        <v>2024532</v>
      </c>
      <c r="G23" s="67">
        <f>G12-G16</f>
        <v>1991970</v>
      </c>
      <c r="H23" s="66">
        <f t="shared" si="13"/>
        <v>1992699</v>
      </c>
      <c r="I23" s="66">
        <f t="shared" si="13"/>
        <v>2010681</v>
      </c>
      <c r="J23" s="66">
        <f t="shared" si="13"/>
        <v>2005038</v>
      </c>
      <c r="K23" s="66">
        <f t="shared" si="13"/>
        <v>2007306</v>
      </c>
      <c r="L23" s="66">
        <f t="shared" si="13"/>
        <v>2001132</v>
      </c>
      <c r="M23" s="66">
        <f t="shared" si="13"/>
        <v>1994733</v>
      </c>
      <c r="N23" s="66">
        <f t="shared" si="13"/>
        <v>1989504</v>
      </c>
      <c r="O23" s="66">
        <f t="shared" si="13"/>
        <v>1992096</v>
      </c>
      <c r="P23" s="66"/>
      <c r="Q23" s="115"/>
      <c r="R23" s="115">
        <f>SUM(G23:I23)</f>
        <v>5995350</v>
      </c>
      <c r="S23" s="115">
        <f>SUM(J23:L23)</f>
        <v>6013476</v>
      </c>
      <c r="T23" s="115">
        <f>SUM(M23:O23)</f>
        <v>5976333</v>
      </c>
      <c r="U23" s="126">
        <f>SUM(D23:O23)</f>
        <v>24049484.5</v>
      </c>
    </row>
    <row r="24" spans="1:21">
      <c r="A24" s="62">
        <v>14</v>
      </c>
      <c r="B24" s="6" t="s">
        <v>170</v>
      </c>
      <c r="C24" s="62" t="str">
        <f>"("&amp;A10&amp;") - ("&amp;A14&amp;")"</f>
        <v>(2) - (6)</v>
      </c>
      <c r="D24" s="111">
        <v>258096251.255</v>
      </c>
      <c r="E24" s="111">
        <v>225826179.56900001</v>
      </c>
      <c r="F24" s="111">
        <v>218575769.98300001</v>
      </c>
      <c r="G24" s="247">
        <f>G10-G14</f>
        <v>186523175.70765999</v>
      </c>
      <c r="H24" s="236">
        <f t="shared" ref="H24:O24" si="15">H10-H14</f>
        <v>158371250.48614001</v>
      </c>
      <c r="I24" s="236">
        <f t="shared" si="15"/>
        <v>154179725.13097</v>
      </c>
      <c r="J24" s="236">
        <f t="shared" si="15"/>
        <v>188515013.11599001</v>
      </c>
      <c r="K24" s="236">
        <f t="shared" si="15"/>
        <v>203494296.67501</v>
      </c>
      <c r="L24" s="236">
        <f t="shared" si="15"/>
        <v>166508872.93000001</v>
      </c>
      <c r="M24" s="236">
        <f t="shared" si="15"/>
        <v>171687970.63399997</v>
      </c>
      <c r="N24" s="236">
        <f t="shared" si="15"/>
        <v>227242536.59099999</v>
      </c>
      <c r="O24" s="236">
        <f t="shared" si="15"/>
        <v>270019147.68199998</v>
      </c>
      <c r="P24" s="236"/>
      <c r="Q24" s="124"/>
      <c r="R24" s="124">
        <f>SUM(G24:I24)</f>
        <v>499074151.32476997</v>
      </c>
      <c r="S24" s="124">
        <f>SUM(J24:L24)</f>
        <v>558518182.72099996</v>
      </c>
      <c r="T24" s="124">
        <f>SUM(M24:O24)</f>
        <v>668949654.90699995</v>
      </c>
      <c r="U24" s="125">
        <f>SUM(D24:O24)</f>
        <v>2429040189.7597704</v>
      </c>
    </row>
    <row r="25" spans="1:21" ht="26.25">
      <c r="A25" s="62">
        <v>15</v>
      </c>
      <c r="B25" s="15" t="s">
        <v>39</v>
      </c>
      <c r="C25" s="112" t="s">
        <v>171</v>
      </c>
      <c r="D25" s="113">
        <v>1.9E-2</v>
      </c>
      <c r="E25" s="113">
        <v>1.9E-2</v>
      </c>
      <c r="F25" s="113">
        <v>1.9E-2</v>
      </c>
      <c r="G25" s="113">
        <v>1.8950000000000002E-2</v>
      </c>
      <c r="H25" s="195">
        <v>1.8950000000000002E-2</v>
      </c>
      <c r="I25" s="113">
        <v>1.8950000000000002E-2</v>
      </c>
      <c r="J25" s="113">
        <v>1.8950000000000002E-2</v>
      </c>
      <c r="K25" s="113">
        <v>1.8950000000000002E-2</v>
      </c>
      <c r="L25" s="113">
        <v>1.8950000000000002E-2</v>
      </c>
      <c r="M25" s="113">
        <v>1.8950000000000002E-2</v>
      </c>
      <c r="N25" s="113">
        <v>1.8950000000000002E-2</v>
      </c>
      <c r="O25" s="113">
        <v>1.8950000000000002E-2</v>
      </c>
      <c r="P25" s="113"/>
      <c r="Q25" s="130"/>
      <c r="R25" s="130"/>
      <c r="S25" s="130"/>
      <c r="T25" s="130"/>
      <c r="U25" s="130"/>
    </row>
    <row r="26" spans="1:21">
      <c r="A26" s="62">
        <v>16</v>
      </c>
      <c r="B26" s="33" t="s">
        <v>40</v>
      </c>
      <c r="C26" s="62" t="str">
        <f>"("&amp;A24&amp;") x ("&amp;A25&amp;")"</f>
        <v>(14) x (15)</v>
      </c>
      <c r="D26" s="66">
        <f t="shared" ref="D26:O26" si="16">D24*D25</f>
        <v>4903828.7738450002</v>
      </c>
      <c r="E26" s="66">
        <f t="shared" si="16"/>
        <v>4290697.4118109997</v>
      </c>
      <c r="F26" s="66">
        <f t="shared" si="16"/>
        <v>4152939.629677</v>
      </c>
      <c r="G26" s="66">
        <f>G24*G25</f>
        <v>3534614.1796601573</v>
      </c>
      <c r="H26" s="67">
        <f t="shared" si="16"/>
        <v>3001135.1967123533</v>
      </c>
      <c r="I26" s="66">
        <f t="shared" si="16"/>
        <v>2921705.7912318818</v>
      </c>
      <c r="J26" s="66">
        <f t="shared" si="16"/>
        <v>3572359.4985480108</v>
      </c>
      <c r="K26" s="66">
        <f t="shared" si="16"/>
        <v>3856216.9219914395</v>
      </c>
      <c r="L26" s="66">
        <f t="shared" si="16"/>
        <v>3155343.1420235005</v>
      </c>
      <c r="M26" s="66">
        <f t="shared" si="16"/>
        <v>3253487.0435142997</v>
      </c>
      <c r="N26" s="66">
        <f t="shared" si="16"/>
        <v>4306246.0683994498</v>
      </c>
      <c r="O26" s="66">
        <f t="shared" si="16"/>
        <v>5116862.8485738998</v>
      </c>
      <c r="P26" s="66"/>
      <c r="Q26" s="115"/>
      <c r="R26" s="115"/>
      <c r="S26" s="115"/>
      <c r="T26" s="115"/>
      <c r="U26" s="126"/>
    </row>
    <row r="27" spans="1:21">
      <c r="A27" s="62">
        <v>17</v>
      </c>
      <c r="B27" s="33" t="s">
        <v>25</v>
      </c>
      <c r="C27" s="62" t="str">
        <f>"("&amp;A22&amp;") - ("&amp;A23&amp;") -("&amp;A26&amp;")"</f>
        <v>(12) - (13) -(16)</v>
      </c>
      <c r="D27" s="66">
        <f>D22-D23-D26</f>
        <v>16650295.563795002</v>
      </c>
      <c r="E27" s="66">
        <f t="shared" ref="E27:O27" si="17">E22-E23-E26</f>
        <v>14325390.679109002</v>
      </c>
      <c r="F27" s="66">
        <f t="shared" si="17"/>
        <v>13911593.121243002</v>
      </c>
      <c r="G27" s="66">
        <f t="shared" si="17"/>
        <v>12267851.594549846</v>
      </c>
      <c r="H27" s="67">
        <f t="shared" si="17"/>
        <v>10174544.277827647</v>
      </c>
      <c r="I27" s="66">
        <f t="shared" si="17"/>
        <v>10125210.228478119</v>
      </c>
      <c r="J27" s="66">
        <f t="shared" si="17"/>
        <v>12545326.20237199</v>
      </c>
      <c r="K27" s="66">
        <f t="shared" si="17"/>
        <v>14037950.379638562</v>
      </c>
      <c r="L27" s="66">
        <f t="shared" si="17"/>
        <v>10944743.555106498</v>
      </c>
      <c r="M27" s="66">
        <f t="shared" si="17"/>
        <v>11183766.122165699</v>
      </c>
      <c r="N27" s="66">
        <f t="shared" si="17"/>
        <v>15632397.375900554</v>
      </c>
      <c r="O27" s="66">
        <f t="shared" si="17"/>
        <v>19370784.207336098</v>
      </c>
      <c r="P27" s="66"/>
      <c r="Q27" s="115">
        <f>SUM(D27:F27)</f>
        <v>44887279.364147007</v>
      </c>
      <c r="R27" s="115">
        <f>SUM(G27:I27)</f>
        <v>32567606.100855611</v>
      </c>
      <c r="S27" s="115">
        <f>SUM(J27:L27)</f>
        <v>37528020.137117051</v>
      </c>
      <c r="T27" s="115">
        <f>SUM(M27:O27)</f>
        <v>46186947.705402352</v>
      </c>
      <c r="U27" s="126">
        <f>SUM(D27:O27)</f>
        <v>161169853.30752203</v>
      </c>
    </row>
    <row r="28" spans="1:21">
      <c r="A28" s="62">
        <v>18</v>
      </c>
      <c r="B28" s="114" t="s">
        <v>26</v>
      </c>
      <c r="C28" s="62" t="str">
        <f>"("&amp;A27&amp;") / ("&amp;A18&amp;")"</f>
        <v>(17) / (9)</v>
      </c>
      <c r="D28" s="30">
        <f t="shared" ref="D28:O28" si="18">D27/D18</f>
        <v>75.299817130042527</v>
      </c>
      <c r="E28" s="30">
        <f t="shared" si="18"/>
        <v>65.035300512137326</v>
      </c>
      <c r="F28" s="30">
        <f t="shared" si="18"/>
        <v>63.052235905486874</v>
      </c>
      <c r="G28" s="30">
        <f t="shared" si="18"/>
        <v>56.444659338234246</v>
      </c>
      <c r="H28" s="196">
        <f t="shared" si="18"/>
        <v>46.923628790158496</v>
      </c>
      <c r="I28" s="30">
        <f t="shared" si="18"/>
        <v>46.640181252547855</v>
      </c>
      <c r="J28" s="30">
        <f t="shared" si="18"/>
        <v>57.843750789006009</v>
      </c>
      <c r="K28" s="30">
        <f t="shared" si="18"/>
        <v>64.785058401082509</v>
      </c>
      <c r="L28" s="30">
        <f t="shared" si="18"/>
        <v>50.399677448811694</v>
      </c>
      <c r="M28" s="30">
        <f t="shared" si="18"/>
        <v>51.535480331253709</v>
      </c>
      <c r="N28" s="30">
        <f t="shared" si="18"/>
        <v>72.121121723908217</v>
      </c>
      <c r="O28" s="30">
        <f t="shared" si="18"/>
        <v>89.037333526398015</v>
      </c>
      <c r="P28" s="30"/>
      <c r="Q28" s="130">
        <f>Q27/Q18</f>
        <v>67.802792581189294</v>
      </c>
      <c r="R28" s="130">
        <f>R27/R18</f>
        <v>50.006535109034559</v>
      </c>
      <c r="S28" s="130">
        <f>S27/S18</f>
        <v>57.670912897600765</v>
      </c>
      <c r="T28" s="130">
        <f>T27/T18</f>
        <v>70.912726144869197</v>
      </c>
      <c r="U28" s="130">
        <f>U27/U18</f>
        <v>61.624771562389178</v>
      </c>
    </row>
    <row r="29" spans="1:21">
      <c r="A29" s="62">
        <v>19</v>
      </c>
      <c r="B29" s="33" t="s">
        <v>27</v>
      </c>
      <c r="C29" s="62" t="str">
        <f>"("&amp;A$24&amp;") - ("&amp;A27&amp;")"</f>
        <v>(14) - (17)</v>
      </c>
      <c r="D29" s="115">
        <f t="shared" ref="D29:O29" si="19">D20-D27</f>
        <v>1870810.2541878652</v>
      </c>
      <c r="E29" s="115">
        <f t="shared" si="19"/>
        <v>620837.71819462813</v>
      </c>
      <c r="F29" s="115">
        <f t="shared" si="19"/>
        <v>-199801.67782208137</v>
      </c>
      <c r="G29" s="115">
        <f t="shared" si="19"/>
        <v>-269690.95675537176</v>
      </c>
      <c r="H29" s="197">
        <f t="shared" si="19"/>
        <v>758552.40956937894</v>
      </c>
      <c r="I29" s="115">
        <f t="shared" si="19"/>
        <v>301570.30056972429</v>
      </c>
      <c r="J29" s="115">
        <f t="shared" si="19"/>
        <v>-1085689.6079814602</v>
      </c>
      <c r="K29" s="115">
        <f t="shared" si="19"/>
        <v>-667687.04905525781</v>
      </c>
      <c r="L29" s="115">
        <f t="shared" si="19"/>
        <v>-904602.65346350148</v>
      </c>
      <c r="M29" s="115">
        <f>M20-M27</f>
        <v>-64426.61172929965</v>
      </c>
      <c r="N29" s="115">
        <f t="shared" si="19"/>
        <v>-770444.11728929356</v>
      </c>
      <c r="O29" s="115">
        <f t="shared" si="19"/>
        <v>-499704.13479698822</v>
      </c>
      <c r="P29" s="115"/>
      <c r="Q29" s="115">
        <f>SUM(D29:F29)</f>
        <v>2291846.2945604119</v>
      </c>
      <c r="R29" s="115">
        <f>SUM(G29:I29)</f>
        <v>790431.75338373147</v>
      </c>
      <c r="S29" s="115">
        <f>SUM(J29:L29)</f>
        <v>-2657979.3105002195</v>
      </c>
      <c r="T29" s="115">
        <f>SUM(M29:O29)</f>
        <v>-1334574.8638155814</v>
      </c>
      <c r="U29" s="126">
        <f>SUM(D29:O29)</f>
        <v>-910276.12637165748</v>
      </c>
    </row>
    <row r="30" spans="1:21">
      <c r="A30" s="62">
        <v>20</v>
      </c>
      <c r="B30" s="33" t="s">
        <v>28</v>
      </c>
      <c r="C30" s="14" t="s">
        <v>29</v>
      </c>
      <c r="D30" s="115">
        <f>D29*-0.046677</f>
        <v>-87323.810234726989</v>
      </c>
      <c r="E30" s="115">
        <f t="shared" ref="E30:F30" si="20">E29*-0.046677</f>
        <v>-28978.842172170658</v>
      </c>
      <c r="F30" s="115">
        <f t="shared" si="20"/>
        <v>9326.1429157012935</v>
      </c>
      <c r="G30" s="115">
        <f t="shared" ref="G30:O30" si="21">G29*-0.044369</f>
        <v>11965.918060279089</v>
      </c>
      <c r="H30" s="115">
        <f t="shared" si="21"/>
        <v>-33656.211860183772</v>
      </c>
      <c r="I30" s="115">
        <f t="shared" si="21"/>
        <v>-13380.372665978097</v>
      </c>
      <c r="J30" s="115">
        <f t="shared" si="21"/>
        <v>48170.962216529406</v>
      </c>
      <c r="K30" s="115">
        <f t="shared" si="21"/>
        <v>29624.606679532732</v>
      </c>
      <c r="L30" s="115">
        <f t="shared" si="21"/>
        <v>40136.315131522097</v>
      </c>
      <c r="M30" s="115">
        <f t="shared" si="21"/>
        <v>2858.5443358172961</v>
      </c>
      <c r="N30" s="115">
        <f t="shared" si="21"/>
        <v>34183.835040008664</v>
      </c>
      <c r="O30" s="115">
        <f t="shared" si="21"/>
        <v>22171.37275680757</v>
      </c>
      <c r="P30" s="115"/>
      <c r="Q30" s="115">
        <f>SUM(D30:F30)</f>
        <v>-106976.50949119635</v>
      </c>
      <c r="R30" s="115">
        <f>SUM(G30:I30)</f>
        <v>-35070.666465882779</v>
      </c>
      <c r="S30" s="115">
        <f>SUM(J30:L30)</f>
        <v>117931.88402758422</v>
      </c>
      <c r="T30" s="115">
        <f>SUM(M30:O30)</f>
        <v>59213.752132633526</v>
      </c>
      <c r="U30" s="126">
        <f>SUM(D30:O30)</f>
        <v>35098.460203138646</v>
      </c>
    </row>
    <row r="31" spans="1:21" ht="14.45" customHeight="1">
      <c r="A31" s="62">
        <v>21</v>
      </c>
      <c r="B31" s="33"/>
      <c r="C31" s="62" t="s">
        <v>30</v>
      </c>
      <c r="D31" s="116">
        <v>4.9599999999999998E-2</v>
      </c>
      <c r="E31" s="116">
        <v>4.9599999999999998E-2</v>
      </c>
      <c r="F31" s="116">
        <v>4.9599999999999998E-2</v>
      </c>
      <c r="G31" s="116">
        <v>4.7500000000000001E-2</v>
      </c>
      <c r="H31" s="116">
        <v>4.7500000000000001E-2</v>
      </c>
      <c r="I31" s="116">
        <v>4.7500000000000001E-2</v>
      </c>
      <c r="J31" s="258">
        <v>3.4299999999999997E-2</v>
      </c>
      <c r="K31" s="258">
        <v>3.4299999999999997E-2</v>
      </c>
      <c r="L31" s="258">
        <v>3.4299999999999997E-2</v>
      </c>
      <c r="M31" s="263">
        <v>3.2500000000000001E-2</v>
      </c>
      <c r="N31" s="263">
        <v>3.2500000000000001E-2</v>
      </c>
      <c r="O31" s="263">
        <v>3.2500000000000001E-2</v>
      </c>
      <c r="P31" s="263"/>
      <c r="Q31" s="116"/>
      <c r="R31" s="116"/>
      <c r="S31" s="116"/>
      <c r="T31" s="116"/>
      <c r="U31" s="126"/>
    </row>
    <row r="32" spans="1:21">
      <c r="A32" s="62">
        <v>22</v>
      </c>
      <c r="B32" s="33" t="s">
        <v>31</v>
      </c>
      <c r="C32" s="62" t="s">
        <v>35</v>
      </c>
      <c r="D32" s="8">
        <f>(D29+D30)/2*D31/12</f>
        <v>3685.8719841698189</v>
      </c>
      <c r="E32" s="8">
        <f>(D34+(E29+E30)/2)*E31/12</f>
        <v>8610.1539163206198</v>
      </c>
      <c r="F32" s="8">
        <f t="shared" ref="F32:O32" si="22">(E34+(F29+F30)/2)*F31/12</f>
        <v>9475.2681241479713</v>
      </c>
      <c r="G32" s="8">
        <f t="shared" si="22"/>
        <v>8224.5401323291353</v>
      </c>
      <c r="H32" s="199">
        <f t="shared" si="22"/>
        <v>9181.7051892350155</v>
      </c>
      <c r="I32" s="8">
        <f t="shared" si="22"/>
        <v>11223.11572921802</v>
      </c>
      <c r="J32" s="8">
        <f>(I34+(J29+J30)/2)*J31/12</f>
        <v>7065.4347169478888</v>
      </c>
      <c r="K32" s="8">
        <f t="shared" si="22"/>
        <v>4690.9454460461438</v>
      </c>
      <c r="L32" s="8">
        <f t="shared" si="22"/>
        <v>2556.9896826846648</v>
      </c>
      <c r="M32" s="8">
        <f t="shared" si="22"/>
        <v>1175.7238911675481</v>
      </c>
      <c r="N32" s="8">
        <f t="shared" si="22"/>
        <v>98.515586564879428</v>
      </c>
      <c r="O32" s="8">
        <f t="shared" si="22"/>
        <v>-1544.8956811968253</v>
      </c>
      <c r="P32" s="8"/>
      <c r="Q32" s="115">
        <f>SUM(D32:F32)</f>
        <v>21771.29402463841</v>
      </c>
      <c r="R32" s="115">
        <f>SUM(G32:I32)</f>
        <v>28629.361050782172</v>
      </c>
      <c r="S32" s="115">
        <f>SUM(J32:L32)</f>
        <v>14313.369845678697</v>
      </c>
      <c r="T32" s="115">
        <f>SUM(M32:O32)</f>
        <v>-270.65620346439778</v>
      </c>
      <c r="U32" s="126">
        <f>SUM(D32:O32)</f>
        <v>64443.36871763489</v>
      </c>
    </row>
    <row r="33" spans="1:23" ht="14.45" customHeight="1" thickBot="1">
      <c r="A33" s="62">
        <v>23</v>
      </c>
      <c r="B33" s="9" t="s">
        <v>32</v>
      </c>
      <c r="C33" s="62"/>
      <c r="D33" s="11">
        <f>D29+D30+D32</f>
        <v>1787172.3159373081</v>
      </c>
      <c r="E33" s="11">
        <f t="shared" ref="E33:O33" si="23">E29+E30+E32</f>
        <v>600469.02993877814</v>
      </c>
      <c r="F33" s="11">
        <f t="shared" si="23"/>
        <v>-181000.26678223212</v>
      </c>
      <c r="G33" s="11">
        <f t="shared" si="23"/>
        <v>-249500.49856276353</v>
      </c>
      <c r="H33" s="11">
        <f t="shared" si="23"/>
        <v>734077.90289843024</v>
      </c>
      <c r="I33" s="11">
        <f t="shared" si="23"/>
        <v>299413.0436329642</v>
      </c>
      <c r="J33" s="11">
        <f>J29+J30+J32</f>
        <v>-1030453.2110479829</v>
      </c>
      <c r="K33" s="11">
        <f t="shared" si="23"/>
        <v>-633371.49692967895</v>
      </c>
      <c r="L33" s="11">
        <f t="shared" si="23"/>
        <v>-861909.3486492947</v>
      </c>
      <c r="M33" s="11">
        <f t="shared" si="23"/>
        <v>-60392.343502314812</v>
      </c>
      <c r="N33" s="11">
        <f t="shared" si="23"/>
        <v>-736161.76666272001</v>
      </c>
      <c r="O33" s="11">
        <f t="shared" si="23"/>
        <v>-479077.65772137744</v>
      </c>
      <c r="P33" s="11"/>
      <c r="Q33" s="131">
        <f>Q29+Q30+Q32</f>
        <v>2206641.0790938539</v>
      </c>
      <c r="R33" s="131">
        <f>R29+R30+R32</f>
        <v>783990.44796863082</v>
      </c>
      <c r="S33" s="131">
        <f>S29+S30+S32</f>
        <v>-2525734.0566269564</v>
      </c>
      <c r="T33" s="131">
        <f>T29+T30+T32</f>
        <v>-1275631.7678864123</v>
      </c>
      <c r="U33" s="131">
        <f>U29+U30+U32</f>
        <v>-810734.2974508839</v>
      </c>
      <c r="W33" s="189"/>
    </row>
    <row r="34" spans="1:23" ht="27" thickBot="1">
      <c r="A34" s="62">
        <v>24</v>
      </c>
      <c r="B34" s="237" t="s">
        <v>172</v>
      </c>
      <c r="C34" s="62" t="str">
        <f>"Σ(("&amp;A29&amp;") ,("&amp;A30&amp;") , ("&amp;A32&amp;"))"</f>
        <v>Σ((19) ,(20) , (22))</v>
      </c>
      <c r="D34" s="66">
        <f>D29+D30+D32</f>
        <v>1787172.3159373081</v>
      </c>
      <c r="E34" s="66">
        <f>D34+E29+E30+E32</f>
        <v>2387641.3458760865</v>
      </c>
      <c r="F34" s="66">
        <f t="shared" ref="F34:O34" si="24">E34+F29+F30+F32</f>
        <v>2206641.0790938544</v>
      </c>
      <c r="G34" s="66">
        <f t="shared" si="24"/>
        <v>1957140.5805310907</v>
      </c>
      <c r="H34" s="67">
        <f t="shared" si="24"/>
        <v>2691218.4834295209</v>
      </c>
      <c r="I34" s="66">
        <f t="shared" si="24"/>
        <v>2990631.527062485</v>
      </c>
      <c r="J34" s="66">
        <f t="shared" si="24"/>
        <v>1960178.316014502</v>
      </c>
      <c r="K34" s="66">
        <f t="shared" si="24"/>
        <v>1326806.8190848229</v>
      </c>
      <c r="L34" s="66">
        <f t="shared" si="24"/>
        <v>464897.47043552814</v>
      </c>
      <c r="M34" s="66">
        <f t="shared" si="24"/>
        <v>404505.12693321332</v>
      </c>
      <c r="N34" s="66">
        <f t="shared" si="24"/>
        <v>-331656.63972950669</v>
      </c>
      <c r="O34" s="117">
        <f t="shared" si="24"/>
        <v>-810734.29745088413</v>
      </c>
      <c r="P34" s="27"/>
      <c r="Q34" s="115"/>
      <c r="R34" s="115"/>
      <c r="S34" s="115"/>
      <c r="T34" s="115"/>
      <c r="U34" s="126"/>
    </row>
    <row r="35" spans="1:23" ht="36" customHeight="1">
      <c r="A35" s="301" t="s">
        <v>221</v>
      </c>
      <c r="B35" s="301"/>
      <c r="C35" s="301"/>
      <c r="D35" s="301"/>
      <c r="E35" s="301"/>
      <c r="F35" s="301"/>
      <c r="G35" s="301"/>
      <c r="H35" s="301"/>
      <c r="I35" s="301"/>
      <c r="J35" s="301"/>
      <c r="K35" s="301"/>
      <c r="L35" s="301"/>
      <c r="M35" s="301"/>
      <c r="N35" s="301"/>
      <c r="O35" s="301"/>
      <c r="P35" s="301"/>
      <c r="Q35" s="301"/>
      <c r="R35" s="301"/>
      <c r="S35" s="301"/>
      <c r="T35" s="301"/>
      <c r="U35" s="301"/>
    </row>
    <row r="36" spans="1:23">
      <c r="A36" s="62"/>
      <c r="B36" s="2" t="s">
        <v>33</v>
      </c>
      <c r="C36" s="62"/>
      <c r="D36" s="66"/>
      <c r="E36" s="66"/>
      <c r="F36" s="66"/>
      <c r="G36" s="66"/>
      <c r="H36" s="67"/>
      <c r="I36" s="66"/>
      <c r="J36" s="66"/>
      <c r="K36" s="66"/>
      <c r="L36" s="66"/>
      <c r="M36" s="66"/>
      <c r="N36" s="66"/>
      <c r="O36" s="66"/>
      <c r="P36" s="66"/>
      <c r="Q36" s="115"/>
      <c r="R36" s="115"/>
      <c r="S36" s="115"/>
      <c r="T36" s="115"/>
      <c r="U36" s="126"/>
    </row>
    <row r="37" spans="1:23" s="71" customFormat="1">
      <c r="A37" s="62">
        <v>25</v>
      </c>
      <c r="B37" s="33" t="s">
        <v>20</v>
      </c>
      <c r="C37" s="62" t="s">
        <v>21</v>
      </c>
      <c r="D37" s="236">
        <f>D46</f>
        <v>37482</v>
      </c>
      <c r="E37" s="236">
        <f t="shared" ref="E37:F37" si="25">E46</f>
        <v>37041</v>
      </c>
      <c r="F37" s="236">
        <f t="shared" si="25"/>
        <v>37523</v>
      </c>
      <c r="G37" s="248">
        <v>37426</v>
      </c>
      <c r="H37" s="250">
        <v>37036</v>
      </c>
      <c r="I37" s="248">
        <v>37925</v>
      </c>
      <c r="J37" s="248">
        <v>37616</v>
      </c>
      <c r="K37" s="248">
        <v>37401</v>
      </c>
      <c r="L37" s="248">
        <v>37679</v>
      </c>
      <c r="M37" s="248">
        <v>37795</v>
      </c>
      <c r="N37" s="248">
        <v>37724</v>
      </c>
      <c r="O37" s="248">
        <v>37949</v>
      </c>
      <c r="P37" s="248"/>
      <c r="Q37" s="124">
        <f t="shared" ref="Q37:Q44" si="26">SUM(D37:F37)</f>
        <v>112046</v>
      </c>
      <c r="R37" s="124">
        <f t="shared" ref="R37:R44" si="27">SUM(G37:I37)</f>
        <v>112387</v>
      </c>
      <c r="S37" s="124">
        <f t="shared" ref="S37:S44" si="28">SUM(J37:L37)</f>
        <v>112696</v>
      </c>
      <c r="T37" s="124">
        <f t="shared" ref="T37:T44" si="29">SUM(M37:O37)</f>
        <v>113468</v>
      </c>
      <c r="U37" s="125">
        <f t="shared" ref="U37:U44" si="30">SUM(D37:O37)</f>
        <v>450597</v>
      </c>
    </row>
    <row r="38" spans="1:23" s="71" customFormat="1">
      <c r="A38" s="62">
        <v>26</v>
      </c>
      <c r="B38" s="6" t="s">
        <v>161</v>
      </c>
      <c r="C38" s="62" t="s">
        <v>21</v>
      </c>
      <c r="D38" s="236">
        <f>D52</f>
        <v>179782076.40400001</v>
      </c>
      <c r="E38" s="236">
        <f t="shared" ref="E38:F38" si="31">E52</f>
        <v>168654117.64900002</v>
      </c>
      <c r="F38" s="236">
        <f t="shared" si="31"/>
        <v>169349461.53499997</v>
      </c>
      <c r="G38" s="248">
        <v>139907714.23837</v>
      </c>
      <c r="H38" s="250">
        <v>148830838.78549999</v>
      </c>
      <c r="I38" s="248">
        <v>164045165.99698997</v>
      </c>
      <c r="J38" s="248">
        <v>185995404.92501</v>
      </c>
      <c r="K38" s="248">
        <v>181437975.26101002</v>
      </c>
      <c r="L38" s="248">
        <v>172570197.45300001</v>
      </c>
      <c r="M38" s="248">
        <v>186445471.17899999</v>
      </c>
      <c r="N38" s="248">
        <v>152188442.998</v>
      </c>
      <c r="O38" s="248">
        <v>168250484.79000002</v>
      </c>
      <c r="P38" s="248"/>
      <c r="Q38" s="124">
        <f t="shared" si="26"/>
        <v>517785655.588</v>
      </c>
      <c r="R38" s="124">
        <f t="shared" si="27"/>
        <v>452783719.02085996</v>
      </c>
      <c r="S38" s="124">
        <f t="shared" si="28"/>
        <v>540003577.63901997</v>
      </c>
      <c r="T38" s="124">
        <f t="shared" si="29"/>
        <v>506884398.96700001</v>
      </c>
      <c r="U38" s="125">
        <f t="shared" si="30"/>
        <v>2017457351.2148798</v>
      </c>
    </row>
    <row r="39" spans="1:23" s="71" customFormat="1">
      <c r="A39" s="62">
        <v>27</v>
      </c>
      <c r="B39" s="33" t="s">
        <v>37</v>
      </c>
      <c r="C39" s="62" t="s">
        <v>21</v>
      </c>
      <c r="D39" s="66">
        <f>D50</f>
        <v>18011842.228429999</v>
      </c>
      <c r="E39" s="66">
        <f t="shared" ref="E39:F39" si="32">E50</f>
        <v>17151616.837379999</v>
      </c>
      <c r="F39" s="66">
        <f t="shared" si="32"/>
        <v>17206839.64229</v>
      </c>
      <c r="G39" s="249">
        <v>15261341.152959999</v>
      </c>
      <c r="H39" s="251">
        <v>15696874.43268</v>
      </c>
      <c r="I39" s="249">
        <v>17336325.323360004</v>
      </c>
      <c r="J39" s="249">
        <v>19145562.633680001</v>
      </c>
      <c r="K39" s="249">
        <v>18905148.757249996</v>
      </c>
      <c r="L39" s="249">
        <v>18121062.793979999</v>
      </c>
      <c r="M39" s="249">
        <v>19453895.042009998</v>
      </c>
      <c r="N39" s="249">
        <v>16587759.251479998</v>
      </c>
      <c r="O39" s="249">
        <v>17769454.276459999</v>
      </c>
      <c r="P39" s="249"/>
      <c r="Q39" s="115">
        <f t="shared" si="26"/>
        <v>52370298.708099991</v>
      </c>
      <c r="R39" s="115">
        <f t="shared" si="27"/>
        <v>48294540.909000002</v>
      </c>
      <c r="S39" s="115">
        <f t="shared" si="28"/>
        <v>56171774.184909999</v>
      </c>
      <c r="T39" s="115">
        <f t="shared" si="29"/>
        <v>53811108.569949992</v>
      </c>
      <c r="U39" s="126">
        <f t="shared" si="30"/>
        <v>210647722.37195998</v>
      </c>
    </row>
    <row r="40" spans="1:23" s="71" customFormat="1">
      <c r="A40" s="62">
        <v>28</v>
      </c>
      <c r="B40" s="33" t="s">
        <v>38</v>
      </c>
      <c r="C40" s="62" t="s">
        <v>21</v>
      </c>
      <c r="D40" s="66">
        <f>D51</f>
        <v>1711698.9500000002</v>
      </c>
      <c r="E40" s="66">
        <f t="shared" ref="E40:F40" si="33">E51</f>
        <v>1666203.9100000001</v>
      </c>
      <c r="F40" s="66">
        <f t="shared" si="33"/>
        <v>1699799.02</v>
      </c>
      <c r="G40" s="249">
        <v>1726757.68</v>
      </c>
      <c r="H40" s="251">
        <v>1720549.5000000002</v>
      </c>
      <c r="I40" s="249">
        <v>1787846.0899999999</v>
      </c>
      <c r="J40" s="249">
        <v>1757369.15</v>
      </c>
      <c r="K40" s="249">
        <v>1744422.54</v>
      </c>
      <c r="L40" s="249">
        <v>1745237.68</v>
      </c>
      <c r="M40" s="249">
        <v>1764532.69</v>
      </c>
      <c r="N40" s="249">
        <v>1718318.22</v>
      </c>
      <c r="O40" s="249">
        <v>1754819.94</v>
      </c>
      <c r="P40" s="249"/>
      <c r="Q40" s="115">
        <f t="shared" si="26"/>
        <v>5077701.8800000008</v>
      </c>
      <c r="R40" s="115">
        <f t="shared" si="27"/>
        <v>5235153.2699999996</v>
      </c>
      <c r="S40" s="115">
        <f t="shared" si="28"/>
        <v>5247029.37</v>
      </c>
      <c r="T40" s="115">
        <f t="shared" si="29"/>
        <v>5237670.8499999996</v>
      </c>
      <c r="U40" s="126">
        <f t="shared" si="30"/>
        <v>20797555.370000001</v>
      </c>
    </row>
    <row r="41" spans="1:23" s="71" customFormat="1" ht="27.75" customHeight="1">
      <c r="A41" s="62">
        <v>29</v>
      </c>
      <c r="B41" s="33" t="s">
        <v>162</v>
      </c>
      <c r="C41" s="62" t="s">
        <v>21</v>
      </c>
      <c r="D41" s="66"/>
      <c r="E41" s="66"/>
      <c r="F41" s="66"/>
      <c r="G41" s="248">
        <v>873</v>
      </c>
      <c r="H41" s="250">
        <v>919</v>
      </c>
      <c r="I41" s="248">
        <v>1048</v>
      </c>
      <c r="J41" s="248">
        <v>1135</v>
      </c>
      <c r="K41" s="248">
        <v>1177</v>
      </c>
      <c r="L41" s="248">
        <v>1273</v>
      </c>
      <c r="M41" s="248">
        <v>1363</v>
      </c>
      <c r="N41" s="248">
        <v>1486</v>
      </c>
      <c r="O41" s="248">
        <v>1529</v>
      </c>
      <c r="P41" s="248"/>
      <c r="Q41" s="124">
        <f t="shared" si="26"/>
        <v>0</v>
      </c>
      <c r="R41" s="124">
        <f t="shared" si="27"/>
        <v>2840</v>
      </c>
      <c r="S41" s="124">
        <f t="shared" si="28"/>
        <v>3585</v>
      </c>
      <c r="T41" s="124">
        <f t="shared" si="29"/>
        <v>4378</v>
      </c>
      <c r="U41" s="125">
        <f t="shared" si="30"/>
        <v>10803</v>
      </c>
    </row>
    <row r="42" spans="1:23" s="71" customFormat="1">
      <c r="A42" s="62">
        <v>30</v>
      </c>
      <c r="B42" s="6" t="s">
        <v>163</v>
      </c>
      <c r="C42" s="62" t="s">
        <v>21</v>
      </c>
      <c r="D42" s="66"/>
      <c r="E42" s="66"/>
      <c r="F42" s="66"/>
      <c r="G42" s="248">
        <v>2007628</v>
      </c>
      <c r="H42" s="250">
        <v>1811960.9600000002</v>
      </c>
      <c r="I42" s="248">
        <v>2179064</v>
      </c>
      <c r="J42" s="248">
        <v>2350153.9539999999</v>
      </c>
      <c r="K42" s="248">
        <v>3078900.3269999996</v>
      </c>
      <c r="L42" s="248">
        <v>4524953.1300000008</v>
      </c>
      <c r="M42" s="248">
        <v>4003264.88</v>
      </c>
      <c r="N42" s="248">
        <v>4655162.2590000005</v>
      </c>
      <c r="O42" s="248">
        <v>5333626.4580000006</v>
      </c>
      <c r="P42" s="248"/>
      <c r="Q42" s="124">
        <f t="shared" si="26"/>
        <v>0</v>
      </c>
      <c r="R42" s="124">
        <f t="shared" si="27"/>
        <v>5998652.96</v>
      </c>
      <c r="S42" s="124">
        <f t="shared" si="28"/>
        <v>9954007.4110000003</v>
      </c>
      <c r="T42" s="124">
        <f t="shared" si="29"/>
        <v>13992053.597000001</v>
      </c>
      <c r="U42" s="125">
        <f t="shared" si="30"/>
        <v>29944713.968000002</v>
      </c>
    </row>
    <row r="43" spans="1:23" s="71" customFormat="1">
      <c r="A43" s="62">
        <v>31</v>
      </c>
      <c r="B43" s="33" t="s">
        <v>164</v>
      </c>
      <c r="C43" s="62" t="s">
        <v>21</v>
      </c>
      <c r="D43" s="66"/>
      <c r="E43" s="66"/>
      <c r="F43" s="66"/>
      <c r="G43" s="249">
        <v>238431.57</v>
      </c>
      <c r="H43" s="251">
        <v>230638.36000000002</v>
      </c>
      <c r="I43" s="249">
        <v>280786.37999999995</v>
      </c>
      <c r="J43" s="249">
        <v>299927.27999999991</v>
      </c>
      <c r="K43" s="249">
        <v>367867.31</v>
      </c>
      <c r="L43" s="249">
        <v>504816.75000000006</v>
      </c>
      <c r="M43" s="249">
        <v>507502.91999999993</v>
      </c>
      <c r="N43" s="249">
        <v>551395.52</v>
      </c>
      <c r="O43" s="249">
        <v>612910.88</v>
      </c>
      <c r="P43" s="249"/>
      <c r="Q43" s="115">
        <f t="shared" si="26"/>
        <v>0</v>
      </c>
      <c r="R43" s="115">
        <f t="shared" si="27"/>
        <v>749856.31</v>
      </c>
      <c r="S43" s="115">
        <f t="shared" si="28"/>
        <v>1172611.3399999999</v>
      </c>
      <c r="T43" s="115">
        <f t="shared" si="29"/>
        <v>1671809.3199999998</v>
      </c>
      <c r="U43" s="126">
        <f t="shared" si="30"/>
        <v>3594276.9699999997</v>
      </c>
    </row>
    <row r="44" spans="1:23" s="71" customFormat="1">
      <c r="A44" s="62">
        <v>32</v>
      </c>
      <c r="B44" s="33" t="s">
        <v>165</v>
      </c>
      <c r="C44" s="62" t="s">
        <v>21</v>
      </c>
      <c r="D44" s="66"/>
      <c r="E44" s="66"/>
      <c r="F44" s="66"/>
      <c r="G44" s="249">
        <v>33332.58</v>
      </c>
      <c r="H44" s="251">
        <v>34930.559999999998</v>
      </c>
      <c r="I44" s="249">
        <v>41255.480000000003</v>
      </c>
      <c r="J44" s="249">
        <v>39310.650000000009</v>
      </c>
      <c r="K44" s="249">
        <v>38305.699999999997</v>
      </c>
      <c r="L44" s="249">
        <v>42244.76</v>
      </c>
      <c r="M44" s="249">
        <v>43530.65</v>
      </c>
      <c r="N44" s="249">
        <v>47938.07</v>
      </c>
      <c r="O44" s="249">
        <v>52393.19</v>
      </c>
      <c r="P44" s="249"/>
      <c r="Q44" s="115">
        <f t="shared" si="26"/>
        <v>0</v>
      </c>
      <c r="R44" s="115">
        <f t="shared" si="27"/>
        <v>109518.62</v>
      </c>
      <c r="S44" s="115">
        <f t="shared" si="28"/>
        <v>119861.11000000002</v>
      </c>
      <c r="T44" s="115">
        <f t="shared" si="29"/>
        <v>143861.91</v>
      </c>
      <c r="U44" s="126">
        <f t="shared" si="30"/>
        <v>373241.64000000007</v>
      </c>
    </row>
    <row r="45" spans="1:23" s="71" customFormat="1">
      <c r="A45" s="62"/>
      <c r="B45" s="2"/>
      <c r="C45" s="62"/>
      <c r="D45" s="66"/>
      <c r="E45" s="66"/>
      <c r="F45" s="66"/>
      <c r="G45" s="66"/>
      <c r="H45" s="67"/>
      <c r="I45" s="66"/>
      <c r="J45" s="66"/>
      <c r="K45" s="66"/>
      <c r="L45" s="66"/>
      <c r="M45" s="66"/>
      <c r="N45" s="66"/>
      <c r="O45" s="66"/>
      <c r="P45" s="66"/>
      <c r="Q45" s="115"/>
      <c r="R45" s="115"/>
      <c r="S45" s="115"/>
      <c r="T45" s="115"/>
      <c r="U45" s="126"/>
    </row>
    <row r="46" spans="1:23">
      <c r="A46" s="62">
        <v>33</v>
      </c>
      <c r="B46" s="33" t="s">
        <v>166</v>
      </c>
      <c r="C46" s="62" t="str">
        <f>"("&amp;A37&amp;") - ("&amp;A41&amp;")"</f>
        <v>(25) - (29)</v>
      </c>
      <c r="D46" s="31">
        <v>37482</v>
      </c>
      <c r="E46" s="31">
        <v>37041</v>
      </c>
      <c r="F46" s="31">
        <v>37523</v>
      </c>
      <c r="G46" s="246">
        <f>G37-G41</f>
        <v>36553</v>
      </c>
      <c r="H46" s="65">
        <f t="shared" ref="H46:O46" si="34">H37-H41</f>
        <v>36117</v>
      </c>
      <c r="I46" s="65">
        <f t="shared" si="34"/>
        <v>36877</v>
      </c>
      <c r="J46" s="65">
        <f t="shared" si="34"/>
        <v>36481</v>
      </c>
      <c r="K46" s="65">
        <f t="shared" si="34"/>
        <v>36224</v>
      </c>
      <c r="L46" s="65">
        <f t="shared" si="34"/>
        <v>36406</v>
      </c>
      <c r="M46" s="65">
        <f t="shared" si="34"/>
        <v>36432</v>
      </c>
      <c r="N46" s="65">
        <f t="shared" si="34"/>
        <v>36238</v>
      </c>
      <c r="O46" s="65">
        <f t="shared" si="34"/>
        <v>36420</v>
      </c>
      <c r="P46" s="65"/>
      <c r="Q46" s="124">
        <f>SUM(D46:F46)</f>
        <v>112046</v>
      </c>
      <c r="R46" s="124">
        <f>SUM(G46:I46)</f>
        <v>109547</v>
      </c>
      <c r="S46" s="124">
        <f>SUM(J46:L46)</f>
        <v>109111</v>
      </c>
      <c r="T46" s="124">
        <f>SUM(M46:O46)</f>
        <v>109090</v>
      </c>
      <c r="U46" s="125">
        <f>SUM(D46:O46)</f>
        <v>439794</v>
      </c>
    </row>
    <row r="47" spans="1:23" ht="29.45" customHeight="1">
      <c r="A47" s="100">
        <f t="shared" ref="A47:A55" si="35">A46+1</f>
        <v>34</v>
      </c>
      <c r="B47" s="108" t="s">
        <v>22</v>
      </c>
      <c r="C47" s="108" t="s">
        <v>173</v>
      </c>
      <c r="D47" s="109">
        <v>359.8067927967802</v>
      </c>
      <c r="E47" s="109">
        <v>336.85962983528816</v>
      </c>
      <c r="F47" s="109">
        <v>346.66344910730356</v>
      </c>
      <c r="G47" s="109">
        <v>335.5570844973509</v>
      </c>
      <c r="H47" s="193">
        <v>361.67337127768576</v>
      </c>
      <c r="I47" s="109">
        <v>376.00720550864446</v>
      </c>
      <c r="J47" s="109">
        <v>413.67238077006056</v>
      </c>
      <c r="K47" s="109">
        <v>396.8768301050074</v>
      </c>
      <c r="L47" s="109">
        <v>352.61047681102906</v>
      </c>
      <c r="M47" s="109">
        <v>379.63297244432823</v>
      </c>
      <c r="N47" s="109">
        <v>363.03059603625911</v>
      </c>
      <c r="O47" s="109">
        <v>358.52006650997981</v>
      </c>
      <c r="P47" s="109"/>
      <c r="Q47" s="109">
        <f>Q48/Q46</f>
        <v>347.81918459553378</v>
      </c>
      <c r="R47" s="109">
        <f>R48/R46</f>
        <v>357.78426590970201</v>
      </c>
      <c r="S47" s="109">
        <f>S48/S46</f>
        <v>387.72246093774868</v>
      </c>
      <c r="T47" s="109">
        <f>T48/T46</f>
        <v>367.07172118019236</v>
      </c>
      <c r="U47" s="109">
        <f>U48/U46</f>
        <v>364.97674100539609</v>
      </c>
    </row>
    <row r="48" spans="1:23">
      <c r="A48" s="62">
        <f t="shared" si="35"/>
        <v>35</v>
      </c>
      <c r="B48" s="33" t="s">
        <v>23</v>
      </c>
      <c r="C48" s="62" t="str">
        <f>"("&amp;A46&amp;") x ("&amp;A47&amp;")"</f>
        <v>(33) x (34)</v>
      </c>
      <c r="D48" s="66">
        <f t="shared" ref="D48:N48" si="36">D46*D47</f>
        <v>13486278.207608916</v>
      </c>
      <c r="E48" s="66">
        <f t="shared" si="36"/>
        <v>12477617.548728909</v>
      </c>
      <c r="F48" s="66">
        <f t="shared" si="36"/>
        <v>13007852.600853352</v>
      </c>
      <c r="G48" s="66">
        <f t="shared" si="36"/>
        <v>12265618.109631667</v>
      </c>
      <c r="H48" s="67">
        <f t="shared" si="36"/>
        <v>13062557.150436176</v>
      </c>
      <c r="I48" s="66">
        <f t="shared" si="36"/>
        <v>13866017.717542281</v>
      </c>
      <c r="J48" s="66">
        <f t="shared" si="36"/>
        <v>15091182.12287258</v>
      </c>
      <c r="K48" s="66">
        <f t="shared" si="36"/>
        <v>14376466.293723788</v>
      </c>
      <c r="L48" s="66">
        <f t="shared" si="36"/>
        <v>12837137.018782323</v>
      </c>
      <c r="M48" s="66">
        <f t="shared" si="36"/>
        <v>13830788.452091767</v>
      </c>
      <c r="N48" s="66">
        <f t="shared" si="36"/>
        <v>13155502.739161957</v>
      </c>
      <c r="O48" s="249">
        <f>O46*O47+262.05</f>
        <v>13057562.872293465</v>
      </c>
      <c r="P48" s="66" t="s">
        <v>217</v>
      </c>
      <c r="Q48" s="115">
        <f>SUM(D48:F48)</f>
        <v>38971748.357191175</v>
      </c>
      <c r="R48" s="115">
        <f>SUM(G48:I48)</f>
        <v>39194192.977610126</v>
      </c>
      <c r="S48" s="115">
        <f>SUM(J48:L48)</f>
        <v>42304785.435378693</v>
      </c>
      <c r="T48" s="115">
        <f>SUM(M48:O48)</f>
        <v>40043854.063547187</v>
      </c>
      <c r="U48" s="126">
        <f>SUM(D48:O48)</f>
        <v>160514580.83372718</v>
      </c>
    </row>
    <row r="49" spans="1:21" ht="9" customHeight="1">
      <c r="A49" s="62"/>
      <c r="B49" s="33"/>
      <c r="C49" s="62"/>
      <c r="D49" s="63"/>
      <c r="E49" s="63"/>
      <c r="F49" s="63"/>
      <c r="G49" s="63"/>
      <c r="H49" s="194"/>
      <c r="I49" s="66"/>
      <c r="J49" s="63"/>
      <c r="K49" s="63"/>
      <c r="L49" s="63"/>
      <c r="M49" s="63"/>
      <c r="N49" s="63"/>
      <c r="O49" s="63"/>
      <c r="P49" s="63"/>
      <c r="Q49" s="127"/>
      <c r="R49" s="127"/>
      <c r="S49" s="127"/>
      <c r="T49" s="127"/>
      <c r="U49" s="15"/>
    </row>
    <row r="50" spans="1:21">
      <c r="A50" s="62">
        <v>36</v>
      </c>
      <c r="B50" s="33" t="s">
        <v>168</v>
      </c>
      <c r="C50" s="62" t="str">
        <f>"("&amp;A39&amp;") - ("&amp;A43&amp;")"</f>
        <v>(27) - (31)</v>
      </c>
      <c r="D50" s="110">
        <v>18011842.228429999</v>
      </c>
      <c r="E50" s="110">
        <v>17151616.837379999</v>
      </c>
      <c r="F50" s="110">
        <v>17206839.64229</v>
      </c>
      <c r="G50" s="67">
        <f>G39-G43</f>
        <v>15022909.582959998</v>
      </c>
      <c r="H50" s="66">
        <f t="shared" ref="H50:O51" si="37">H39-H43</f>
        <v>15466236.07268</v>
      </c>
      <c r="I50" s="66">
        <f t="shared" si="37"/>
        <v>17055538.943360005</v>
      </c>
      <c r="J50" s="66">
        <f t="shared" si="37"/>
        <v>18845635.35368</v>
      </c>
      <c r="K50" s="66">
        <f t="shared" si="37"/>
        <v>18537281.447249997</v>
      </c>
      <c r="L50" s="66">
        <f t="shared" si="37"/>
        <v>17616246.043979999</v>
      </c>
      <c r="M50" s="66">
        <f t="shared" si="37"/>
        <v>18946392.12201</v>
      </c>
      <c r="N50" s="66">
        <f t="shared" si="37"/>
        <v>16036363.731479999</v>
      </c>
      <c r="O50" s="66">
        <f t="shared" si="37"/>
        <v>17156543.39646</v>
      </c>
      <c r="P50" s="66"/>
      <c r="Q50" s="115"/>
      <c r="R50" s="115">
        <f>SUM(G50:I50)</f>
        <v>47544684.599000007</v>
      </c>
      <c r="S50" s="115">
        <f>SUM(J50:L50)</f>
        <v>54999162.844909996</v>
      </c>
      <c r="T50" s="115">
        <f>SUM(M50:O50)</f>
        <v>52139299.249949992</v>
      </c>
      <c r="U50" s="126">
        <f>SUM(D50:O50)</f>
        <v>207053445.40195999</v>
      </c>
    </row>
    <row r="51" spans="1:21">
      <c r="A51" s="62">
        <f t="shared" si="35"/>
        <v>37</v>
      </c>
      <c r="B51" s="33" t="s">
        <v>169</v>
      </c>
      <c r="C51" s="62" t="str">
        <f t="shared" ref="C51" si="38">"("&amp;A40&amp;") - ("&amp;A44&amp;")"</f>
        <v>(28) - (32)</v>
      </c>
      <c r="D51" s="110">
        <v>1711698.9500000002</v>
      </c>
      <c r="E51" s="110">
        <v>1666203.9100000001</v>
      </c>
      <c r="F51" s="110">
        <v>1699799.02</v>
      </c>
      <c r="G51" s="67">
        <f>G40-G44</f>
        <v>1693425.0999999999</v>
      </c>
      <c r="H51" s="66">
        <f t="shared" si="37"/>
        <v>1685618.9400000002</v>
      </c>
      <c r="I51" s="66">
        <f t="shared" si="37"/>
        <v>1746590.6099999999</v>
      </c>
      <c r="J51" s="66">
        <f t="shared" si="37"/>
        <v>1718058.5</v>
      </c>
      <c r="K51" s="66">
        <f t="shared" si="37"/>
        <v>1706116.84</v>
      </c>
      <c r="L51" s="66">
        <f t="shared" si="37"/>
        <v>1702992.92</v>
      </c>
      <c r="M51" s="66">
        <f t="shared" si="37"/>
        <v>1721002.04</v>
      </c>
      <c r="N51" s="66">
        <f t="shared" si="37"/>
        <v>1670380.15</v>
      </c>
      <c r="O51" s="66">
        <f t="shared" si="37"/>
        <v>1702426.75</v>
      </c>
      <c r="P51" s="66"/>
      <c r="Q51" s="115"/>
      <c r="R51" s="115">
        <f>SUM(G51:I51)</f>
        <v>5125634.6500000004</v>
      </c>
      <c r="S51" s="115">
        <f>SUM(J51:L51)</f>
        <v>5127168.26</v>
      </c>
      <c r="T51" s="115">
        <f>SUM(M51:O51)</f>
        <v>5093808.9399999995</v>
      </c>
      <c r="U51" s="126">
        <f>SUM(D51:O51)</f>
        <v>20424313.729999997</v>
      </c>
    </row>
    <row r="52" spans="1:21">
      <c r="A52" s="62">
        <f t="shared" si="35"/>
        <v>38</v>
      </c>
      <c r="B52" s="6" t="s">
        <v>170</v>
      </c>
      <c r="C52" s="62" t="str">
        <f>"("&amp;A38&amp;") - ("&amp;A42&amp;")"</f>
        <v>(26) - (30)</v>
      </c>
      <c r="D52" s="111">
        <v>179782076.40400001</v>
      </c>
      <c r="E52" s="111">
        <v>168654117.64900002</v>
      </c>
      <c r="F52" s="111">
        <v>169349461.53499997</v>
      </c>
      <c r="G52" s="247">
        <f>G38-G42</f>
        <v>137900086.23837</v>
      </c>
      <c r="H52" s="236">
        <f t="shared" ref="H52:O52" si="39">H38-H42</f>
        <v>147018877.82549998</v>
      </c>
      <c r="I52" s="236">
        <f t="shared" si="39"/>
        <v>161866101.99698997</v>
      </c>
      <c r="J52" s="236">
        <f t="shared" si="39"/>
        <v>183645250.97101</v>
      </c>
      <c r="K52" s="236">
        <f t="shared" si="39"/>
        <v>178359074.93401003</v>
      </c>
      <c r="L52" s="236">
        <f t="shared" si="39"/>
        <v>168045244.32300001</v>
      </c>
      <c r="M52" s="236">
        <f t="shared" si="39"/>
        <v>182442206.29899999</v>
      </c>
      <c r="N52" s="236">
        <f t="shared" si="39"/>
        <v>147533280.73899999</v>
      </c>
      <c r="O52" s="236">
        <f t="shared" si="39"/>
        <v>162916858.33200002</v>
      </c>
      <c r="P52" s="236"/>
      <c r="Q52" s="124"/>
      <c r="R52" s="124">
        <f>SUM(G52:I52)</f>
        <v>446785066.06085992</v>
      </c>
      <c r="S52" s="124">
        <f>SUM(J52:L52)</f>
        <v>530049570.22802001</v>
      </c>
      <c r="T52" s="124">
        <f>SUM(M52:O52)</f>
        <v>492892345.37</v>
      </c>
      <c r="U52" s="125">
        <f>SUM(D52:O52)</f>
        <v>1987512637.2468801</v>
      </c>
    </row>
    <row r="53" spans="1:21" ht="26.25">
      <c r="A53" s="62">
        <f t="shared" si="35"/>
        <v>39</v>
      </c>
      <c r="B53" s="15" t="s">
        <v>39</v>
      </c>
      <c r="C53" s="112" t="s">
        <v>171</v>
      </c>
      <c r="D53" s="113">
        <v>1.9E-2</v>
      </c>
      <c r="E53" s="113">
        <v>1.9E-2</v>
      </c>
      <c r="F53" s="113">
        <v>1.9E-2</v>
      </c>
      <c r="G53" s="113">
        <v>1.8950000000000002E-2</v>
      </c>
      <c r="H53" s="195">
        <v>1.8950000000000002E-2</v>
      </c>
      <c r="I53" s="113">
        <v>1.8950000000000002E-2</v>
      </c>
      <c r="J53" s="113">
        <v>1.8950000000000002E-2</v>
      </c>
      <c r="K53" s="113">
        <v>1.8950000000000002E-2</v>
      </c>
      <c r="L53" s="113">
        <v>1.8950000000000002E-2</v>
      </c>
      <c r="M53" s="113">
        <v>1.8950000000000002E-2</v>
      </c>
      <c r="N53" s="113">
        <v>1.8950000000000002E-2</v>
      </c>
      <c r="O53" s="113">
        <v>1.8950000000000002E-2</v>
      </c>
      <c r="P53" s="113"/>
      <c r="Q53" s="128"/>
      <c r="R53" s="128"/>
      <c r="S53" s="128"/>
      <c r="T53" s="128"/>
      <c r="U53" s="129"/>
    </row>
    <row r="54" spans="1:21">
      <c r="A54" s="62">
        <f t="shared" si="35"/>
        <v>40</v>
      </c>
      <c r="B54" s="33" t="s">
        <v>40</v>
      </c>
      <c r="C54" s="62" t="str">
        <f>"("&amp;A52&amp;") x ("&amp;A53&amp;")"</f>
        <v>(38) x (39)</v>
      </c>
      <c r="D54" s="66">
        <f t="shared" ref="D54:O54" si="40">D52*D53</f>
        <v>3415859.4516760004</v>
      </c>
      <c r="E54" s="66">
        <f t="shared" si="40"/>
        <v>3204428.2353310003</v>
      </c>
      <c r="F54" s="66">
        <f t="shared" si="40"/>
        <v>3217639.7691649995</v>
      </c>
      <c r="G54" s="66">
        <f t="shared" si="40"/>
        <v>2613206.6342171119</v>
      </c>
      <c r="H54" s="67">
        <f t="shared" si="40"/>
        <v>2786007.7347932248</v>
      </c>
      <c r="I54" s="66">
        <f t="shared" si="40"/>
        <v>3067362.6328429603</v>
      </c>
      <c r="J54" s="66">
        <f t="shared" si="40"/>
        <v>3480077.5059006396</v>
      </c>
      <c r="K54" s="66">
        <f t="shared" si="40"/>
        <v>3379904.4699994903</v>
      </c>
      <c r="L54" s="66">
        <f t="shared" si="40"/>
        <v>3184457.3799208505</v>
      </c>
      <c r="M54" s="66">
        <f t="shared" si="40"/>
        <v>3457279.8093660502</v>
      </c>
      <c r="N54" s="66">
        <f t="shared" si="40"/>
        <v>2795755.6700040502</v>
      </c>
      <c r="O54" s="66">
        <f t="shared" si="40"/>
        <v>3087274.4653914007</v>
      </c>
      <c r="P54" s="66"/>
      <c r="Q54" s="115"/>
      <c r="R54" s="115"/>
      <c r="S54" s="115"/>
      <c r="T54" s="115"/>
      <c r="U54" s="126"/>
    </row>
    <row r="55" spans="1:21">
      <c r="A55" s="62">
        <f t="shared" si="35"/>
        <v>41</v>
      </c>
      <c r="B55" s="33" t="s">
        <v>25</v>
      </c>
      <c r="C55" s="62" t="str">
        <f>"("&amp;A50&amp;") - ("&amp;A51&amp;") -("&amp;A54&amp;")"</f>
        <v>(36) - (37) -(40)</v>
      </c>
      <c r="D55" s="66">
        <f>D50-D51-D54</f>
        <v>12884283.826754</v>
      </c>
      <c r="E55" s="66">
        <f t="shared" ref="E55:O55" si="41">E50-E51-E54</f>
        <v>12280984.692048999</v>
      </c>
      <c r="F55" s="66">
        <f t="shared" si="41"/>
        <v>12289400.853125</v>
      </c>
      <c r="G55" s="66">
        <f t="shared" si="41"/>
        <v>10716277.848742887</v>
      </c>
      <c r="H55" s="67">
        <f t="shared" si="41"/>
        <v>10994609.397886775</v>
      </c>
      <c r="I55" s="66">
        <f t="shared" si="41"/>
        <v>12241585.700517045</v>
      </c>
      <c r="J55" s="66">
        <f t="shared" si="41"/>
        <v>13647499.34777936</v>
      </c>
      <c r="K55" s="66">
        <f t="shared" si="41"/>
        <v>13451260.137250507</v>
      </c>
      <c r="L55" s="66">
        <f t="shared" si="41"/>
        <v>12728795.744059149</v>
      </c>
      <c r="M55" s="66">
        <f t="shared" si="41"/>
        <v>13768110.27264395</v>
      </c>
      <c r="N55" s="66">
        <f t="shared" si="41"/>
        <v>11570227.911475949</v>
      </c>
      <c r="O55" s="66">
        <f t="shared" si="41"/>
        <v>12366842.181068599</v>
      </c>
      <c r="P55" s="66"/>
      <c r="Q55" s="115">
        <f>SUM(D55:F55)</f>
        <v>37454669.371927999</v>
      </c>
      <c r="R55" s="115">
        <f>SUM(G55:I55)</f>
        <v>33952472.947146706</v>
      </c>
      <c r="S55" s="115">
        <f>SUM(J55:L55)</f>
        <v>39827555.229089022</v>
      </c>
      <c r="T55" s="115">
        <f>SUM(M55:O55)</f>
        <v>37705180.365188494</v>
      </c>
      <c r="U55" s="126">
        <f>SUM(D55:O55)</f>
        <v>148939877.91335222</v>
      </c>
    </row>
    <row r="56" spans="1:21">
      <c r="A56" s="62">
        <v>42</v>
      </c>
      <c r="B56" s="62" t="s">
        <v>34</v>
      </c>
      <c r="C56" s="62" t="str">
        <f>"("&amp;A55&amp;") / ("&amp;A46&amp;")"</f>
        <v>(41) / (33)</v>
      </c>
      <c r="D56" s="30">
        <f t="shared" ref="D56:O56" si="42">D55/D46</f>
        <v>343.74590007881119</v>
      </c>
      <c r="E56" s="30">
        <f t="shared" si="42"/>
        <v>331.55111071647627</v>
      </c>
      <c r="F56" s="30">
        <f t="shared" si="42"/>
        <v>327.51647930935695</v>
      </c>
      <c r="G56" s="30">
        <f t="shared" si="42"/>
        <v>293.17095310214995</v>
      </c>
      <c r="H56" s="196">
        <f t="shared" si="42"/>
        <v>304.41646310288161</v>
      </c>
      <c r="I56" s="30">
        <f t="shared" si="42"/>
        <v>331.95720097939216</v>
      </c>
      <c r="J56" s="30">
        <f t="shared" si="42"/>
        <v>374.09882809625174</v>
      </c>
      <c r="K56" s="30">
        <f t="shared" si="42"/>
        <v>371.3355824108466</v>
      </c>
      <c r="L56" s="30">
        <f t="shared" si="42"/>
        <v>349.63455870074023</v>
      </c>
      <c r="M56" s="30">
        <f t="shared" si="42"/>
        <v>377.91255689075399</v>
      </c>
      <c r="N56" s="30">
        <f t="shared" si="42"/>
        <v>319.28439515083471</v>
      </c>
      <c r="O56" s="30">
        <f t="shared" si="42"/>
        <v>339.56183912873695</v>
      </c>
      <c r="P56" s="30"/>
      <c r="Q56" s="130">
        <f>Q55/Q46</f>
        <v>334.27939749681377</v>
      </c>
      <c r="R56" s="130">
        <f>R55/R46</f>
        <v>309.93521453939138</v>
      </c>
      <c r="S56" s="130">
        <f>S55/S46</f>
        <v>365.01869865631352</v>
      </c>
      <c r="T56" s="130">
        <f>T55/T46</f>
        <v>345.63370029506365</v>
      </c>
      <c r="U56" s="130">
        <f>U55/U46</f>
        <v>338.65827617782924</v>
      </c>
    </row>
    <row r="57" spans="1:21">
      <c r="A57" s="62">
        <v>43</v>
      </c>
      <c r="B57" s="33" t="s">
        <v>27</v>
      </c>
      <c r="C57" s="62" t="str">
        <f>"("&amp;A$55&amp;") - ("&amp;A55&amp;")"</f>
        <v>(41) - (41)</v>
      </c>
      <c r="D57" s="115">
        <f t="shared" ref="D57:O57" si="43">D48-D55</f>
        <v>601994.38085491583</v>
      </c>
      <c r="E57" s="115">
        <f t="shared" si="43"/>
        <v>196632.85667991079</v>
      </c>
      <c r="F57" s="115">
        <f t="shared" si="43"/>
        <v>718451.7477283515</v>
      </c>
      <c r="G57" s="115">
        <f t="shared" si="43"/>
        <v>1549340.2608887795</v>
      </c>
      <c r="H57" s="197">
        <f t="shared" si="43"/>
        <v>2067947.7525494006</v>
      </c>
      <c r="I57" s="115">
        <f t="shared" si="43"/>
        <v>1624432.017025236</v>
      </c>
      <c r="J57" s="115">
        <f t="shared" si="43"/>
        <v>1443682.7750932202</v>
      </c>
      <c r="K57" s="115">
        <f t="shared" si="43"/>
        <v>925206.15647328086</v>
      </c>
      <c r="L57" s="115">
        <f t="shared" si="43"/>
        <v>108341.27472317405</v>
      </c>
      <c r="M57" s="115">
        <f t="shared" si="43"/>
        <v>62678.179447816685</v>
      </c>
      <c r="N57" s="115">
        <f t="shared" si="43"/>
        <v>1585274.8276860081</v>
      </c>
      <c r="O57" s="115">
        <f t="shared" si="43"/>
        <v>690720.69122486562</v>
      </c>
      <c r="P57" s="115"/>
      <c r="Q57" s="115">
        <f>SUM(D57:F57)</f>
        <v>1517078.9852631781</v>
      </c>
      <c r="R57" s="115">
        <f>SUM(G57:I57)</f>
        <v>5241720.0304634161</v>
      </c>
      <c r="S57" s="115">
        <f>SUM(J57:L57)</f>
        <v>2477230.2062896751</v>
      </c>
      <c r="T57" s="115">
        <f>SUM(M57:O57)</f>
        <v>2338673.6983586904</v>
      </c>
      <c r="U57" s="126">
        <f>SUM(D57:O57)</f>
        <v>11574702.92037496</v>
      </c>
    </row>
    <row r="58" spans="1:21">
      <c r="A58" s="62">
        <v>44</v>
      </c>
      <c r="B58" s="33" t="s">
        <v>28</v>
      </c>
      <c r="C58" s="14" t="s">
        <v>29</v>
      </c>
      <c r="D58" s="115">
        <f>D57*-0.046677</f>
        <v>-28099.291715164909</v>
      </c>
      <c r="E58" s="115">
        <f t="shared" ref="E58:F58" si="44">E57*-0.046677</f>
        <v>-9178.2318512481961</v>
      </c>
      <c r="F58" s="115">
        <f t="shared" si="44"/>
        <v>-33535.172228716263</v>
      </c>
      <c r="G58" s="115">
        <f t="shared" ref="G58:O58" si="45">G57*-0.044369</f>
        <v>-68742.678035374251</v>
      </c>
      <c r="H58" s="115">
        <f t="shared" si="45"/>
        <v>-91752.773832864346</v>
      </c>
      <c r="I58" s="115">
        <f t="shared" si="45"/>
        <v>-72074.424163392701</v>
      </c>
      <c r="J58" s="115">
        <f t="shared" si="45"/>
        <v>-64054.761048111082</v>
      </c>
      <c r="K58" s="115">
        <f t="shared" si="45"/>
        <v>-41050.471956563</v>
      </c>
      <c r="L58" s="115">
        <f t="shared" si="45"/>
        <v>-4806.9940181925094</v>
      </c>
      <c r="M58" s="115">
        <f t="shared" si="45"/>
        <v>-2780.9681439201786</v>
      </c>
      <c r="N58" s="115">
        <f t="shared" si="45"/>
        <v>-70337.058829600486</v>
      </c>
      <c r="O58" s="115">
        <f t="shared" si="45"/>
        <v>-30646.586348956062</v>
      </c>
      <c r="P58" s="115"/>
      <c r="Q58" s="115">
        <f>SUM(D58:F58)</f>
        <v>-70812.695795129373</v>
      </c>
      <c r="R58" s="115">
        <f>SUM(G58:I58)</f>
        <v>-232569.87603163131</v>
      </c>
      <c r="S58" s="115">
        <f>SUM(J58:L58)</f>
        <v>-109912.22702286659</v>
      </c>
      <c r="T58" s="115">
        <f>SUM(M58:O58)</f>
        <v>-103764.61332247673</v>
      </c>
      <c r="U58" s="126">
        <f>SUM(D58:O58)</f>
        <v>-517059.41217210394</v>
      </c>
    </row>
    <row r="59" spans="1:21">
      <c r="A59" s="62">
        <v>45</v>
      </c>
      <c r="B59" s="33"/>
      <c r="C59" s="62" t="s">
        <v>30</v>
      </c>
      <c r="D59" s="116">
        <f t="shared" ref="D59:O59" si="46">D31</f>
        <v>4.9599999999999998E-2</v>
      </c>
      <c r="E59" s="116">
        <f t="shared" si="46"/>
        <v>4.9599999999999998E-2</v>
      </c>
      <c r="F59" s="116">
        <f t="shared" si="46"/>
        <v>4.9599999999999998E-2</v>
      </c>
      <c r="G59" s="116">
        <f t="shared" si="46"/>
        <v>4.7500000000000001E-2</v>
      </c>
      <c r="H59" s="198">
        <f t="shared" si="46"/>
        <v>4.7500000000000001E-2</v>
      </c>
      <c r="I59" s="116">
        <f t="shared" si="46"/>
        <v>4.7500000000000001E-2</v>
      </c>
      <c r="J59" s="116">
        <f t="shared" si="46"/>
        <v>3.4299999999999997E-2</v>
      </c>
      <c r="K59" s="116">
        <f t="shared" si="46"/>
        <v>3.4299999999999997E-2</v>
      </c>
      <c r="L59" s="116">
        <f t="shared" si="46"/>
        <v>3.4299999999999997E-2</v>
      </c>
      <c r="M59" s="116">
        <f t="shared" si="46"/>
        <v>3.2500000000000001E-2</v>
      </c>
      <c r="N59" s="116">
        <f t="shared" si="46"/>
        <v>3.2500000000000001E-2</v>
      </c>
      <c r="O59" s="116">
        <f t="shared" si="46"/>
        <v>3.2500000000000001E-2</v>
      </c>
      <c r="P59" s="116"/>
      <c r="Q59" s="116"/>
      <c r="R59" s="116"/>
      <c r="S59" s="116"/>
      <c r="T59" s="116"/>
      <c r="U59" s="126"/>
    </row>
    <row r="60" spans="1:21" ht="14.45" customHeight="1">
      <c r="A60" s="62">
        <v>46</v>
      </c>
      <c r="B60" s="33" t="s">
        <v>31</v>
      </c>
      <c r="C60" s="62" t="s">
        <v>35</v>
      </c>
      <c r="D60" s="8">
        <f>(D57+D58)/2*D59/12</f>
        <v>1186.0498508888186</v>
      </c>
      <c r="E60" s="8">
        <f t="shared" ref="E60:O60" si="47">(D62+(E57+E58)/2)*E59/12</f>
        <v>2764.4082658072134</v>
      </c>
      <c r="F60" s="8">
        <f t="shared" si="47"/>
        <v>4578.7349673176986</v>
      </c>
      <c r="G60" s="8">
        <f t="shared" si="47"/>
        <v>8688.9148344992791</v>
      </c>
      <c r="H60" s="199">
        <f t="shared" si="47"/>
        <v>15564.877067159681</v>
      </c>
      <c r="I60" s="8">
        <f t="shared" si="47"/>
        <v>22610.081670132731</v>
      </c>
      <c r="J60" s="8">
        <f t="shared" si="47"/>
        <v>20581.782221077669</v>
      </c>
      <c r="K60" s="8">
        <f t="shared" si="47"/>
        <v>23875.936017787524</v>
      </c>
      <c r="L60" s="8">
        <f t="shared" si="47"/>
        <v>25355.754976867713</v>
      </c>
      <c r="M60" s="8">
        <f t="shared" si="47"/>
        <v>24315.117581869097</v>
      </c>
      <c r="N60" s="8">
        <f t="shared" si="47"/>
        <v>26513.560060953736</v>
      </c>
      <c r="O60" s="8">
        <f t="shared" si="47"/>
        <v>29530.696198464673</v>
      </c>
      <c r="P60" s="8"/>
      <c r="Q60" s="115">
        <f>SUM(D60:F60)</f>
        <v>8529.1930840137302</v>
      </c>
      <c r="R60" s="115">
        <f>SUM(G60:I60)</f>
        <v>46863.873571791686</v>
      </c>
      <c r="S60" s="115">
        <f>SUM(J60:L60)</f>
        <v>69813.473215732898</v>
      </c>
      <c r="T60" s="115">
        <f>SUM(M60:O60)</f>
        <v>80359.37384128751</v>
      </c>
      <c r="U60" s="126">
        <f>SUM(D60:O60)</f>
        <v>205565.9137128258</v>
      </c>
    </row>
    <row r="61" spans="1:21" ht="15.75" thickBot="1">
      <c r="A61" s="62">
        <v>47</v>
      </c>
      <c r="B61" s="9" t="s">
        <v>36</v>
      </c>
      <c r="C61" s="62"/>
      <c r="D61" s="11">
        <f>D57+D58+D60</f>
        <v>575081.13899063971</v>
      </c>
      <c r="E61" s="11">
        <f t="shared" ref="E61:U61" si="48">E57+E58+E60</f>
        <v>190219.03309446981</v>
      </c>
      <c r="F61" s="11">
        <f t="shared" si="48"/>
        <v>689495.31046695285</v>
      </c>
      <c r="G61" s="11">
        <f t="shared" si="48"/>
        <v>1489286.4976879046</v>
      </c>
      <c r="H61" s="11">
        <f t="shared" si="48"/>
        <v>1991759.8557836958</v>
      </c>
      <c r="I61" s="11">
        <f t="shared" si="48"/>
        <v>1574967.674531976</v>
      </c>
      <c r="J61" s="11">
        <f t="shared" si="48"/>
        <v>1400209.7962661867</v>
      </c>
      <c r="K61" s="11">
        <f t="shared" si="48"/>
        <v>908031.62053450546</v>
      </c>
      <c r="L61" s="11">
        <f t="shared" si="48"/>
        <v>128890.03568184926</v>
      </c>
      <c r="M61" s="11">
        <f t="shared" si="48"/>
        <v>84212.328885765601</v>
      </c>
      <c r="N61" s="11">
        <f t="shared" si="48"/>
        <v>1541451.3289173613</v>
      </c>
      <c r="O61" s="11">
        <f t="shared" si="48"/>
        <v>689604.80107437423</v>
      </c>
      <c r="P61" s="11"/>
      <c r="Q61" s="131">
        <f t="shared" si="48"/>
        <v>1454795.4825520625</v>
      </c>
      <c r="R61" s="131">
        <f t="shared" si="48"/>
        <v>5056014.0280035762</v>
      </c>
      <c r="S61" s="131">
        <f t="shared" si="48"/>
        <v>2437131.4524825411</v>
      </c>
      <c r="T61" s="131">
        <f t="shared" si="48"/>
        <v>2315268.4588775011</v>
      </c>
      <c r="U61" s="131">
        <f t="shared" si="48"/>
        <v>11263209.421915682</v>
      </c>
    </row>
    <row r="62" spans="1:21" ht="26.25">
      <c r="A62" s="62">
        <v>48</v>
      </c>
      <c r="B62" s="237" t="s">
        <v>172</v>
      </c>
      <c r="C62" s="62" t="str">
        <f>"Σ(("&amp;A57&amp;") ,("&amp;A58&amp;") , ("&amp;A60&amp;"))"</f>
        <v>Σ((43) ,(44) , (46))</v>
      </c>
      <c r="D62" s="66">
        <f>D57+D58+D60</f>
        <v>575081.13899063971</v>
      </c>
      <c r="E62" s="66">
        <f t="shared" ref="E62:O62" si="49">D62+E57+E58+E60</f>
        <v>765300.17208510952</v>
      </c>
      <c r="F62" s="66">
        <f t="shared" si="49"/>
        <v>1454795.4825520625</v>
      </c>
      <c r="G62" s="66">
        <f t="shared" si="49"/>
        <v>2944081.9802399673</v>
      </c>
      <c r="H62" s="67">
        <f t="shared" si="49"/>
        <v>4935841.8360236632</v>
      </c>
      <c r="I62" s="66">
        <f t="shared" si="49"/>
        <v>6510809.5105556389</v>
      </c>
      <c r="J62" s="66">
        <f t="shared" si="49"/>
        <v>7911019.3068218259</v>
      </c>
      <c r="K62" s="66">
        <f t="shared" si="49"/>
        <v>8819050.9273563307</v>
      </c>
      <c r="L62" s="66">
        <f t="shared" si="49"/>
        <v>8947940.96303818</v>
      </c>
      <c r="M62" s="66">
        <f t="shared" si="49"/>
        <v>9032153.2919239458</v>
      </c>
      <c r="N62" s="66">
        <f t="shared" si="49"/>
        <v>10573604.620841308</v>
      </c>
      <c r="O62" s="191">
        <f t="shared" si="49"/>
        <v>11263209.421915682</v>
      </c>
      <c r="P62" s="27"/>
      <c r="Q62" s="115"/>
      <c r="R62" s="115"/>
      <c r="S62" s="115"/>
      <c r="T62" s="115"/>
      <c r="U62" s="126"/>
    </row>
    <row r="63" spans="1:21" ht="14.45" hidden="1" customHeight="1" thickBot="1">
      <c r="A63" s="62"/>
      <c r="B63" s="33"/>
      <c r="C63" s="62"/>
      <c r="D63" s="66"/>
      <c r="E63" s="66"/>
      <c r="F63" s="66"/>
      <c r="G63" s="66"/>
      <c r="H63" s="67"/>
      <c r="I63" s="66"/>
      <c r="J63" s="66"/>
      <c r="K63" s="66"/>
      <c r="L63" s="66"/>
      <c r="M63" s="66"/>
      <c r="N63" s="66"/>
      <c r="O63" s="27"/>
      <c r="P63" s="27"/>
      <c r="Q63" s="131">
        <f>Q59+Q60+Q62</f>
        <v>8529.1930840137302</v>
      </c>
      <c r="R63" s="131">
        <f>R59+R60+R62</f>
        <v>46863.873571791686</v>
      </c>
      <c r="S63" s="131">
        <f>S59+S60+S62</f>
        <v>69813.473215732898</v>
      </c>
      <c r="T63" s="131">
        <f>T59+T60+T62</f>
        <v>80359.37384128751</v>
      </c>
      <c r="U63" s="131">
        <f>U59+U60+U62</f>
        <v>205565.9137128258</v>
      </c>
    </row>
    <row r="64" spans="1:21" ht="33" customHeight="1" thickBot="1">
      <c r="A64" s="2">
        <v>49</v>
      </c>
      <c r="B64" s="118" t="s">
        <v>174</v>
      </c>
      <c r="C64" s="2" t="str">
        <f>"("&amp;A$38&amp;") + ("&amp;A62&amp;")"</f>
        <v>(26) + (48)</v>
      </c>
      <c r="D64" s="13">
        <f t="shared" ref="D64:O64" si="50">D34+D62</f>
        <v>2362253.4549279478</v>
      </c>
      <c r="E64" s="13">
        <f t="shared" si="50"/>
        <v>3152941.5179611961</v>
      </c>
      <c r="F64" s="13">
        <f t="shared" si="50"/>
        <v>3661436.5616459167</v>
      </c>
      <c r="G64" s="13">
        <f t="shared" si="50"/>
        <v>4901222.5607710583</v>
      </c>
      <c r="H64" s="200">
        <f t="shared" si="50"/>
        <v>7627060.3194531836</v>
      </c>
      <c r="I64" s="13">
        <f t="shared" si="50"/>
        <v>9501441.037618123</v>
      </c>
      <c r="J64" s="13">
        <f t="shared" si="50"/>
        <v>9871197.6228363272</v>
      </c>
      <c r="K64" s="13">
        <f t="shared" si="50"/>
        <v>10145857.746441154</v>
      </c>
      <c r="L64" s="13">
        <f t="shared" si="50"/>
        <v>9412838.4334737081</v>
      </c>
      <c r="M64" s="13">
        <f t="shared" si="50"/>
        <v>9436658.4188571591</v>
      </c>
      <c r="N64" s="13">
        <f t="shared" si="50"/>
        <v>10241947.9811118</v>
      </c>
      <c r="O64" s="190">
        <f t="shared" si="50"/>
        <v>10452475.124464799</v>
      </c>
      <c r="P64" s="270"/>
      <c r="Q64" s="132"/>
      <c r="R64" s="132"/>
      <c r="S64" s="132"/>
      <c r="T64" s="132"/>
      <c r="U64" s="15"/>
    </row>
    <row r="65" spans="1:21" ht="33" customHeight="1">
      <c r="A65" s="301" t="s">
        <v>220</v>
      </c>
      <c r="B65" s="301"/>
      <c r="C65" s="301"/>
      <c r="D65" s="301"/>
      <c r="E65" s="301"/>
      <c r="F65" s="301"/>
      <c r="G65" s="301"/>
      <c r="H65" s="301"/>
      <c r="I65" s="301"/>
      <c r="J65" s="301"/>
      <c r="K65" s="301"/>
      <c r="L65" s="301"/>
      <c r="M65" s="301"/>
      <c r="N65" s="301"/>
      <c r="O65" s="301"/>
      <c r="P65" s="301"/>
      <c r="Q65" s="301"/>
      <c r="R65" s="301"/>
      <c r="S65" s="301"/>
      <c r="T65" s="301"/>
      <c r="U65" s="301"/>
    </row>
  </sheetData>
  <mergeCells count="2">
    <mergeCell ref="A35:U35"/>
    <mergeCell ref="A65:U65"/>
  </mergeCells>
  <printOptions horizontalCentered="1"/>
  <pageMargins left="0.7" right="0.71" top="1.0900000000000001" bottom="0.75" header="0.5" footer="0.5"/>
  <pageSetup scale="75" fitToWidth="2"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35"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0985-FF1C-4D4B-94BD-FCC9F9746E83}">
  <sheetPr>
    <tabColor rgb="FF92D050"/>
  </sheetPr>
  <dimension ref="A1:O84"/>
  <sheetViews>
    <sheetView topLeftCell="A5" zoomScaleNormal="100" workbookViewId="0">
      <pane ySplit="900" topLeftCell="A34" activePane="bottomLeft"/>
      <selection activeCell="B29" sqref="B29"/>
      <selection pane="bottomLeft" activeCell="B29" sqref="B29"/>
    </sheetView>
  </sheetViews>
  <sheetFormatPr defaultRowHeight="15"/>
  <cols>
    <col min="1" max="1" width="7.28515625" style="298" customWidth="1"/>
    <col min="2" max="2" width="39" style="71" customWidth="1"/>
    <col min="3" max="3" width="12.42578125" style="71" customWidth="1"/>
    <col min="4" max="5" width="12.7109375" style="71" customWidth="1"/>
    <col min="6" max="6" width="12.5703125" style="71" customWidth="1"/>
    <col min="7" max="7" width="12.7109375" style="71" customWidth="1"/>
    <col min="8" max="8" width="13" style="71" customWidth="1"/>
    <col min="9" max="9" width="13.28515625" style="71" bestFit="1" customWidth="1"/>
    <col min="10" max="10" width="12.42578125" style="71" customWidth="1"/>
    <col min="11" max="11" width="14" style="71" customWidth="1"/>
    <col min="12" max="12" width="12.5703125" style="71" customWidth="1"/>
    <col min="13" max="13" width="13.140625" style="71" customWidth="1"/>
    <col min="14" max="14" width="12.28515625" style="71" customWidth="1"/>
    <col min="15" max="15" width="13.5703125" style="71" customWidth="1"/>
    <col min="16" max="16384" width="9.140625" style="71"/>
  </cols>
  <sheetData>
    <row r="1" spans="1:15">
      <c r="A1" s="305" t="s">
        <v>207</v>
      </c>
      <c r="B1" s="305"/>
      <c r="C1" s="305"/>
      <c r="D1" s="305"/>
      <c r="E1" s="305"/>
      <c r="F1" s="305"/>
      <c r="G1" s="305"/>
      <c r="H1" s="305"/>
      <c r="I1" s="305"/>
      <c r="J1" s="305"/>
      <c r="K1" s="305"/>
      <c r="L1" s="305"/>
    </row>
    <row r="2" spans="1:15" ht="15.75" customHeight="1">
      <c r="A2" s="311" t="s">
        <v>286</v>
      </c>
      <c r="B2" s="311"/>
      <c r="C2" s="311"/>
      <c r="D2" s="311"/>
      <c r="E2" s="311"/>
      <c r="F2" s="311"/>
      <c r="G2" s="311"/>
      <c r="H2" s="311"/>
      <c r="I2" s="311"/>
      <c r="J2" s="311"/>
      <c r="K2" s="311"/>
      <c r="L2" s="311"/>
    </row>
    <row r="3" spans="1:15" ht="69.75" customHeight="1">
      <c r="A3" s="312" t="s">
        <v>287</v>
      </c>
      <c r="B3" s="312"/>
      <c r="C3" s="312"/>
      <c r="D3" s="312"/>
      <c r="E3" s="312"/>
      <c r="F3" s="312"/>
      <c r="G3" s="312"/>
      <c r="H3" s="312"/>
      <c r="I3" s="312"/>
      <c r="J3" s="312"/>
      <c r="K3" s="312"/>
      <c r="L3" s="312"/>
      <c r="M3" s="312"/>
      <c r="N3" s="312"/>
      <c r="O3" s="312"/>
    </row>
    <row r="4" spans="1:15" ht="60.75" customHeight="1">
      <c r="A4" s="312" t="s">
        <v>289</v>
      </c>
      <c r="B4" s="312"/>
      <c r="C4" s="312"/>
      <c r="D4" s="312"/>
      <c r="E4" s="312"/>
      <c r="F4" s="312"/>
      <c r="G4" s="312"/>
      <c r="H4" s="312"/>
      <c r="I4" s="312"/>
      <c r="J4" s="312"/>
      <c r="K4" s="312"/>
      <c r="L4" s="312"/>
      <c r="M4" s="312"/>
      <c r="N4" s="312"/>
      <c r="O4" s="312"/>
    </row>
    <row r="6" spans="1:15">
      <c r="A6" s="107" t="s">
        <v>1</v>
      </c>
      <c r="B6" s="269"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row>
    <row r="8" spans="1:15">
      <c r="A8" s="298">
        <v>1</v>
      </c>
      <c r="B8" s="71" t="s">
        <v>211</v>
      </c>
      <c r="C8" s="299">
        <v>951</v>
      </c>
      <c r="D8" s="299">
        <v>861</v>
      </c>
      <c r="E8" s="299">
        <v>809</v>
      </c>
      <c r="F8" s="299">
        <v>513</v>
      </c>
      <c r="G8" s="299">
        <v>292</v>
      </c>
      <c r="H8" s="299">
        <v>139</v>
      </c>
      <c r="I8" s="299">
        <v>21</v>
      </c>
      <c r="J8" s="299">
        <v>11</v>
      </c>
      <c r="K8" s="299">
        <v>88</v>
      </c>
      <c r="L8" s="299">
        <v>524</v>
      </c>
      <c r="M8" s="299">
        <v>826</v>
      </c>
      <c r="N8" s="299">
        <v>1021</v>
      </c>
      <c r="O8" s="266">
        <f>SUM(C8:N8)</f>
        <v>6056</v>
      </c>
    </row>
    <row r="9" spans="1:15">
      <c r="A9" s="298">
        <v>2</v>
      </c>
      <c r="B9" s="71" t="s">
        <v>212</v>
      </c>
      <c r="C9" s="299">
        <v>0</v>
      </c>
      <c r="D9" s="299">
        <v>0</v>
      </c>
      <c r="E9" s="299">
        <v>0</v>
      </c>
      <c r="F9" s="299">
        <v>0</v>
      </c>
      <c r="G9" s="299">
        <v>11</v>
      </c>
      <c r="H9" s="299">
        <v>49</v>
      </c>
      <c r="I9" s="299">
        <v>205</v>
      </c>
      <c r="J9" s="299">
        <v>223</v>
      </c>
      <c r="K9" s="299">
        <v>65</v>
      </c>
      <c r="L9" s="299">
        <v>3</v>
      </c>
      <c r="M9" s="299">
        <v>0</v>
      </c>
      <c r="N9" s="299">
        <v>0</v>
      </c>
      <c r="O9" s="266">
        <f>SUM(C9:N9)</f>
        <v>556</v>
      </c>
    </row>
    <row r="10" spans="1:15" ht="17.25" customHeight="1">
      <c r="B10" s="297" t="s">
        <v>257</v>
      </c>
    </row>
    <row r="11" spans="1:15">
      <c r="A11" s="298">
        <v>3</v>
      </c>
      <c r="B11" s="71" t="s">
        <v>208</v>
      </c>
      <c r="C11" s="299">
        <v>1102</v>
      </c>
      <c r="D11" s="299">
        <v>911</v>
      </c>
      <c r="E11" s="299">
        <v>777</v>
      </c>
      <c r="F11" s="299">
        <v>544</v>
      </c>
      <c r="G11" s="299">
        <v>295</v>
      </c>
      <c r="H11" s="299">
        <v>137</v>
      </c>
      <c r="I11" s="299">
        <v>26</v>
      </c>
      <c r="J11" s="299">
        <v>28</v>
      </c>
      <c r="K11" s="299">
        <v>160</v>
      </c>
      <c r="L11" s="299">
        <v>539</v>
      </c>
      <c r="M11" s="299">
        <v>866</v>
      </c>
      <c r="N11" s="299">
        <v>1129</v>
      </c>
      <c r="O11" s="266">
        <f>SUM(C11:N11)</f>
        <v>6514</v>
      </c>
    </row>
    <row r="12" spans="1:15">
      <c r="A12" s="298">
        <v>4</v>
      </c>
      <c r="B12" s="71" t="s">
        <v>209</v>
      </c>
      <c r="C12" s="299">
        <v>0</v>
      </c>
      <c r="D12" s="299">
        <v>0</v>
      </c>
      <c r="E12" s="299">
        <v>0</v>
      </c>
      <c r="F12" s="299">
        <v>0</v>
      </c>
      <c r="G12" s="299">
        <v>15</v>
      </c>
      <c r="H12" s="299">
        <v>53</v>
      </c>
      <c r="I12" s="299">
        <v>209</v>
      </c>
      <c r="J12" s="299">
        <v>187</v>
      </c>
      <c r="K12" s="299">
        <v>41</v>
      </c>
      <c r="L12" s="299">
        <v>1</v>
      </c>
      <c r="M12" s="299">
        <v>0</v>
      </c>
      <c r="N12" s="299">
        <v>0</v>
      </c>
      <c r="O12" s="266">
        <f>SUM(C12:N12)</f>
        <v>506</v>
      </c>
    </row>
    <row r="13" spans="1:15" ht="6.75" customHeight="1"/>
    <row r="14" spans="1:15">
      <c r="A14" s="298">
        <v>5</v>
      </c>
      <c r="B14" s="71" t="s">
        <v>210</v>
      </c>
      <c r="C14" s="266">
        <f>C11-C8</f>
        <v>151</v>
      </c>
      <c r="D14" s="266">
        <f t="shared" ref="D14:N15" si="1">D11-D8</f>
        <v>50</v>
      </c>
      <c r="E14" s="266">
        <f t="shared" si="1"/>
        <v>-32</v>
      </c>
      <c r="F14" s="266">
        <f t="shared" si="1"/>
        <v>31</v>
      </c>
      <c r="G14" s="266">
        <f t="shared" si="1"/>
        <v>3</v>
      </c>
      <c r="H14" s="266">
        <f t="shared" si="1"/>
        <v>-2</v>
      </c>
      <c r="I14" s="266">
        <f t="shared" si="1"/>
        <v>5</v>
      </c>
      <c r="J14" s="266">
        <f t="shared" si="1"/>
        <v>17</v>
      </c>
      <c r="K14" s="266">
        <f t="shared" si="1"/>
        <v>72</v>
      </c>
      <c r="L14" s="266">
        <f t="shared" si="1"/>
        <v>15</v>
      </c>
      <c r="M14" s="266">
        <f t="shared" si="1"/>
        <v>40</v>
      </c>
      <c r="N14" s="266">
        <f t="shared" si="1"/>
        <v>108</v>
      </c>
      <c r="O14" s="266">
        <f t="shared" ref="O14:O15" si="2">SUM(C14:N14)</f>
        <v>458</v>
      </c>
    </row>
    <row r="15" spans="1:15">
      <c r="A15" s="298">
        <v>6</v>
      </c>
      <c r="B15" s="71" t="s">
        <v>213</v>
      </c>
      <c r="C15" s="266">
        <f>C12-C9</f>
        <v>0</v>
      </c>
      <c r="D15" s="266">
        <f t="shared" si="1"/>
        <v>0</v>
      </c>
      <c r="E15" s="266">
        <f t="shared" si="1"/>
        <v>0</v>
      </c>
      <c r="F15" s="266">
        <f t="shared" si="1"/>
        <v>0</v>
      </c>
      <c r="G15" s="266">
        <f t="shared" si="1"/>
        <v>4</v>
      </c>
      <c r="H15" s="266">
        <f t="shared" si="1"/>
        <v>4</v>
      </c>
      <c r="I15" s="266">
        <f t="shared" si="1"/>
        <v>4</v>
      </c>
      <c r="J15" s="266">
        <f t="shared" si="1"/>
        <v>-36</v>
      </c>
      <c r="K15" s="266">
        <f t="shared" si="1"/>
        <v>-24</v>
      </c>
      <c r="L15" s="266">
        <f t="shared" si="1"/>
        <v>-2</v>
      </c>
      <c r="M15" s="266">
        <f t="shared" si="1"/>
        <v>0</v>
      </c>
      <c r="N15" s="266">
        <f t="shared" si="1"/>
        <v>0</v>
      </c>
      <c r="O15" s="266">
        <f t="shared" si="2"/>
        <v>-50</v>
      </c>
    </row>
    <row r="16" spans="1:15" ht="7.5" customHeight="1"/>
    <row r="17" spans="1:15">
      <c r="A17" s="298">
        <v>7</v>
      </c>
      <c r="B17" s="71" t="s">
        <v>214</v>
      </c>
      <c r="C17" s="299">
        <v>2885999</v>
      </c>
      <c r="D17" s="299">
        <v>952993</v>
      </c>
      <c r="E17" s="299">
        <v>-611265</v>
      </c>
      <c r="F17" s="299">
        <v>508693</v>
      </c>
      <c r="G17" s="299">
        <v>49001</v>
      </c>
      <c r="H17" s="299">
        <v>-32823</v>
      </c>
      <c r="I17" s="299">
        <v>92719</v>
      </c>
      <c r="J17" s="299">
        <v>314496</v>
      </c>
      <c r="K17" s="299">
        <v>1337412</v>
      </c>
      <c r="L17" s="299">
        <v>245548</v>
      </c>
      <c r="M17" s="299">
        <v>654491</v>
      </c>
      <c r="N17" s="299">
        <v>2018455</v>
      </c>
      <c r="O17" s="266">
        <f t="shared" ref="O17:O18" si="3">SUM(C17:N17)</f>
        <v>8415719</v>
      </c>
    </row>
    <row r="18" spans="1:15">
      <c r="A18" s="298">
        <v>8</v>
      </c>
      <c r="B18" s="71" t="s">
        <v>215</v>
      </c>
      <c r="C18" s="299">
        <v>899986</v>
      </c>
      <c r="D18" s="299">
        <v>299627</v>
      </c>
      <c r="E18" s="299">
        <v>-191070</v>
      </c>
      <c r="F18" s="299">
        <v>176686</v>
      </c>
      <c r="G18" s="299">
        <v>16934</v>
      </c>
      <c r="H18" s="299">
        <v>-11436</v>
      </c>
      <c r="I18" s="299">
        <v>34840</v>
      </c>
      <c r="J18" s="299">
        <v>117378</v>
      </c>
      <c r="K18" s="299">
        <v>502803</v>
      </c>
      <c r="L18" s="299">
        <v>85706</v>
      </c>
      <c r="M18" s="299">
        <v>227856</v>
      </c>
      <c r="N18" s="299">
        <v>641154</v>
      </c>
      <c r="O18" s="266">
        <f t="shared" si="3"/>
        <v>2800464</v>
      </c>
    </row>
    <row r="20" spans="1:15">
      <c r="B20" s="297" t="s">
        <v>252</v>
      </c>
      <c r="C20" s="160"/>
    </row>
    <row r="21" spans="1:15">
      <c r="A21" s="298">
        <v>9</v>
      </c>
      <c r="B21" s="71" t="s">
        <v>251</v>
      </c>
      <c r="C21" s="300">
        <v>1207300</v>
      </c>
      <c r="D21" s="300">
        <v>398666</v>
      </c>
      <c r="E21" s="300">
        <v>-255710</v>
      </c>
      <c r="F21" s="300">
        <v>237789</v>
      </c>
      <c r="G21" s="300">
        <v>22906</v>
      </c>
      <c r="H21" s="300">
        <v>-15343</v>
      </c>
      <c r="I21" s="300">
        <v>43341</v>
      </c>
      <c r="J21" s="300">
        <v>147011</v>
      </c>
      <c r="K21" s="300">
        <v>625173</v>
      </c>
      <c r="L21" s="300">
        <v>114781</v>
      </c>
      <c r="M21" s="300">
        <v>305942</v>
      </c>
      <c r="N21" s="300">
        <v>943527</v>
      </c>
      <c r="O21" s="268">
        <f>SUM(C21:N21)</f>
        <v>3775383</v>
      </c>
    </row>
    <row r="22" spans="1:15">
      <c r="A22" s="298">
        <v>10</v>
      </c>
      <c r="B22" s="71" t="s">
        <v>250</v>
      </c>
      <c r="C22" s="268">
        <f>C23-C21</f>
        <v>-1335450.4821801297</v>
      </c>
      <c r="D22" s="268">
        <f t="shared" ref="D22:N22" si="4">D23-D21</f>
        <v>-580103.22447195277</v>
      </c>
      <c r="E22" s="268">
        <f t="shared" si="4"/>
        <v>-537562.3422520766</v>
      </c>
      <c r="F22" s="268">
        <f t="shared" si="4"/>
        <v>741355.12242862955</v>
      </c>
      <c r="G22" s="268">
        <f t="shared" si="4"/>
        <v>513858.47151814075</v>
      </c>
      <c r="H22" s="268">
        <f t="shared" si="4"/>
        <v>100528.34827550803</v>
      </c>
      <c r="I22" s="268">
        <f t="shared" si="4"/>
        <v>-100499.35277273017</v>
      </c>
      <c r="J22" s="268">
        <f t="shared" si="4"/>
        <v>-99847.087760570459</v>
      </c>
      <c r="K22" s="268">
        <f t="shared" si="4"/>
        <v>-354522.44792674179</v>
      </c>
      <c r="L22" s="268">
        <f t="shared" si="4"/>
        <v>96845.042844327167</v>
      </c>
      <c r="M22" s="268">
        <f t="shared" si="4"/>
        <v>-568962.67139834724</v>
      </c>
      <c r="N22" s="268">
        <f t="shared" si="4"/>
        <v>-432543.451104315</v>
      </c>
      <c r="O22" s="268">
        <f>SUM(C22:N22)</f>
        <v>-2556904.0748002585</v>
      </c>
    </row>
    <row r="23" spans="1:15">
      <c r="A23" s="298">
        <v>11</v>
      </c>
      <c r="B23" s="71" t="s">
        <v>253</v>
      </c>
      <c r="C23" s="296">
        <f>'Nat Gas Deferral'!D$27</f>
        <v>-128150.48218012974</v>
      </c>
      <c r="D23" s="296">
        <f>'Nat Gas Deferral'!E$27</f>
        <v>-181437.22447195277</v>
      </c>
      <c r="E23" s="296">
        <f>'Nat Gas Deferral'!F$27</f>
        <v>-793272.3422520766</v>
      </c>
      <c r="F23" s="296">
        <f>'Nat Gas Deferral'!G$27</f>
        <v>979144.12242862955</v>
      </c>
      <c r="G23" s="296">
        <f>'Nat Gas Deferral'!H$27</f>
        <v>536764.47151814075</v>
      </c>
      <c r="H23" s="296">
        <f>'Nat Gas Deferral'!I$27</f>
        <v>85185.348275508033</v>
      </c>
      <c r="I23" s="296">
        <f>'Nat Gas Deferral'!J$27</f>
        <v>-57158.35277273017</v>
      </c>
      <c r="J23" s="296">
        <f>'Nat Gas Deferral'!K$27</f>
        <v>47163.912239429541</v>
      </c>
      <c r="K23" s="296">
        <f>'Nat Gas Deferral'!L$27</f>
        <v>270650.55207325821</v>
      </c>
      <c r="L23" s="296">
        <f>'Nat Gas Deferral'!M$27</f>
        <v>211626.04284432717</v>
      </c>
      <c r="M23" s="296">
        <f>'Nat Gas Deferral'!N$27</f>
        <v>-263020.67139834724</v>
      </c>
      <c r="N23" s="296">
        <f>'Nat Gas Deferral'!O$27</f>
        <v>510983.548895685</v>
      </c>
      <c r="O23" s="268">
        <f>SUM(C23:N23)</f>
        <v>1218478.9251997417</v>
      </c>
    </row>
    <row r="25" spans="1:15">
      <c r="A25" s="298">
        <v>12</v>
      </c>
      <c r="B25" s="71" t="s">
        <v>254</v>
      </c>
      <c r="C25" s="300">
        <v>236751</v>
      </c>
      <c r="D25" s="300">
        <v>78820</v>
      </c>
      <c r="E25" s="300">
        <v>-50263</v>
      </c>
      <c r="F25" s="300">
        <v>49647</v>
      </c>
      <c r="G25" s="300">
        <v>4758</v>
      </c>
      <c r="H25" s="300">
        <v>-3213</v>
      </c>
      <c r="I25" s="300">
        <v>9790</v>
      </c>
      <c r="J25" s="300">
        <v>32982</v>
      </c>
      <c r="K25" s="300">
        <v>141283</v>
      </c>
      <c r="L25" s="300">
        <v>24083</v>
      </c>
      <c r="M25" s="300">
        <v>64025</v>
      </c>
      <c r="N25" s="300">
        <v>180158</v>
      </c>
      <c r="O25" s="268">
        <f>SUM(C25:N25)</f>
        <v>768821</v>
      </c>
    </row>
    <row r="26" spans="1:15">
      <c r="A26" s="298">
        <v>13</v>
      </c>
      <c r="B26" s="71" t="s">
        <v>255</v>
      </c>
      <c r="C26" s="268">
        <f>C27-C25</f>
        <v>-520366.00417154189</v>
      </c>
      <c r="D26" s="268">
        <f t="shared" ref="D26:N26" si="5">D27-D25</f>
        <v>-230107.42311927257</v>
      </c>
      <c r="E26" s="268">
        <f t="shared" si="5"/>
        <v>-149849.94145739079</v>
      </c>
      <c r="F26" s="268">
        <f t="shared" si="5"/>
        <v>283560.02767893358</v>
      </c>
      <c r="G26" s="268">
        <f t="shared" si="5"/>
        <v>188594.35385942017</v>
      </c>
      <c r="H26" s="268">
        <f t="shared" si="5"/>
        <v>245894.95453201944</v>
      </c>
      <c r="I26" s="268">
        <f t="shared" si="5"/>
        <v>58792.018166062189</v>
      </c>
      <c r="J26" s="268">
        <f t="shared" si="5"/>
        <v>78546.116493226844</v>
      </c>
      <c r="K26" s="268">
        <f t="shared" si="5"/>
        <v>-14419.075535204902</v>
      </c>
      <c r="L26" s="268">
        <f t="shared" si="5"/>
        <v>-183305.37358068884</v>
      </c>
      <c r="M26" s="268">
        <f t="shared" si="5"/>
        <v>109099.27670514025</v>
      </c>
      <c r="N26" s="268">
        <f t="shared" si="5"/>
        <v>-169753.84674795624</v>
      </c>
      <c r="O26" s="268">
        <f>SUM(C26:N26)</f>
        <v>-303314.91717725276</v>
      </c>
    </row>
    <row r="27" spans="1:15">
      <c r="A27" s="298">
        <v>14</v>
      </c>
      <c r="B27" s="71" t="s">
        <v>256</v>
      </c>
      <c r="C27" s="296">
        <f>'Nat Gas Deferral'!D$53</f>
        <v>-283615.00417154189</v>
      </c>
      <c r="D27" s="296">
        <f>'Nat Gas Deferral'!E$53</f>
        <v>-151287.42311927257</v>
      </c>
      <c r="E27" s="296">
        <f>'Nat Gas Deferral'!F$53</f>
        <v>-200112.94145739079</v>
      </c>
      <c r="F27" s="296">
        <f>'Nat Gas Deferral'!G$53</f>
        <v>333207.02767893358</v>
      </c>
      <c r="G27" s="296">
        <f>'Nat Gas Deferral'!H$53</f>
        <v>193352.35385942017</v>
      </c>
      <c r="H27" s="296">
        <f>'Nat Gas Deferral'!I$53</f>
        <v>242681.95453201944</v>
      </c>
      <c r="I27" s="296">
        <f>'Nat Gas Deferral'!J$53</f>
        <v>68582.018166062189</v>
      </c>
      <c r="J27" s="296">
        <f>'Nat Gas Deferral'!K$53</f>
        <v>111528.11649322684</v>
      </c>
      <c r="K27" s="296">
        <f>'Nat Gas Deferral'!L$53</f>
        <v>126863.9244647951</v>
      </c>
      <c r="L27" s="296">
        <f>'Nat Gas Deferral'!M$53</f>
        <v>-159222.37358068884</v>
      </c>
      <c r="M27" s="296">
        <f>'Nat Gas Deferral'!N$53</f>
        <v>173124.27670514025</v>
      </c>
      <c r="N27" s="296">
        <f>'Nat Gas Deferral'!O$53</f>
        <v>10404.153252043761</v>
      </c>
      <c r="O27" s="268">
        <f>SUM(C27:N27)</f>
        <v>465506.08282274724</v>
      </c>
    </row>
    <row r="29" spans="1:15">
      <c r="B29" s="297" t="s">
        <v>258</v>
      </c>
    </row>
    <row r="30" spans="1:15">
      <c r="A30" s="298">
        <v>15</v>
      </c>
      <c r="B30" s="71" t="s">
        <v>259</v>
      </c>
      <c r="C30" s="299">
        <v>1099</v>
      </c>
      <c r="D30" s="299">
        <v>927</v>
      </c>
      <c r="E30" s="299">
        <v>778</v>
      </c>
      <c r="F30" s="299">
        <v>544</v>
      </c>
      <c r="G30" s="299">
        <v>285</v>
      </c>
      <c r="H30" s="299">
        <v>129</v>
      </c>
      <c r="I30" s="299">
        <v>17</v>
      </c>
      <c r="J30" s="299">
        <v>21</v>
      </c>
      <c r="K30" s="299">
        <v>164</v>
      </c>
      <c r="L30" s="299">
        <v>529</v>
      </c>
      <c r="M30" s="299">
        <v>870</v>
      </c>
      <c r="N30" s="299">
        <v>1125</v>
      </c>
      <c r="O30" s="266">
        <f>SUM(C30:N30)</f>
        <v>6488</v>
      </c>
    </row>
    <row r="31" spans="1:15">
      <c r="A31" s="298">
        <v>16</v>
      </c>
      <c r="B31" s="71" t="s">
        <v>260</v>
      </c>
      <c r="C31" s="299">
        <v>0</v>
      </c>
      <c r="D31" s="299">
        <v>0</v>
      </c>
      <c r="E31" s="299">
        <v>0</v>
      </c>
      <c r="F31" s="299">
        <v>0</v>
      </c>
      <c r="G31" s="299">
        <v>17</v>
      </c>
      <c r="H31" s="299">
        <v>60</v>
      </c>
      <c r="I31" s="299">
        <v>234</v>
      </c>
      <c r="J31" s="299">
        <v>201</v>
      </c>
      <c r="K31" s="299">
        <v>45</v>
      </c>
      <c r="L31" s="299">
        <v>1</v>
      </c>
      <c r="M31" s="299">
        <v>0</v>
      </c>
      <c r="N31" s="299">
        <v>0</v>
      </c>
      <c r="O31" s="266">
        <f>SUM(C31:N31)</f>
        <v>558</v>
      </c>
    </row>
    <row r="33" spans="1:15">
      <c r="A33" s="298">
        <v>17</v>
      </c>
      <c r="B33" s="71" t="s">
        <v>210</v>
      </c>
      <c r="C33" s="266">
        <f>C30-C8</f>
        <v>148</v>
      </c>
      <c r="D33" s="266">
        <f t="shared" ref="D33:N34" si="6">D30-D8</f>
        <v>66</v>
      </c>
      <c r="E33" s="266">
        <f t="shared" si="6"/>
        <v>-31</v>
      </c>
      <c r="F33" s="266">
        <f t="shared" si="6"/>
        <v>31</v>
      </c>
      <c r="G33" s="266">
        <f t="shared" si="6"/>
        <v>-7</v>
      </c>
      <c r="H33" s="266">
        <f t="shared" si="6"/>
        <v>-10</v>
      </c>
      <c r="I33" s="266">
        <f t="shared" si="6"/>
        <v>-4</v>
      </c>
      <c r="J33" s="266">
        <f t="shared" si="6"/>
        <v>10</v>
      </c>
      <c r="K33" s="266">
        <f t="shared" si="6"/>
        <v>76</v>
      </c>
      <c r="L33" s="266">
        <f t="shared" si="6"/>
        <v>5</v>
      </c>
      <c r="M33" s="266">
        <f t="shared" si="6"/>
        <v>44</v>
      </c>
      <c r="N33" s="266">
        <f t="shared" si="6"/>
        <v>104</v>
      </c>
      <c r="O33" s="266">
        <f t="shared" ref="O33:O34" si="7">SUM(C33:N33)</f>
        <v>432</v>
      </c>
    </row>
    <row r="34" spans="1:15">
      <c r="A34" s="298">
        <v>18</v>
      </c>
      <c r="B34" s="71" t="s">
        <v>213</v>
      </c>
      <c r="C34" s="266">
        <f>C31-C9</f>
        <v>0</v>
      </c>
      <c r="D34" s="266">
        <f t="shared" si="6"/>
        <v>0</v>
      </c>
      <c r="E34" s="266">
        <f t="shared" si="6"/>
        <v>0</v>
      </c>
      <c r="F34" s="266">
        <f t="shared" si="6"/>
        <v>0</v>
      </c>
      <c r="G34" s="266">
        <f t="shared" si="6"/>
        <v>6</v>
      </c>
      <c r="H34" s="266">
        <f t="shared" si="6"/>
        <v>11</v>
      </c>
      <c r="I34" s="266">
        <f t="shared" si="6"/>
        <v>29</v>
      </c>
      <c r="J34" s="266">
        <f t="shared" si="6"/>
        <v>-22</v>
      </c>
      <c r="K34" s="266">
        <f t="shared" si="6"/>
        <v>-20</v>
      </c>
      <c r="L34" s="266">
        <f t="shared" si="6"/>
        <v>-2</v>
      </c>
      <c r="M34" s="266">
        <f t="shared" si="6"/>
        <v>0</v>
      </c>
      <c r="N34" s="266">
        <f t="shared" si="6"/>
        <v>0</v>
      </c>
      <c r="O34" s="266">
        <f t="shared" si="7"/>
        <v>2</v>
      </c>
    </row>
    <row r="36" spans="1:15">
      <c r="A36" s="298">
        <v>19</v>
      </c>
      <c r="B36" s="71" t="s">
        <v>261</v>
      </c>
      <c r="C36" s="299">
        <v>2828661</v>
      </c>
      <c r="D36" s="299">
        <v>1257951</v>
      </c>
      <c r="E36" s="299">
        <v>-592162</v>
      </c>
      <c r="F36" s="299">
        <v>508693</v>
      </c>
      <c r="G36" s="299">
        <v>-114336</v>
      </c>
      <c r="H36" s="299">
        <v>-164116</v>
      </c>
      <c r="I36" s="299">
        <v>-74175</v>
      </c>
      <c r="J36" s="299">
        <v>184997</v>
      </c>
      <c r="K36" s="299">
        <v>1411713</v>
      </c>
      <c r="L36" s="299">
        <v>81849</v>
      </c>
      <c r="M36" s="299">
        <v>719940</v>
      </c>
      <c r="N36" s="299">
        <v>1943697</v>
      </c>
      <c r="O36" s="266">
        <f t="shared" ref="O36:O37" si="8">SUM(C36:N36)</f>
        <v>7992712</v>
      </c>
    </row>
    <row r="37" spans="1:15">
      <c r="A37" s="298">
        <v>20</v>
      </c>
      <c r="B37" s="71" t="s">
        <v>262</v>
      </c>
      <c r="C37" s="299">
        <v>882105</v>
      </c>
      <c r="D37" s="299">
        <v>395508</v>
      </c>
      <c r="E37" s="299">
        <v>-185100</v>
      </c>
      <c r="F37" s="299">
        <v>176686</v>
      </c>
      <c r="G37" s="299">
        <v>-39514</v>
      </c>
      <c r="H37" s="299">
        <v>-57181</v>
      </c>
      <c r="I37" s="299">
        <v>-27871</v>
      </c>
      <c r="J37" s="299">
        <v>69046</v>
      </c>
      <c r="K37" s="299">
        <v>530736</v>
      </c>
      <c r="L37" s="299">
        <v>28568</v>
      </c>
      <c r="M37" s="299">
        <v>250641</v>
      </c>
      <c r="N37" s="299">
        <v>617407</v>
      </c>
      <c r="O37" s="266">
        <f t="shared" si="8"/>
        <v>2641031</v>
      </c>
    </row>
    <row r="39" spans="1:15">
      <c r="B39" s="297" t="s">
        <v>252</v>
      </c>
      <c r="C39" s="160"/>
    </row>
    <row r="40" spans="1:15">
      <c r="A40" s="298">
        <v>21</v>
      </c>
      <c r="B40" s="71" t="s">
        <v>251</v>
      </c>
      <c r="C40" s="300">
        <v>1183314</v>
      </c>
      <c r="D40" s="300">
        <v>526239</v>
      </c>
      <c r="E40" s="300">
        <v>-247719</v>
      </c>
      <c r="F40" s="300">
        <v>237789</v>
      </c>
      <c r="G40" s="300">
        <v>-53446</v>
      </c>
      <c r="H40" s="300">
        <v>-76716</v>
      </c>
      <c r="I40" s="300">
        <v>-34673</v>
      </c>
      <c r="J40" s="300">
        <v>86477</v>
      </c>
      <c r="K40" s="300">
        <v>659905</v>
      </c>
      <c r="L40" s="300">
        <v>38260</v>
      </c>
      <c r="M40" s="300">
        <v>336536</v>
      </c>
      <c r="N40" s="300">
        <v>908581</v>
      </c>
      <c r="O40" s="268">
        <f>SUM(C40:N40)</f>
        <v>3564547</v>
      </c>
    </row>
    <row r="41" spans="1:15">
      <c r="A41" s="298">
        <v>22</v>
      </c>
      <c r="B41" s="71" t="s">
        <v>250</v>
      </c>
      <c r="C41" s="268">
        <f>C42-C40</f>
        <v>-1311464.4821801297</v>
      </c>
      <c r="D41" s="268">
        <f t="shared" ref="D41:E41" si="9">D42-D40</f>
        <v>-707676.22447195277</v>
      </c>
      <c r="E41" s="268">
        <f t="shared" si="9"/>
        <v>-545553.3422520766</v>
      </c>
      <c r="F41" s="268">
        <f>F42-F40</f>
        <v>741355.12242862955</v>
      </c>
      <c r="G41" s="268">
        <f t="shared" ref="G41:N41" si="10">G42-G40</f>
        <v>590210.47151814075</v>
      </c>
      <c r="H41" s="268">
        <f t="shared" si="10"/>
        <v>161901.34827550803</v>
      </c>
      <c r="I41" s="268">
        <f t="shared" si="10"/>
        <v>-22485.35277273017</v>
      </c>
      <c r="J41" s="268">
        <f t="shared" si="10"/>
        <v>-39313.087760570459</v>
      </c>
      <c r="K41" s="268">
        <f t="shared" si="10"/>
        <v>-389254.44792674179</v>
      </c>
      <c r="L41" s="268">
        <f t="shared" si="10"/>
        <v>173366.04284432717</v>
      </c>
      <c r="M41" s="268">
        <f t="shared" si="10"/>
        <v>-599556.67139834724</v>
      </c>
      <c r="N41" s="268">
        <f t="shared" si="10"/>
        <v>-397597.451104315</v>
      </c>
      <c r="O41" s="268">
        <f>SUM(C41:N41)</f>
        <v>-2346068.0748002585</v>
      </c>
    </row>
    <row r="42" spans="1:15">
      <c r="A42" s="298">
        <v>23</v>
      </c>
      <c r="B42" s="71" t="s">
        <v>253</v>
      </c>
      <c r="C42" s="296">
        <f>'Nat Gas Deferral'!D$27</f>
        <v>-128150.48218012974</v>
      </c>
      <c r="D42" s="296">
        <f>'Nat Gas Deferral'!E$27</f>
        <v>-181437.22447195277</v>
      </c>
      <c r="E42" s="296">
        <f>'Nat Gas Deferral'!F$27</f>
        <v>-793272.3422520766</v>
      </c>
      <c r="F42" s="296">
        <f>'Nat Gas Deferral'!G$27</f>
        <v>979144.12242862955</v>
      </c>
      <c r="G42" s="296">
        <f>'Nat Gas Deferral'!H$27</f>
        <v>536764.47151814075</v>
      </c>
      <c r="H42" s="296">
        <f>'Nat Gas Deferral'!I$27</f>
        <v>85185.348275508033</v>
      </c>
      <c r="I42" s="296">
        <f>'Nat Gas Deferral'!J$27</f>
        <v>-57158.35277273017</v>
      </c>
      <c r="J42" s="296">
        <f>'Nat Gas Deferral'!K$27</f>
        <v>47163.912239429541</v>
      </c>
      <c r="K42" s="296">
        <f>'Nat Gas Deferral'!L$27</f>
        <v>270650.55207325821</v>
      </c>
      <c r="L42" s="296">
        <f>'Nat Gas Deferral'!M$27</f>
        <v>211626.04284432717</v>
      </c>
      <c r="M42" s="296">
        <f>'Nat Gas Deferral'!N$27</f>
        <v>-263020.67139834724</v>
      </c>
      <c r="N42" s="296">
        <f>'Nat Gas Deferral'!O$27</f>
        <v>510983.548895685</v>
      </c>
      <c r="O42" s="268">
        <f>SUM(C42:N42)</f>
        <v>1218478.9251997417</v>
      </c>
    </row>
    <row r="44" spans="1:15">
      <c r="A44" s="298">
        <v>24</v>
      </c>
      <c r="B44" s="71" t="s">
        <v>254</v>
      </c>
      <c r="C44" s="300">
        <v>232047</v>
      </c>
      <c r="D44" s="300">
        <v>104042</v>
      </c>
      <c r="E44" s="300">
        <v>-48693</v>
      </c>
      <c r="F44" s="300">
        <v>49647</v>
      </c>
      <c r="G44" s="300">
        <v>-11103</v>
      </c>
      <c r="H44" s="300">
        <v>-16067</v>
      </c>
      <c r="I44" s="300">
        <v>-7831</v>
      </c>
      <c r="J44" s="300">
        <v>19401</v>
      </c>
      <c r="K44" s="300">
        <v>149132</v>
      </c>
      <c r="L44" s="300">
        <v>8027</v>
      </c>
      <c r="M44" s="300">
        <v>70428</v>
      </c>
      <c r="N44" s="300">
        <v>173485</v>
      </c>
      <c r="O44" s="268">
        <f>SUM(C44:N44)</f>
        <v>722515</v>
      </c>
    </row>
    <row r="45" spans="1:15">
      <c r="A45" s="298">
        <v>25</v>
      </c>
      <c r="B45" s="71" t="s">
        <v>255</v>
      </c>
      <c r="C45" s="268">
        <f>C46-C44</f>
        <v>-515662.00417154189</v>
      </c>
      <c r="D45" s="268">
        <f t="shared" ref="D45:N45" si="11">D46-D44</f>
        <v>-255329.42311927257</v>
      </c>
      <c r="E45" s="268">
        <f t="shared" si="11"/>
        <v>-151419.94145739079</v>
      </c>
      <c r="F45" s="268">
        <f t="shared" si="11"/>
        <v>283560.02767893358</v>
      </c>
      <c r="G45" s="268">
        <f t="shared" si="11"/>
        <v>204455.35385942017</v>
      </c>
      <c r="H45" s="268">
        <f t="shared" si="11"/>
        <v>258748.95453201944</v>
      </c>
      <c r="I45" s="268">
        <f t="shared" si="11"/>
        <v>76413.018166062189</v>
      </c>
      <c r="J45" s="268">
        <f t="shared" si="11"/>
        <v>92127.116493226844</v>
      </c>
      <c r="K45" s="268">
        <f t="shared" si="11"/>
        <v>-22268.075535204902</v>
      </c>
      <c r="L45" s="268">
        <f t="shared" si="11"/>
        <v>-167249.37358068884</v>
      </c>
      <c r="M45" s="268">
        <f t="shared" si="11"/>
        <v>102696.27670514025</v>
      </c>
      <c r="N45" s="268">
        <f t="shared" si="11"/>
        <v>-163080.84674795624</v>
      </c>
      <c r="O45" s="268">
        <f>SUM(C45:N45)</f>
        <v>-257008.91717725276</v>
      </c>
    </row>
    <row r="46" spans="1:15">
      <c r="A46" s="298">
        <v>26</v>
      </c>
      <c r="B46" s="71" t="s">
        <v>256</v>
      </c>
      <c r="C46" s="296">
        <f>'Nat Gas Deferral'!D$53</f>
        <v>-283615.00417154189</v>
      </c>
      <c r="D46" s="296">
        <f>'Nat Gas Deferral'!E$53</f>
        <v>-151287.42311927257</v>
      </c>
      <c r="E46" s="296">
        <f>'Nat Gas Deferral'!F$53</f>
        <v>-200112.94145739079</v>
      </c>
      <c r="F46" s="296">
        <f>'Nat Gas Deferral'!G$53</f>
        <v>333207.02767893358</v>
      </c>
      <c r="G46" s="296">
        <f>'Nat Gas Deferral'!H$53</f>
        <v>193352.35385942017</v>
      </c>
      <c r="H46" s="296">
        <f>'Nat Gas Deferral'!I$53</f>
        <v>242681.95453201944</v>
      </c>
      <c r="I46" s="296">
        <f>'Nat Gas Deferral'!J$53</f>
        <v>68582.018166062189</v>
      </c>
      <c r="J46" s="296">
        <f>'Nat Gas Deferral'!K$53</f>
        <v>111528.11649322684</v>
      </c>
      <c r="K46" s="296">
        <f>'Nat Gas Deferral'!L$53</f>
        <v>126863.9244647951</v>
      </c>
      <c r="L46" s="296">
        <f>'Nat Gas Deferral'!M$53</f>
        <v>-159222.37358068884</v>
      </c>
      <c r="M46" s="296">
        <f>'Nat Gas Deferral'!N$53</f>
        <v>173124.27670514025</v>
      </c>
      <c r="N46" s="296">
        <f>'Nat Gas Deferral'!O$53</f>
        <v>10404.153252043761</v>
      </c>
      <c r="O46" s="268">
        <f>SUM(C46:N46)</f>
        <v>465506.08282274724</v>
      </c>
    </row>
    <row r="48" spans="1:15">
      <c r="B48" s="297" t="s">
        <v>263</v>
      </c>
    </row>
    <row r="49" spans="1:15">
      <c r="A49" s="298">
        <v>27</v>
      </c>
      <c r="B49" s="71" t="s">
        <v>264</v>
      </c>
      <c r="C49" s="299">
        <v>1098</v>
      </c>
      <c r="D49" s="299">
        <v>925</v>
      </c>
      <c r="E49" s="299">
        <v>780</v>
      </c>
      <c r="F49" s="299">
        <v>541</v>
      </c>
      <c r="G49" s="299">
        <v>269</v>
      </c>
      <c r="H49" s="299">
        <v>123</v>
      </c>
      <c r="I49" s="299">
        <v>14</v>
      </c>
      <c r="J49" s="299">
        <v>19</v>
      </c>
      <c r="K49" s="299">
        <v>154</v>
      </c>
      <c r="L49" s="299">
        <v>522</v>
      </c>
      <c r="M49" s="299">
        <v>852</v>
      </c>
      <c r="N49" s="299">
        <v>1137</v>
      </c>
      <c r="O49" s="266">
        <f>SUM(C49:N49)</f>
        <v>6434</v>
      </c>
    </row>
    <row r="50" spans="1:15">
      <c r="A50" s="298">
        <v>28</v>
      </c>
      <c r="B50" s="71" t="s">
        <v>265</v>
      </c>
      <c r="C50" s="299">
        <v>0</v>
      </c>
      <c r="D50" s="299">
        <v>0</v>
      </c>
      <c r="E50" s="299">
        <v>0</v>
      </c>
      <c r="F50" s="299">
        <v>1</v>
      </c>
      <c r="G50" s="299">
        <v>19</v>
      </c>
      <c r="H50" s="299">
        <v>63</v>
      </c>
      <c r="I50" s="299">
        <v>240</v>
      </c>
      <c r="J50" s="299">
        <v>210</v>
      </c>
      <c r="K50" s="299">
        <v>49</v>
      </c>
      <c r="L50" s="299">
        <v>1</v>
      </c>
      <c r="M50" s="299">
        <v>0</v>
      </c>
      <c r="N50" s="299">
        <v>0</v>
      </c>
      <c r="O50" s="266">
        <f>SUM(C50:N50)</f>
        <v>583</v>
      </c>
    </row>
    <row r="52" spans="1:15">
      <c r="A52" s="298">
        <v>29</v>
      </c>
      <c r="B52" s="71" t="s">
        <v>210</v>
      </c>
      <c r="C52" s="266">
        <f>C49-C8</f>
        <v>147</v>
      </c>
      <c r="D52" s="266">
        <f t="shared" ref="D52:N53" si="12">D49-D8</f>
        <v>64</v>
      </c>
      <c r="E52" s="266">
        <f t="shared" si="12"/>
        <v>-29</v>
      </c>
      <c r="F52" s="266">
        <f t="shared" si="12"/>
        <v>28</v>
      </c>
      <c r="G52" s="266">
        <f t="shared" si="12"/>
        <v>-23</v>
      </c>
      <c r="H52" s="266">
        <f t="shared" si="12"/>
        <v>-16</v>
      </c>
      <c r="I52" s="266">
        <f t="shared" si="12"/>
        <v>-7</v>
      </c>
      <c r="J52" s="266">
        <f t="shared" si="12"/>
        <v>8</v>
      </c>
      <c r="K52" s="266">
        <f t="shared" si="12"/>
        <v>66</v>
      </c>
      <c r="L52" s="266">
        <f t="shared" si="12"/>
        <v>-2</v>
      </c>
      <c r="M52" s="266">
        <f t="shared" si="12"/>
        <v>26</v>
      </c>
      <c r="N52" s="266">
        <f t="shared" si="12"/>
        <v>116</v>
      </c>
      <c r="O52" s="266">
        <f t="shared" ref="O52:O53" si="13">SUM(C52:N52)</f>
        <v>378</v>
      </c>
    </row>
    <row r="53" spans="1:15">
      <c r="A53" s="298">
        <v>30</v>
      </c>
      <c r="B53" s="71" t="s">
        <v>213</v>
      </c>
      <c r="C53" s="266">
        <f>C50-C9</f>
        <v>0</v>
      </c>
      <c r="D53" s="266">
        <f t="shared" si="12"/>
        <v>0</v>
      </c>
      <c r="E53" s="266">
        <f t="shared" si="12"/>
        <v>0</v>
      </c>
      <c r="F53" s="266">
        <f t="shared" si="12"/>
        <v>1</v>
      </c>
      <c r="G53" s="266">
        <f t="shared" si="12"/>
        <v>8</v>
      </c>
      <c r="H53" s="266">
        <f t="shared" si="12"/>
        <v>14</v>
      </c>
      <c r="I53" s="266">
        <f t="shared" si="12"/>
        <v>35</v>
      </c>
      <c r="J53" s="266">
        <f t="shared" si="12"/>
        <v>-13</v>
      </c>
      <c r="K53" s="266">
        <f t="shared" si="12"/>
        <v>-16</v>
      </c>
      <c r="L53" s="266">
        <f t="shared" si="12"/>
        <v>-2</v>
      </c>
      <c r="M53" s="266">
        <f t="shared" si="12"/>
        <v>0</v>
      </c>
      <c r="N53" s="266">
        <f t="shared" si="12"/>
        <v>0</v>
      </c>
      <c r="O53" s="266">
        <f t="shared" si="13"/>
        <v>27</v>
      </c>
    </row>
    <row r="55" spans="1:15">
      <c r="A55" s="298">
        <v>31</v>
      </c>
      <c r="B55" s="71" t="s">
        <v>266</v>
      </c>
      <c r="C55" s="299">
        <v>2809549</v>
      </c>
      <c r="D55" s="299">
        <v>1219830</v>
      </c>
      <c r="E55" s="299">
        <v>-553958</v>
      </c>
      <c r="F55" s="299">
        <v>459466</v>
      </c>
      <c r="G55" s="299">
        <v>-375677</v>
      </c>
      <c r="H55" s="299">
        <v>-262584</v>
      </c>
      <c r="I55" s="299">
        <v>-129807</v>
      </c>
      <c r="J55" s="299">
        <v>147999</v>
      </c>
      <c r="K55" s="299">
        <v>1225961</v>
      </c>
      <c r="L55" s="299">
        <v>-32740</v>
      </c>
      <c r="M55" s="299">
        <v>425419</v>
      </c>
      <c r="N55" s="299">
        <v>2167970</v>
      </c>
      <c r="O55" s="266">
        <f t="shared" ref="O55:O56" si="14">SUM(C55:N55)</f>
        <v>7101428</v>
      </c>
    </row>
    <row r="56" spans="1:15">
      <c r="A56" s="298">
        <v>32</v>
      </c>
      <c r="B56" s="71" t="s">
        <v>267</v>
      </c>
      <c r="C56" s="299">
        <v>876144</v>
      </c>
      <c r="D56" s="299">
        <v>383523</v>
      </c>
      <c r="E56" s="299">
        <v>-173157</v>
      </c>
      <c r="F56" s="299">
        <v>159586</v>
      </c>
      <c r="G56" s="299">
        <v>-129831</v>
      </c>
      <c r="H56" s="299">
        <v>-91490</v>
      </c>
      <c r="I56" s="299">
        <v>-48774</v>
      </c>
      <c r="J56" s="299">
        <v>55237</v>
      </c>
      <c r="K56" s="299">
        <v>460903</v>
      </c>
      <c r="L56" s="299">
        <v>-11428</v>
      </c>
      <c r="M56" s="299">
        <v>148106</v>
      </c>
      <c r="N56" s="299">
        <v>688646</v>
      </c>
      <c r="O56" s="266">
        <f t="shared" si="14"/>
        <v>2317465</v>
      </c>
    </row>
    <row r="58" spans="1:15">
      <c r="B58" s="297" t="s">
        <v>252</v>
      </c>
      <c r="C58" s="160"/>
    </row>
    <row r="59" spans="1:15">
      <c r="A59" s="298">
        <v>33</v>
      </c>
      <c r="B59" s="71" t="s">
        <v>251</v>
      </c>
      <c r="C59" s="300">
        <v>1175319</v>
      </c>
      <c r="D59" s="300">
        <v>510291</v>
      </c>
      <c r="E59" s="300">
        <v>-231737</v>
      </c>
      <c r="F59" s="300">
        <v>214777</v>
      </c>
      <c r="G59" s="300">
        <v>-175610</v>
      </c>
      <c r="H59" s="300">
        <v>-122745</v>
      </c>
      <c r="I59" s="300">
        <v>-60678</v>
      </c>
      <c r="J59" s="300">
        <v>69182</v>
      </c>
      <c r="K59" s="300">
        <v>573075</v>
      </c>
      <c r="L59" s="300">
        <v>-15304</v>
      </c>
      <c r="M59" s="300">
        <v>198862</v>
      </c>
      <c r="N59" s="300">
        <v>1013418</v>
      </c>
      <c r="O59" s="268">
        <f>SUM(C59:N59)</f>
        <v>3148850</v>
      </c>
    </row>
    <row r="60" spans="1:15">
      <c r="A60" s="298">
        <v>34</v>
      </c>
      <c r="B60" s="71" t="s">
        <v>250</v>
      </c>
      <c r="C60" s="268">
        <f>C61-C59</f>
        <v>-1303469.4821801297</v>
      </c>
      <c r="D60" s="268">
        <f t="shared" ref="D60:E60" si="15">D61-D59</f>
        <v>-691728.22447195277</v>
      </c>
      <c r="E60" s="268">
        <f t="shared" si="15"/>
        <v>-561535.3422520766</v>
      </c>
      <c r="F60" s="268">
        <f>F61-F59</f>
        <v>764367.12242862955</v>
      </c>
      <c r="G60" s="268">
        <f t="shared" ref="G60:N60" si="16">G61-G59</f>
        <v>712374.47151814075</v>
      </c>
      <c r="H60" s="268">
        <f t="shared" si="16"/>
        <v>207930.34827550803</v>
      </c>
      <c r="I60" s="268">
        <f t="shared" si="16"/>
        <v>3519.6472272698302</v>
      </c>
      <c r="J60" s="268">
        <f t="shared" si="16"/>
        <v>-22018.087760570459</v>
      </c>
      <c r="K60" s="268">
        <f t="shared" si="16"/>
        <v>-302424.44792674179</v>
      </c>
      <c r="L60" s="268">
        <f t="shared" si="16"/>
        <v>226930.04284432717</v>
      </c>
      <c r="M60" s="268">
        <f t="shared" si="16"/>
        <v>-461882.67139834724</v>
      </c>
      <c r="N60" s="268">
        <f t="shared" si="16"/>
        <v>-502434.451104315</v>
      </c>
      <c r="O60" s="268">
        <f>SUM(C60:N60)</f>
        <v>-1930371.0748002583</v>
      </c>
    </row>
    <row r="61" spans="1:15">
      <c r="A61" s="298">
        <v>35</v>
      </c>
      <c r="B61" s="71" t="s">
        <v>253</v>
      </c>
      <c r="C61" s="296">
        <f>'Nat Gas Deferral'!D$27</f>
        <v>-128150.48218012974</v>
      </c>
      <c r="D61" s="296">
        <f>'Nat Gas Deferral'!E$27</f>
        <v>-181437.22447195277</v>
      </c>
      <c r="E61" s="296">
        <f>'Nat Gas Deferral'!F$27</f>
        <v>-793272.3422520766</v>
      </c>
      <c r="F61" s="296">
        <f>'Nat Gas Deferral'!G$27</f>
        <v>979144.12242862955</v>
      </c>
      <c r="G61" s="296">
        <f>'Nat Gas Deferral'!H$27</f>
        <v>536764.47151814075</v>
      </c>
      <c r="H61" s="296">
        <f>'Nat Gas Deferral'!I$27</f>
        <v>85185.348275508033</v>
      </c>
      <c r="I61" s="296">
        <f>'Nat Gas Deferral'!J$27</f>
        <v>-57158.35277273017</v>
      </c>
      <c r="J61" s="296">
        <f>'Nat Gas Deferral'!K$27</f>
        <v>47163.912239429541</v>
      </c>
      <c r="K61" s="296">
        <f>'Nat Gas Deferral'!L$27</f>
        <v>270650.55207325821</v>
      </c>
      <c r="L61" s="296">
        <f>'Nat Gas Deferral'!M$27</f>
        <v>211626.04284432717</v>
      </c>
      <c r="M61" s="296">
        <f>'Nat Gas Deferral'!N$27</f>
        <v>-263020.67139834724</v>
      </c>
      <c r="N61" s="296">
        <f>'Nat Gas Deferral'!O$27</f>
        <v>510983.548895685</v>
      </c>
      <c r="O61" s="268">
        <f>SUM(C61:N61)</f>
        <v>1218478.9251997417</v>
      </c>
    </row>
    <row r="63" spans="1:15">
      <c r="A63" s="298">
        <v>36</v>
      </c>
      <c r="B63" s="71" t="s">
        <v>254</v>
      </c>
      <c r="C63" s="300">
        <v>230479</v>
      </c>
      <c r="D63" s="300">
        <v>100889</v>
      </c>
      <c r="E63" s="300">
        <v>-45550</v>
      </c>
      <c r="F63" s="300">
        <v>44842</v>
      </c>
      <c r="G63" s="300">
        <v>-36482</v>
      </c>
      <c r="H63" s="300">
        <v>-25708</v>
      </c>
      <c r="I63" s="300">
        <v>-13705</v>
      </c>
      <c r="J63" s="300">
        <v>15521</v>
      </c>
      <c r="K63" s="300">
        <v>129509</v>
      </c>
      <c r="L63" s="300">
        <v>-3211</v>
      </c>
      <c r="M63" s="300">
        <v>41616</v>
      </c>
      <c r="N63" s="300">
        <v>193503</v>
      </c>
      <c r="O63" s="268">
        <f>SUM(C63:N63)</f>
        <v>631703</v>
      </c>
    </row>
    <row r="64" spans="1:15">
      <c r="A64" s="298">
        <v>37</v>
      </c>
      <c r="B64" s="71" t="s">
        <v>255</v>
      </c>
      <c r="C64" s="268">
        <f>C65-C63</f>
        <v>-514094.00417154189</v>
      </c>
      <c r="D64" s="268">
        <f t="shared" ref="D64:N64" si="17">D65-D63</f>
        <v>-252176.42311927257</v>
      </c>
      <c r="E64" s="268">
        <f t="shared" si="17"/>
        <v>-154562.94145739079</v>
      </c>
      <c r="F64" s="268">
        <f t="shared" si="17"/>
        <v>288365.02767893358</v>
      </c>
      <c r="G64" s="268">
        <f t="shared" si="17"/>
        <v>229834.35385942017</v>
      </c>
      <c r="H64" s="268">
        <f t="shared" si="17"/>
        <v>268389.95453201944</v>
      </c>
      <c r="I64" s="268">
        <f t="shared" si="17"/>
        <v>82287.018166062189</v>
      </c>
      <c r="J64" s="268">
        <f t="shared" si="17"/>
        <v>96007.116493226844</v>
      </c>
      <c r="K64" s="268">
        <f t="shared" si="17"/>
        <v>-2645.0755352049018</v>
      </c>
      <c r="L64" s="268">
        <f t="shared" si="17"/>
        <v>-156011.37358068884</v>
      </c>
      <c r="M64" s="268">
        <f t="shared" si="17"/>
        <v>131508.27670514025</v>
      </c>
      <c r="N64" s="268">
        <f t="shared" si="17"/>
        <v>-183098.84674795624</v>
      </c>
      <c r="O64" s="268">
        <f>SUM(C64:N64)</f>
        <v>-166196.91717725276</v>
      </c>
    </row>
    <row r="65" spans="1:15">
      <c r="A65" s="298">
        <v>38</v>
      </c>
      <c r="B65" s="71" t="s">
        <v>256</v>
      </c>
      <c r="C65" s="296">
        <f>'Nat Gas Deferral'!D$53</f>
        <v>-283615.00417154189</v>
      </c>
      <c r="D65" s="296">
        <f>'Nat Gas Deferral'!E$53</f>
        <v>-151287.42311927257</v>
      </c>
      <c r="E65" s="296">
        <f>'Nat Gas Deferral'!F$53</f>
        <v>-200112.94145739079</v>
      </c>
      <c r="F65" s="296">
        <f>'Nat Gas Deferral'!G$53</f>
        <v>333207.02767893358</v>
      </c>
      <c r="G65" s="296">
        <f>'Nat Gas Deferral'!H$53</f>
        <v>193352.35385942017</v>
      </c>
      <c r="H65" s="296">
        <f>'Nat Gas Deferral'!I$53</f>
        <v>242681.95453201944</v>
      </c>
      <c r="I65" s="296">
        <f>'Nat Gas Deferral'!J$53</f>
        <v>68582.018166062189</v>
      </c>
      <c r="J65" s="296">
        <f>'Nat Gas Deferral'!K$53</f>
        <v>111528.11649322684</v>
      </c>
      <c r="K65" s="296">
        <f>'Nat Gas Deferral'!L$53</f>
        <v>126863.9244647951</v>
      </c>
      <c r="L65" s="296">
        <f>'Nat Gas Deferral'!M$53</f>
        <v>-159222.37358068884</v>
      </c>
      <c r="M65" s="296">
        <f>'Nat Gas Deferral'!N$53</f>
        <v>173124.27670514025</v>
      </c>
      <c r="N65" s="296">
        <f>'Nat Gas Deferral'!O$53</f>
        <v>10404.153252043761</v>
      </c>
      <c r="O65" s="268">
        <f>SUM(C65:N65)</f>
        <v>465506.08282274724</v>
      </c>
    </row>
    <row r="67" spans="1:15">
      <c r="B67" s="297" t="s">
        <v>268</v>
      </c>
    </row>
    <row r="68" spans="1:15">
      <c r="A68" s="298">
        <v>39</v>
      </c>
      <c r="B68" s="71" t="s">
        <v>269</v>
      </c>
      <c r="C68" s="299">
        <v>1095</v>
      </c>
      <c r="D68" s="299">
        <v>940</v>
      </c>
      <c r="E68" s="299">
        <v>766</v>
      </c>
      <c r="F68" s="299">
        <v>523</v>
      </c>
      <c r="G68" s="299">
        <v>247</v>
      </c>
      <c r="H68" s="299">
        <v>115</v>
      </c>
      <c r="I68" s="299">
        <v>16</v>
      </c>
      <c r="J68" s="299">
        <v>13</v>
      </c>
      <c r="K68" s="299">
        <v>148</v>
      </c>
      <c r="L68" s="299">
        <v>504</v>
      </c>
      <c r="M68" s="299">
        <v>848</v>
      </c>
      <c r="N68" s="299">
        <v>1097</v>
      </c>
      <c r="O68" s="266">
        <f>SUM(C68:N68)</f>
        <v>6312</v>
      </c>
    </row>
    <row r="69" spans="1:15">
      <c r="A69" s="298">
        <v>40</v>
      </c>
      <c r="B69" s="71" t="s">
        <v>270</v>
      </c>
      <c r="C69" s="299">
        <v>0</v>
      </c>
      <c r="D69" s="299">
        <v>0</v>
      </c>
      <c r="E69" s="299">
        <v>0</v>
      </c>
      <c r="F69" s="299">
        <v>1</v>
      </c>
      <c r="G69" s="299">
        <v>18</v>
      </c>
      <c r="H69" s="299">
        <v>69</v>
      </c>
      <c r="I69" s="299">
        <v>238</v>
      </c>
      <c r="J69" s="299">
        <v>230</v>
      </c>
      <c r="K69" s="299">
        <v>52</v>
      </c>
      <c r="L69" s="299">
        <v>0</v>
      </c>
      <c r="M69" s="299">
        <v>0</v>
      </c>
      <c r="N69" s="299">
        <v>0</v>
      </c>
      <c r="O69" s="266">
        <f>SUM(C69:N69)</f>
        <v>608</v>
      </c>
    </row>
    <row r="71" spans="1:15">
      <c r="A71" s="298">
        <v>41</v>
      </c>
      <c r="B71" s="71" t="s">
        <v>210</v>
      </c>
      <c r="C71" s="266">
        <f>C68-C8</f>
        <v>144</v>
      </c>
      <c r="D71" s="266">
        <f t="shared" ref="D71:N72" si="18">D68-D8</f>
        <v>79</v>
      </c>
      <c r="E71" s="266">
        <f t="shared" si="18"/>
        <v>-43</v>
      </c>
      <c r="F71" s="266">
        <f t="shared" si="18"/>
        <v>10</v>
      </c>
      <c r="G71" s="266">
        <f t="shared" si="18"/>
        <v>-45</v>
      </c>
      <c r="H71" s="266">
        <f t="shared" si="18"/>
        <v>-24</v>
      </c>
      <c r="I71" s="266">
        <f t="shared" si="18"/>
        <v>-5</v>
      </c>
      <c r="J71" s="266">
        <f t="shared" si="18"/>
        <v>2</v>
      </c>
      <c r="K71" s="266">
        <f t="shared" si="18"/>
        <v>60</v>
      </c>
      <c r="L71" s="266">
        <f t="shared" si="18"/>
        <v>-20</v>
      </c>
      <c r="M71" s="266">
        <f t="shared" si="18"/>
        <v>22</v>
      </c>
      <c r="N71" s="266">
        <f t="shared" si="18"/>
        <v>76</v>
      </c>
      <c r="O71" s="266">
        <f t="shared" ref="O71:O72" si="19">SUM(C71:N71)</f>
        <v>256</v>
      </c>
    </row>
    <row r="72" spans="1:15">
      <c r="A72" s="298">
        <v>42</v>
      </c>
      <c r="B72" s="71" t="s">
        <v>213</v>
      </c>
      <c r="C72" s="266">
        <f>C69-C9</f>
        <v>0</v>
      </c>
      <c r="D72" s="266">
        <f t="shared" si="18"/>
        <v>0</v>
      </c>
      <c r="E72" s="266">
        <f t="shared" si="18"/>
        <v>0</v>
      </c>
      <c r="F72" s="266">
        <f t="shared" si="18"/>
        <v>1</v>
      </c>
      <c r="G72" s="266">
        <f t="shared" si="18"/>
        <v>7</v>
      </c>
      <c r="H72" s="266">
        <f t="shared" si="18"/>
        <v>20</v>
      </c>
      <c r="I72" s="266">
        <f t="shared" si="18"/>
        <v>33</v>
      </c>
      <c r="J72" s="266">
        <f t="shared" si="18"/>
        <v>7</v>
      </c>
      <c r="K72" s="266">
        <f t="shared" si="18"/>
        <v>-13</v>
      </c>
      <c r="L72" s="266">
        <f t="shared" si="18"/>
        <v>-3</v>
      </c>
      <c r="M72" s="266">
        <f t="shared" si="18"/>
        <v>0</v>
      </c>
      <c r="N72" s="266">
        <f t="shared" si="18"/>
        <v>0</v>
      </c>
      <c r="O72" s="266">
        <f t="shared" si="19"/>
        <v>52</v>
      </c>
    </row>
    <row r="74" spans="1:15">
      <c r="A74" s="298">
        <v>43</v>
      </c>
      <c r="B74" s="71" t="s">
        <v>271</v>
      </c>
      <c r="C74" s="299">
        <v>2752211</v>
      </c>
      <c r="D74" s="299">
        <v>1505729</v>
      </c>
      <c r="E74" s="299">
        <v>-821386</v>
      </c>
      <c r="F74" s="299">
        <v>164094</v>
      </c>
      <c r="G74" s="299">
        <v>-735020</v>
      </c>
      <c r="H74" s="299">
        <v>-393876</v>
      </c>
      <c r="I74" s="299">
        <v>-92719</v>
      </c>
      <c r="J74" s="299">
        <v>37000</v>
      </c>
      <c r="K74" s="299">
        <v>1114510</v>
      </c>
      <c r="L74" s="299">
        <v>-327398</v>
      </c>
      <c r="M74" s="299">
        <v>359970</v>
      </c>
      <c r="N74" s="299">
        <v>1420394</v>
      </c>
      <c r="O74" s="266">
        <f t="shared" ref="O74:O75" si="20">SUM(C74:N74)</f>
        <v>4983509</v>
      </c>
    </row>
    <row r="75" spans="1:15">
      <c r="A75" s="298">
        <v>44</v>
      </c>
      <c r="B75" s="71" t="s">
        <v>272</v>
      </c>
      <c r="C75" s="299">
        <v>858264</v>
      </c>
      <c r="D75" s="299">
        <v>473410</v>
      </c>
      <c r="E75" s="299">
        <v>-256751</v>
      </c>
      <c r="F75" s="299">
        <v>56995</v>
      </c>
      <c r="G75" s="299">
        <v>-254016</v>
      </c>
      <c r="H75" s="299">
        <v>-137236</v>
      </c>
      <c r="I75" s="299">
        <v>-34840</v>
      </c>
      <c r="J75" s="299">
        <v>13810</v>
      </c>
      <c r="K75" s="299">
        <v>419002</v>
      </c>
      <c r="L75" s="299">
        <v>-114275</v>
      </c>
      <c r="M75" s="299">
        <v>125320</v>
      </c>
      <c r="N75" s="299">
        <v>451182</v>
      </c>
      <c r="O75" s="266">
        <f t="shared" si="20"/>
        <v>1600865</v>
      </c>
    </row>
    <row r="77" spans="1:15">
      <c r="B77" s="297" t="s">
        <v>252</v>
      </c>
      <c r="C77" s="160"/>
    </row>
    <row r="78" spans="1:15">
      <c r="A78" s="298">
        <v>45</v>
      </c>
      <c r="B78" s="71" t="s">
        <v>251</v>
      </c>
      <c r="C78" s="300">
        <v>1151332</v>
      </c>
      <c r="D78" s="300">
        <v>629892</v>
      </c>
      <c r="E78" s="300">
        <v>-343610</v>
      </c>
      <c r="F78" s="300">
        <v>76706</v>
      </c>
      <c r="G78" s="300">
        <v>-343585</v>
      </c>
      <c r="H78" s="300">
        <v>-184117</v>
      </c>
      <c r="I78" s="300">
        <v>-43341</v>
      </c>
      <c r="J78" s="300">
        <v>17296</v>
      </c>
      <c r="K78" s="300">
        <v>520978</v>
      </c>
      <c r="L78" s="300">
        <v>-153042</v>
      </c>
      <c r="M78" s="300">
        <v>168268</v>
      </c>
      <c r="N78" s="300">
        <v>663963</v>
      </c>
      <c r="O78" s="268">
        <f>SUM(C78:N78)</f>
        <v>2160740</v>
      </c>
    </row>
    <row r="79" spans="1:15">
      <c r="A79" s="298">
        <v>46</v>
      </c>
      <c r="B79" s="71" t="s">
        <v>250</v>
      </c>
      <c r="C79" s="268">
        <f>C80-C78</f>
        <v>-1279482.4821801297</v>
      </c>
      <c r="D79" s="268">
        <f t="shared" ref="D79:E79" si="21">D80-D78</f>
        <v>-811329.22447195277</v>
      </c>
      <c r="E79" s="268">
        <f t="shared" si="21"/>
        <v>-449662.3422520766</v>
      </c>
      <c r="F79" s="268">
        <f>F80-F78</f>
        <v>902438.12242862955</v>
      </c>
      <c r="G79" s="268">
        <f t="shared" ref="G79:N79" si="22">G80-G78</f>
        <v>880349.47151814075</v>
      </c>
      <c r="H79" s="268">
        <f t="shared" si="22"/>
        <v>269302.34827550803</v>
      </c>
      <c r="I79" s="268">
        <f t="shared" si="22"/>
        <v>-13817.35277273017</v>
      </c>
      <c r="J79" s="268">
        <f t="shared" si="22"/>
        <v>29867.912239429541</v>
      </c>
      <c r="K79" s="268">
        <f t="shared" si="22"/>
        <v>-250327.44792674179</v>
      </c>
      <c r="L79" s="268">
        <f t="shared" si="22"/>
        <v>364668.04284432717</v>
      </c>
      <c r="M79" s="268">
        <f t="shared" si="22"/>
        <v>-431288.67139834724</v>
      </c>
      <c r="N79" s="268">
        <f t="shared" si="22"/>
        <v>-152979.451104315</v>
      </c>
      <c r="O79" s="268">
        <f>SUM(C79:N79)</f>
        <v>-942261.07480025827</v>
      </c>
    </row>
    <row r="80" spans="1:15">
      <c r="A80" s="298">
        <v>47</v>
      </c>
      <c r="B80" s="71" t="s">
        <v>253</v>
      </c>
      <c r="C80" s="296">
        <f>'Nat Gas Deferral'!D$27</f>
        <v>-128150.48218012974</v>
      </c>
      <c r="D80" s="296">
        <f>'Nat Gas Deferral'!E$27</f>
        <v>-181437.22447195277</v>
      </c>
      <c r="E80" s="296">
        <f>'Nat Gas Deferral'!F$27</f>
        <v>-793272.3422520766</v>
      </c>
      <c r="F80" s="296">
        <f>'Nat Gas Deferral'!G$27</f>
        <v>979144.12242862955</v>
      </c>
      <c r="G80" s="296">
        <f>'Nat Gas Deferral'!H$27</f>
        <v>536764.47151814075</v>
      </c>
      <c r="H80" s="296">
        <f>'Nat Gas Deferral'!I$27</f>
        <v>85185.348275508033</v>
      </c>
      <c r="I80" s="296">
        <f>'Nat Gas Deferral'!J$27</f>
        <v>-57158.35277273017</v>
      </c>
      <c r="J80" s="296">
        <f>'Nat Gas Deferral'!K$27</f>
        <v>47163.912239429541</v>
      </c>
      <c r="K80" s="296">
        <f>'Nat Gas Deferral'!L$27</f>
        <v>270650.55207325821</v>
      </c>
      <c r="L80" s="296">
        <f>'Nat Gas Deferral'!M$27</f>
        <v>211626.04284432717</v>
      </c>
      <c r="M80" s="296">
        <f>'Nat Gas Deferral'!N$27</f>
        <v>-263020.67139834724</v>
      </c>
      <c r="N80" s="296">
        <f>'Nat Gas Deferral'!O$27</f>
        <v>510983.548895685</v>
      </c>
      <c r="O80" s="268">
        <f>SUM(C80:N80)</f>
        <v>1218478.9251997417</v>
      </c>
    </row>
    <row r="82" spans="1:15">
      <c r="A82" s="298">
        <v>48</v>
      </c>
      <c r="B82" s="71" t="s">
        <v>254</v>
      </c>
      <c r="C82" s="300">
        <v>225775</v>
      </c>
      <c r="D82" s="300">
        <v>124535</v>
      </c>
      <c r="E82" s="300">
        <v>-67541</v>
      </c>
      <c r="F82" s="300">
        <v>16015</v>
      </c>
      <c r="G82" s="300">
        <v>-71376</v>
      </c>
      <c r="H82" s="300">
        <v>-38562</v>
      </c>
      <c r="I82" s="300">
        <v>-9790</v>
      </c>
      <c r="J82" s="300">
        <v>3880</v>
      </c>
      <c r="K82" s="300">
        <v>117735</v>
      </c>
      <c r="L82" s="300">
        <v>-32110</v>
      </c>
      <c r="M82" s="300">
        <v>35214</v>
      </c>
      <c r="N82" s="300">
        <v>126778</v>
      </c>
      <c r="O82" s="268">
        <f>SUM(C82:N82)</f>
        <v>430553</v>
      </c>
    </row>
    <row r="83" spans="1:15">
      <c r="A83" s="298">
        <v>49</v>
      </c>
      <c r="B83" s="71" t="s">
        <v>255</v>
      </c>
      <c r="C83" s="268">
        <f>C84-C82</f>
        <v>-509390.00417154189</v>
      </c>
      <c r="D83" s="268">
        <f t="shared" ref="D83:N83" si="23">D84-D82</f>
        <v>-275822.42311927257</v>
      </c>
      <c r="E83" s="268">
        <f t="shared" si="23"/>
        <v>-132571.94145739079</v>
      </c>
      <c r="F83" s="268">
        <f t="shared" si="23"/>
        <v>317192.02767893358</v>
      </c>
      <c r="G83" s="268">
        <f t="shared" si="23"/>
        <v>264728.35385942017</v>
      </c>
      <c r="H83" s="268">
        <f t="shared" si="23"/>
        <v>281243.95453201944</v>
      </c>
      <c r="I83" s="268">
        <f t="shared" si="23"/>
        <v>78372.018166062189</v>
      </c>
      <c r="J83" s="268">
        <f t="shared" si="23"/>
        <v>107648.11649322684</v>
      </c>
      <c r="K83" s="268">
        <f t="shared" si="23"/>
        <v>9128.9244647950982</v>
      </c>
      <c r="L83" s="268">
        <f t="shared" si="23"/>
        <v>-127112.37358068884</v>
      </c>
      <c r="M83" s="268">
        <f t="shared" si="23"/>
        <v>137910.27670514025</v>
      </c>
      <c r="N83" s="268">
        <f t="shared" si="23"/>
        <v>-116373.84674795624</v>
      </c>
      <c r="O83" s="268">
        <f>SUM(C83:N83)</f>
        <v>34953.082822747238</v>
      </c>
    </row>
    <row r="84" spans="1:15">
      <c r="A84" s="298">
        <v>50</v>
      </c>
      <c r="B84" s="71" t="s">
        <v>256</v>
      </c>
      <c r="C84" s="296">
        <f>'Nat Gas Deferral'!D$53</f>
        <v>-283615.00417154189</v>
      </c>
      <c r="D84" s="296">
        <f>'Nat Gas Deferral'!E$53</f>
        <v>-151287.42311927257</v>
      </c>
      <c r="E84" s="296">
        <f>'Nat Gas Deferral'!F$53</f>
        <v>-200112.94145739079</v>
      </c>
      <c r="F84" s="296">
        <f>'Nat Gas Deferral'!G$53</f>
        <v>333207.02767893358</v>
      </c>
      <c r="G84" s="296">
        <f>'Nat Gas Deferral'!H$53</f>
        <v>193352.35385942017</v>
      </c>
      <c r="H84" s="296">
        <f>'Nat Gas Deferral'!I$53</f>
        <v>242681.95453201944</v>
      </c>
      <c r="I84" s="296">
        <f>'Nat Gas Deferral'!J$53</f>
        <v>68582.018166062189</v>
      </c>
      <c r="J84" s="296">
        <f>'Nat Gas Deferral'!K$53</f>
        <v>111528.11649322684</v>
      </c>
      <c r="K84" s="296">
        <f>'Nat Gas Deferral'!L$53</f>
        <v>126863.9244647951</v>
      </c>
      <c r="L84" s="296">
        <f>'Nat Gas Deferral'!M$53</f>
        <v>-159222.37358068884</v>
      </c>
      <c r="M84" s="296">
        <f>'Nat Gas Deferral'!N$53</f>
        <v>173124.27670514025</v>
      </c>
      <c r="N84" s="296">
        <f>'Nat Gas Deferral'!O$53</f>
        <v>10404.153252043761</v>
      </c>
      <c r="O84" s="268">
        <f>SUM(C84:N84)</f>
        <v>465506.08282274724</v>
      </c>
    </row>
  </sheetData>
  <mergeCells count="4">
    <mergeCell ref="A1:L1"/>
    <mergeCell ref="A2:L2"/>
    <mergeCell ref="A3:O3"/>
    <mergeCell ref="A4:O4"/>
  </mergeCells>
  <printOptions horizontalCentered="1"/>
  <pageMargins left="0.7" right="0.7" top="1.25" bottom="0.75" header="0.3" footer="0.3"/>
  <pageSetup scale="57" firstPageNumber="20"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cols>
    <col min="1" max="16384" width="9.140625" style="14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1"/>
  <sheetViews>
    <sheetView topLeftCell="A29" zoomScaleNormal="100" workbookViewId="0">
      <selection activeCell="B29" sqref="B29"/>
    </sheetView>
  </sheetViews>
  <sheetFormatPr defaultRowHeight="15"/>
  <cols>
    <col min="1" max="1" width="7.28515625" customWidth="1"/>
    <col min="2" max="2" width="38.42578125" customWidth="1"/>
    <col min="3" max="3" width="18.7109375" customWidth="1"/>
    <col min="4" max="4" width="13.28515625" hidden="1" customWidth="1"/>
    <col min="5" max="5" width="12.140625" hidden="1" customWidth="1"/>
    <col min="6" max="6" width="12.42578125" hidden="1"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customWidth="1"/>
    <col min="14" max="14" width="11.5703125" customWidth="1"/>
    <col min="15" max="15" width="12.28515625" customWidth="1"/>
    <col min="16" max="16" width="4.28515625" style="71" customWidth="1"/>
    <col min="17" max="17" width="11.5703125" style="61" customWidth="1"/>
    <col min="18" max="18" width="11.5703125" style="23" customWidth="1"/>
    <col min="19" max="19" width="10.5703125" style="61" customWidth="1"/>
    <col min="20" max="20" width="11.28515625" style="71" customWidth="1"/>
    <col min="21" max="21" width="11.28515625" customWidth="1"/>
  </cols>
  <sheetData>
    <row r="1" spans="1:21" ht="15.75">
      <c r="A1" s="133" t="s">
        <v>0</v>
      </c>
      <c r="B1" s="133"/>
      <c r="C1" s="133"/>
      <c r="D1" s="133"/>
      <c r="E1" s="133"/>
      <c r="F1" s="133"/>
      <c r="G1" s="133"/>
      <c r="H1" s="133"/>
      <c r="I1" s="133"/>
      <c r="J1" s="133"/>
      <c r="K1" s="133"/>
      <c r="L1" s="133"/>
      <c r="M1" s="133"/>
      <c r="N1" s="133"/>
      <c r="O1" s="133"/>
      <c r="P1" s="133"/>
      <c r="Q1" s="133"/>
      <c r="R1" s="133"/>
      <c r="S1" s="133"/>
      <c r="T1" s="133"/>
      <c r="U1" s="133"/>
    </row>
    <row r="2" spans="1:21" ht="18.75">
      <c r="A2" s="238" t="s">
        <v>175</v>
      </c>
      <c r="B2" s="238"/>
      <c r="C2" s="238"/>
      <c r="D2" s="238"/>
      <c r="E2" s="238"/>
      <c r="F2" s="238"/>
      <c r="G2" s="238"/>
      <c r="H2" s="238"/>
      <c r="I2" s="238"/>
      <c r="J2" s="238"/>
      <c r="K2" s="238"/>
      <c r="L2" s="238"/>
      <c r="M2" s="238"/>
      <c r="N2" s="238"/>
      <c r="O2" s="238"/>
      <c r="P2" s="238"/>
      <c r="Q2" s="135"/>
      <c r="R2" s="135"/>
      <c r="S2" s="135"/>
      <c r="T2" s="135"/>
      <c r="U2" s="135"/>
    </row>
    <row r="3" spans="1:21" ht="15.75">
      <c r="A3" s="133" t="s">
        <v>157</v>
      </c>
      <c r="B3" s="133"/>
      <c r="C3" s="133"/>
      <c r="D3" s="133"/>
      <c r="E3" s="133"/>
      <c r="F3" s="133"/>
      <c r="G3" s="133"/>
      <c r="H3" s="133"/>
      <c r="I3" s="133"/>
      <c r="J3" s="133"/>
      <c r="K3" s="133"/>
      <c r="L3" s="133"/>
      <c r="M3" s="133"/>
      <c r="N3" s="133"/>
      <c r="O3" s="133"/>
      <c r="P3" s="133"/>
      <c r="Q3" s="134"/>
      <c r="R3" s="134"/>
      <c r="S3" s="134"/>
      <c r="T3" s="134"/>
      <c r="U3" s="134"/>
    </row>
    <row r="4" spans="1:21" ht="15" customHeight="1">
      <c r="A4" s="134"/>
      <c r="B4" s="12"/>
      <c r="C4" s="12"/>
      <c r="D4" s="12"/>
      <c r="E4" s="12"/>
      <c r="F4" s="12"/>
      <c r="G4" s="12"/>
      <c r="H4" s="12"/>
      <c r="I4" s="12"/>
      <c r="J4" s="12"/>
      <c r="K4" s="12"/>
      <c r="L4" s="12"/>
      <c r="M4" s="12"/>
      <c r="N4" s="12"/>
      <c r="O4" s="12"/>
      <c r="P4" s="76"/>
      <c r="Q4" s="70"/>
      <c r="R4" s="59"/>
      <c r="S4" s="70"/>
      <c r="T4" s="76"/>
      <c r="U4" s="1"/>
    </row>
    <row r="5" spans="1:21">
      <c r="A5" s="33"/>
      <c r="B5" s="33"/>
      <c r="C5" s="33"/>
      <c r="D5" s="62"/>
      <c r="E5" s="9"/>
      <c r="F5" s="9"/>
      <c r="G5" s="9"/>
      <c r="H5" s="9"/>
      <c r="I5" s="9"/>
      <c r="J5" s="9"/>
      <c r="K5" s="9"/>
      <c r="L5" s="9"/>
      <c r="M5" s="9"/>
      <c r="N5" s="9"/>
      <c r="O5" s="9"/>
      <c r="P5" s="9"/>
      <c r="Q5" s="60" t="s">
        <v>153</v>
      </c>
      <c r="R5" s="60" t="s">
        <v>154</v>
      </c>
      <c r="S5" s="60" t="s">
        <v>155</v>
      </c>
      <c r="T5" s="60" t="s">
        <v>156</v>
      </c>
      <c r="U5" s="58" t="s">
        <v>191</v>
      </c>
    </row>
    <row r="6" spans="1:21" ht="25.5">
      <c r="A6" s="105" t="s">
        <v>1</v>
      </c>
      <c r="B6" s="106"/>
      <c r="C6" s="101" t="s">
        <v>2</v>
      </c>
      <c r="D6" s="136">
        <v>43831</v>
      </c>
      <c r="E6" s="107">
        <f t="shared" ref="E6:O6" si="0">EDATE(D6,1)</f>
        <v>43862</v>
      </c>
      <c r="F6" s="107">
        <f t="shared" si="0"/>
        <v>43891</v>
      </c>
      <c r="G6" s="107">
        <f t="shared" si="0"/>
        <v>43922</v>
      </c>
      <c r="H6" s="107">
        <f t="shared" si="0"/>
        <v>43952</v>
      </c>
      <c r="I6" s="107">
        <f t="shared" si="0"/>
        <v>43983</v>
      </c>
      <c r="J6" s="107">
        <f t="shared" si="0"/>
        <v>44013</v>
      </c>
      <c r="K6" s="107">
        <f t="shared" si="0"/>
        <v>44044</v>
      </c>
      <c r="L6" s="107">
        <f t="shared" si="0"/>
        <v>44075</v>
      </c>
      <c r="M6" s="107">
        <f t="shared" si="0"/>
        <v>44105</v>
      </c>
      <c r="N6" s="107">
        <f t="shared" si="0"/>
        <v>44136</v>
      </c>
      <c r="O6" s="107">
        <f t="shared" si="0"/>
        <v>44166</v>
      </c>
      <c r="P6" s="107"/>
      <c r="Q6" s="107" t="s">
        <v>3</v>
      </c>
      <c r="R6" s="22" t="s">
        <v>3</v>
      </c>
      <c r="S6" s="22" t="s">
        <v>3</v>
      </c>
      <c r="T6" s="22" t="s">
        <v>3</v>
      </c>
      <c r="U6" s="3" t="s">
        <v>3</v>
      </c>
    </row>
    <row r="7" spans="1:21">
      <c r="A7" s="62"/>
      <c r="B7" s="62" t="s">
        <v>4</v>
      </c>
      <c r="C7" s="62" t="s">
        <v>5</v>
      </c>
      <c r="D7" s="62" t="s">
        <v>6</v>
      </c>
      <c r="E7" s="62" t="s">
        <v>7</v>
      </c>
      <c r="F7" s="62" t="s">
        <v>8</v>
      </c>
      <c r="G7" s="62" t="s">
        <v>9</v>
      </c>
      <c r="H7" s="192" t="s">
        <v>10</v>
      </c>
      <c r="I7" s="62" t="s">
        <v>11</v>
      </c>
      <c r="J7" s="62" t="s">
        <v>12</v>
      </c>
      <c r="K7" s="62" t="s">
        <v>13</v>
      </c>
      <c r="L7" s="62" t="s">
        <v>14</v>
      </c>
      <c r="M7" s="62" t="s">
        <v>15</v>
      </c>
      <c r="N7" s="62" t="s">
        <v>16</v>
      </c>
      <c r="O7" s="62" t="s">
        <v>17</v>
      </c>
      <c r="P7" s="62"/>
      <c r="Q7" s="62" t="s">
        <v>18</v>
      </c>
      <c r="R7" s="24"/>
      <c r="S7" s="62"/>
      <c r="T7" s="62"/>
      <c r="U7" s="4" t="s">
        <v>18</v>
      </c>
    </row>
    <row r="8" spans="1:21">
      <c r="A8" s="62"/>
      <c r="B8" s="2" t="s">
        <v>19</v>
      </c>
      <c r="C8" s="62"/>
      <c r="D8" s="62"/>
      <c r="E8" s="62"/>
      <c r="F8" s="62"/>
      <c r="G8" s="62"/>
      <c r="H8" s="192"/>
      <c r="I8" s="62"/>
      <c r="J8" s="62"/>
      <c r="K8" s="62"/>
      <c r="L8" s="62"/>
      <c r="M8" s="62"/>
      <c r="N8" s="62"/>
      <c r="O8" s="62"/>
      <c r="P8" s="62"/>
      <c r="Q8" s="66"/>
      <c r="R8" s="26"/>
      <c r="S8" s="66"/>
      <c r="T8" s="66"/>
      <c r="U8" s="5"/>
    </row>
    <row r="9" spans="1:21" s="71" customFormat="1">
      <c r="A9" s="62">
        <v>1</v>
      </c>
      <c r="B9" s="33" t="s">
        <v>20</v>
      </c>
      <c r="C9" s="62" t="s">
        <v>21</v>
      </c>
      <c r="D9" s="240">
        <f>D18</f>
        <v>167769</v>
      </c>
      <c r="E9" s="240">
        <f t="shared" ref="E9:F9" si="1">E18</f>
        <v>167465</v>
      </c>
      <c r="F9" s="240">
        <f t="shared" si="1"/>
        <v>167740</v>
      </c>
      <c r="G9" s="242">
        <v>167876</v>
      </c>
      <c r="H9" s="243">
        <v>167226</v>
      </c>
      <c r="I9" s="242">
        <v>168009</v>
      </c>
      <c r="J9" s="242">
        <v>168008</v>
      </c>
      <c r="K9" s="242">
        <v>167867</v>
      </c>
      <c r="L9" s="242">
        <v>168830</v>
      </c>
      <c r="M9" s="242">
        <v>168858</v>
      </c>
      <c r="N9" s="242">
        <v>168988</v>
      </c>
      <c r="O9" s="242">
        <v>169632</v>
      </c>
      <c r="P9" s="242"/>
      <c r="Q9" s="65">
        <f t="shared" ref="Q9:Q16" si="2">SUM(D9:F9)</f>
        <v>502974</v>
      </c>
      <c r="R9" s="65">
        <f t="shared" ref="R9:R16" si="3">SUM(G9:I9)</f>
        <v>503111</v>
      </c>
      <c r="S9" s="65">
        <f t="shared" ref="S9:S16" si="4">SUM(J9:L9)</f>
        <v>504705</v>
      </c>
      <c r="T9" s="65">
        <f t="shared" ref="T9:T16" si="5">SUM(M9:O9)</f>
        <v>507478</v>
      </c>
      <c r="U9" s="65">
        <f t="shared" ref="U9:U16" si="6">SUM(D9:O9)</f>
        <v>2018268</v>
      </c>
    </row>
    <row r="10" spans="1:21" s="71" customFormat="1">
      <c r="A10" s="62">
        <v>2</v>
      </c>
      <c r="B10" s="6" t="s">
        <v>176</v>
      </c>
      <c r="C10" s="62" t="s">
        <v>21</v>
      </c>
      <c r="D10" s="240">
        <f>D22</f>
        <v>19902225.49027</v>
      </c>
      <c r="E10" s="240">
        <f t="shared" ref="E10:F10" si="7">E22</f>
        <v>18156995.431090001</v>
      </c>
      <c r="F10" s="240">
        <f t="shared" si="7"/>
        <v>16737084.3763</v>
      </c>
      <c r="G10" s="242">
        <v>8680515.4363800008</v>
      </c>
      <c r="H10" s="243">
        <v>5177292.2706300002</v>
      </c>
      <c r="I10" s="242">
        <v>3321590.0041199997</v>
      </c>
      <c r="J10" s="242">
        <v>2633257.6504199998</v>
      </c>
      <c r="K10" s="242">
        <v>2239101.1601499999</v>
      </c>
      <c r="L10" s="242">
        <v>2847296.4844299997</v>
      </c>
      <c r="M10" s="242">
        <v>8977248.5705399998</v>
      </c>
      <c r="N10" s="242">
        <v>17157822.990000002</v>
      </c>
      <c r="O10" s="242">
        <v>21531817.68</v>
      </c>
      <c r="P10" s="242"/>
      <c r="Q10" s="65">
        <f t="shared" si="2"/>
        <v>54796305.297660001</v>
      </c>
      <c r="R10" s="65">
        <f t="shared" si="3"/>
        <v>17179397.711130001</v>
      </c>
      <c r="S10" s="65">
        <f t="shared" si="4"/>
        <v>7719655.2949999999</v>
      </c>
      <c r="T10" s="65">
        <f t="shared" si="5"/>
        <v>47666889.240539998</v>
      </c>
      <c r="U10" s="65">
        <f t="shared" si="6"/>
        <v>127362247.54433</v>
      </c>
    </row>
    <row r="11" spans="1:21" s="71" customFormat="1">
      <c r="A11" s="62">
        <v>3</v>
      </c>
      <c r="B11" s="33" t="s">
        <v>37</v>
      </c>
      <c r="C11" s="62" t="s">
        <v>21</v>
      </c>
      <c r="D11" s="241">
        <f>D23</f>
        <v>11069164.310629999</v>
      </c>
      <c r="E11" s="241">
        <f t="shared" ref="E11:F11" si="8">E23</f>
        <v>9201681.0988299996</v>
      </c>
      <c r="F11" s="241">
        <f t="shared" si="8"/>
        <v>8457284.0481899995</v>
      </c>
      <c r="G11" s="244">
        <v>5252399.1651499998</v>
      </c>
      <c r="H11" s="245">
        <v>3776494.5376899997</v>
      </c>
      <c r="I11" s="244">
        <v>3000532.4151799995</v>
      </c>
      <c r="J11" s="244">
        <v>2761937.1970799998</v>
      </c>
      <c r="K11" s="244">
        <v>2607616.0860400004</v>
      </c>
      <c r="L11" s="244">
        <v>2797558.38913</v>
      </c>
      <c r="M11" s="244">
        <v>5409453.3911500005</v>
      </c>
      <c r="N11" s="244">
        <v>9409132.8969499972</v>
      </c>
      <c r="O11" s="244">
        <v>11826569.679900004</v>
      </c>
      <c r="P11" s="244"/>
      <c r="Q11" s="66">
        <f t="shared" si="2"/>
        <v>28728129.457649998</v>
      </c>
      <c r="R11" s="66">
        <f t="shared" si="3"/>
        <v>12029426.11802</v>
      </c>
      <c r="S11" s="66">
        <f t="shared" si="4"/>
        <v>8167111.6722500008</v>
      </c>
      <c r="T11" s="66">
        <f t="shared" si="5"/>
        <v>26645155.968000002</v>
      </c>
      <c r="U11" s="66">
        <f t="shared" si="6"/>
        <v>75569823.215919986</v>
      </c>
    </row>
    <row r="12" spans="1:21" s="71" customFormat="1">
      <c r="A12" s="62">
        <v>4</v>
      </c>
      <c r="B12" s="33" t="s">
        <v>24</v>
      </c>
      <c r="C12" s="62" t="s">
        <v>21</v>
      </c>
      <c r="D12" s="241">
        <f>D24</f>
        <v>1611950.5</v>
      </c>
      <c r="E12" s="241">
        <f t="shared" ref="E12:F12" si="9">E24</f>
        <v>1607723.5</v>
      </c>
      <c r="F12" s="241">
        <f t="shared" si="9"/>
        <v>1613622.5</v>
      </c>
      <c r="G12" s="244">
        <v>1613347</v>
      </c>
      <c r="H12" s="245">
        <v>1609139.5</v>
      </c>
      <c r="I12" s="244">
        <v>1623885</v>
      </c>
      <c r="J12" s="244">
        <v>1623369.5</v>
      </c>
      <c r="K12" s="244">
        <v>1621146.5</v>
      </c>
      <c r="L12" s="244">
        <v>1628022</v>
      </c>
      <c r="M12" s="244">
        <v>1627063</v>
      </c>
      <c r="N12" s="244">
        <v>1625839.5</v>
      </c>
      <c r="O12" s="244">
        <v>1629449.5</v>
      </c>
      <c r="P12" s="244"/>
      <c r="Q12" s="66">
        <f t="shared" si="2"/>
        <v>4833296.5</v>
      </c>
      <c r="R12" s="66">
        <f t="shared" si="3"/>
        <v>4846371.5</v>
      </c>
      <c r="S12" s="66">
        <f t="shared" si="4"/>
        <v>4872538</v>
      </c>
      <c r="T12" s="66">
        <f t="shared" si="5"/>
        <v>4882352</v>
      </c>
      <c r="U12" s="66">
        <f t="shared" si="6"/>
        <v>19434558</v>
      </c>
    </row>
    <row r="13" spans="1:21" s="71" customFormat="1" ht="30" customHeight="1">
      <c r="A13" s="62">
        <v>5</v>
      </c>
      <c r="B13" s="33" t="s">
        <v>162</v>
      </c>
      <c r="C13" s="62" t="s">
        <v>21</v>
      </c>
      <c r="D13" s="62"/>
      <c r="E13" s="62"/>
      <c r="F13" s="62"/>
      <c r="G13" s="242">
        <v>4208</v>
      </c>
      <c r="H13" s="243">
        <v>4233</v>
      </c>
      <c r="I13" s="242">
        <v>4349</v>
      </c>
      <c r="J13" s="242">
        <v>4745</v>
      </c>
      <c r="K13" s="242">
        <v>4977</v>
      </c>
      <c r="L13" s="242">
        <v>5290</v>
      </c>
      <c r="M13" s="242">
        <v>5449</v>
      </c>
      <c r="N13" s="242">
        <v>5715</v>
      </c>
      <c r="O13" s="242">
        <v>5901</v>
      </c>
      <c r="P13" s="242"/>
      <c r="Q13" s="65">
        <f t="shared" si="2"/>
        <v>0</v>
      </c>
      <c r="R13" s="65">
        <f t="shared" si="3"/>
        <v>12790</v>
      </c>
      <c r="S13" s="65">
        <f t="shared" si="4"/>
        <v>15012</v>
      </c>
      <c r="T13" s="65">
        <f t="shared" si="5"/>
        <v>17065</v>
      </c>
      <c r="U13" s="65">
        <f t="shared" si="6"/>
        <v>44867</v>
      </c>
    </row>
    <row r="14" spans="1:21" s="71" customFormat="1">
      <c r="A14" s="62">
        <v>6</v>
      </c>
      <c r="B14" s="6" t="s">
        <v>177</v>
      </c>
      <c r="C14" s="62" t="s">
        <v>21</v>
      </c>
      <c r="D14" s="62"/>
      <c r="E14" s="62"/>
      <c r="F14" s="62"/>
      <c r="G14" s="242">
        <v>268677</v>
      </c>
      <c r="H14" s="243">
        <v>120935.51622</v>
      </c>
      <c r="I14" s="242">
        <v>82419.100000000006</v>
      </c>
      <c r="J14" s="242">
        <v>54756.319149999996</v>
      </c>
      <c r="K14" s="242">
        <v>35744.457240000003</v>
      </c>
      <c r="L14" s="242">
        <v>44184.928159999996</v>
      </c>
      <c r="M14" s="242">
        <v>100287</v>
      </c>
      <c r="N14" s="242">
        <v>370194.34148</v>
      </c>
      <c r="O14" s="242">
        <v>614290.78149999992</v>
      </c>
      <c r="P14" s="242"/>
      <c r="Q14" s="65">
        <f t="shared" si="2"/>
        <v>0</v>
      </c>
      <c r="R14" s="65">
        <f t="shared" si="3"/>
        <v>472031.61621999997</v>
      </c>
      <c r="S14" s="65">
        <f t="shared" si="4"/>
        <v>134685.70454999999</v>
      </c>
      <c r="T14" s="65">
        <f t="shared" si="5"/>
        <v>1084772.12298</v>
      </c>
      <c r="U14" s="65">
        <f t="shared" si="6"/>
        <v>1691489.4437500001</v>
      </c>
    </row>
    <row r="15" spans="1:21" s="71" customFormat="1">
      <c r="A15" s="62">
        <v>7</v>
      </c>
      <c r="B15" s="33" t="s">
        <v>164</v>
      </c>
      <c r="C15" s="62" t="s">
        <v>21</v>
      </c>
      <c r="D15" s="62"/>
      <c r="E15" s="62"/>
      <c r="F15" s="62"/>
      <c r="G15" s="244">
        <v>153300.92000000001</v>
      </c>
      <c r="H15" s="245">
        <v>92622.14</v>
      </c>
      <c r="I15" s="244">
        <v>77766.52</v>
      </c>
      <c r="J15" s="244">
        <v>69541.41</v>
      </c>
      <c r="K15" s="244">
        <v>62486.350000000006</v>
      </c>
      <c r="L15" s="244">
        <v>69408.45</v>
      </c>
      <c r="M15" s="244">
        <v>94794.75</v>
      </c>
      <c r="N15" s="244">
        <v>219658.68</v>
      </c>
      <c r="O15" s="244">
        <v>343300.71</v>
      </c>
      <c r="P15" s="244"/>
      <c r="Q15" s="66">
        <f t="shared" si="2"/>
        <v>0</v>
      </c>
      <c r="R15" s="66">
        <f t="shared" si="3"/>
        <v>323689.58</v>
      </c>
      <c r="S15" s="66">
        <f t="shared" si="4"/>
        <v>201436.21000000002</v>
      </c>
      <c r="T15" s="66">
        <f t="shared" si="5"/>
        <v>657754.14</v>
      </c>
      <c r="U15" s="66">
        <f t="shared" si="6"/>
        <v>1182879.93</v>
      </c>
    </row>
    <row r="16" spans="1:21" s="71" customFormat="1">
      <c r="A16" s="62">
        <v>8</v>
      </c>
      <c r="B16" s="33" t="s">
        <v>178</v>
      </c>
      <c r="C16" s="62" t="s">
        <v>21</v>
      </c>
      <c r="D16" s="62"/>
      <c r="E16" s="62"/>
      <c r="F16" s="62"/>
      <c r="G16" s="244">
        <v>40631.5</v>
      </c>
      <c r="H16" s="245">
        <v>41053.660000000003</v>
      </c>
      <c r="I16" s="244">
        <v>42531.5</v>
      </c>
      <c r="J16" s="244">
        <v>45847</v>
      </c>
      <c r="K16" s="244">
        <v>47224.5</v>
      </c>
      <c r="L16" s="244">
        <v>50372.06</v>
      </c>
      <c r="M16" s="244">
        <v>51661</v>
      </c>
      <c r="N16" s="244">
        <v>54542.559999999998</v>
      </c>
      <c r="O16" s="244">
        <v>56078.5</v>
      </c>
      <c r="P16" s="244"/>
      <c r="Q16" s="66">
        <f t="shared" si="2"/>
        <v>0</v>
      </c>
      <c r="R16" s="66">
        <f t="shared" si="3"/>
        <v>124216.66</v>
      </c>
      <c r="S16" s="66">
        <f t="shared" si="4"/>
        <v>143443.56</v>
      </c>
      <c r="T16" s="66">
        <f t="shared" si="5"/>
        <v>162282.06</v>
      </c>
      <c r="U16" s="66">
        <f t="shared" si="6"/>
        <v>429942.27999999997</v>
      </c>
    </row>
    <row r="17" spans="1:21" s="71" customFormat="1">
      <c r="A17" s="62"/>
      <c r="B17" s="2"/>
      <c r="C17" s="62"/>
      <c r="D17" s="62"/>
      <c r="E17" s="62"/>
      <c r="F17" s="62"/>
      <c r="G17" s="62"/>
      <c r="H17" s="192"/>
      <c r="I17" s="62"/>
      <c r="J17" s="62"/>
      <c r="K17" s="62"/>
      <c r="L17" s="62"/>
      <c r="M17" s="62"/>
      <c r="N17" s="62"/>
      <c r="O17" s="62"/>
      <c r="P17" s="62"/>
      <c r="Q17" s="66"/>
      <c r="R17" s="66"/>
      <c r="S17" s="66"/>
      <c r="T17" s="66"/>
      <c r="U17" s="66"/>
    </row>
    <row r="18" spans="1:21">
      <c r="A18" s="62">
        <v>9</v>
      </c>
      <c r="B18" s="33" t="s">
        <v>179</v>
      </c>
      <c r="C18" s="62" t="str">
        <f>"("&amp;A9&amp;") - ("&amp;A13&amp;")"</f>
        <v>(1) - (5)</v>
      </c>
      <c r="D18" s="137">
        <v>167769</v>
      </c>
      <c r="E18" s="137">
        <v>167465</v>
      </c>
      <c r="F18" s="137">
        <v>167740</v>
      </c>
      <c r="G18" s="246">
        <f>G9-G13</f>
        <v>163668</v>
      </c>
      <c r="H18" s="65">
        <f t="shared" ref="H18:O18" si="10">H9-H13</f>
        <v>162993</v>
      </c>
      <c r="I18" s="65">
        <f>I9-I13</f>
        <v>163660</v>
      </c>
      <c r="J18" s="65">
        <f t="shared" si="10"/>
        <v>163263</v>
      </c>
      <c r="K18" s="65">
        <f t="shared" si="10"/>
        <v>162890</v>
      </c>
      <c r="L18" s="65">
        <f t="shared" si="10"/>
        <v>163540</v>
      </c>
      <c r="M18" s="65">
        <f t="shared" si="10"/>
        <v>163409</v>
      </c>
      <c r="N18" s="65">
        <f t="shared" si="10"/>
        <v>163273</v>
      </c>
      <c r="O18" s="65">
        <f t="shared" si="10"/>
        <v>163731</v>
      </c>
      <c r="P18" s="65"/>
      <c r="Q18" s="65">
        <f>SUM(D18:F18)</f>
        <v>502974</v>
      </c>
      <c r="R18" s="65">
        <f>SUM(G18:I18)</f>
        <v>490321</v>
      </c>
      <c r="S18" s="65">
        <f>SUM(J18:L18)</f>
        <v>489693</v>
      </c>
      <c r="T18" s="65">
        <f>SUM(M18:O18)</f>
        <v>490413</v>
      </c>
      <c r="U18" s="65">
        <f>SUM(D18:O18)</f>
        <v>1973401</v>
      </c>
    </row>
    <row r="19" spans="1:21" s="71" customFormat="1">
      <c r="A19" s="138">
        <f t="shared" ref="A19:A20" si="11">A18+1</f>
        <v>10</v>
      </c>
      <c r="B19" s="108" t="s">
        <v>22</v>
      </c>
      <c r="C19" s="112" t="s">
        <v>86</v>
      </c>
      <c r="D19" s="139">
        <v>55.60659793197712</v>
      </c>
      <c r="E19" s="139">
        <v>44.263101987627543</v>
      </c>
      <c r="F19" s="139">
        <v>36.07004415129321</v>
      </c>
      <c r="G19" s="139">
        <v>27.528453134263444</v>
      </c>
      <c r="H19" s="201">
        <v>16.274018081808052</v>
      </c>
      <c r="I19" s="139">
        <v>8.7168382222626644</v>
      </c>
      <c r="J19" s="139">
        <v>6.4785954827932208</v>
      </c>
      <c r="K19" s="139">
        <v>6.2518978959999378</v>
      </c>
      <c r="L19" s="139">
        <v>8.6899263250780123</v>
      </c>
      <c r="M19" s="139">
        <v>24.177876885571344</v>
      </c>
      <c r="N19" s="139">
        <v>45.04821131204578</v>
      </c>
      <c r="O19" s="139">
        <v>63.76693227791737</v>
      </c>
      <c r="P19" s="139"/>
      <c r="Q19" s="143">
        <f>Q20/Q18</f>
        <v>45.314415673068268</v>
      </c>
      <c r="R19" s="143">
        <f>R20/R18</f>
        <v>17.508276496911773</v>
      </c>
      <c r="S19" s="143">
        <f>S20/S18</f>
        <v>7.1416931297567201</v>
      </c>
      <c r="T19" s="143">
        <f>T20/T18</f>
        <v>44.303313346794781</v>
      </c>
      <c r="U19" s="143">
        <f>U20/U18</f>
        <v>28.681857610855442</v>
      </c>
    </row>
    <row r="20" spans="1:21">
      <c r="A20" s="62">
        <f t="shared" si="11"/>
        <v>11</v>
      </c>
      <c r="B20" s="33" t="s">
        <v>23</v>
      </c>
      <c r="C20" s="62" t="str">
        <f>"("&amp;A18&amp;") x ("&amp;A19&amp;")"</f>
        <v>(9) x (10)</v>
      </c>
      <c r="D20" s="66">
        <f t="shared" ref="D20:N20" si="12">D18*D19</f>
        <v>9329063.3284498695</v>
      </c>
      <c r="E20" s="66">
        <f t="shared" si="12"/>
        <v>7412520.3743580468</v>
      </c>
      <c r="F20" s="66">
        <f t="shared" si="12"/>
        <v>6050389.2059379229</v>
      </c>
      <c r="G20" s="66">
        <f t="shared" si="12"/>
        <v>4505526.8675786294</v>
      </c>
      <c r="H20" s="67">
        <f t="shared" si="12"/>
        <v>2652551.02920814</v>
      </c>
      <c r="I20" s="66">
        <f t="shared" si="12"/>
        <v>1426597.7434555076</v>
      </c>
      <c r="J20" s="66">
        <f t="shared" si="12"/>
        <v>1057714.9343072695</v>
      </c>
      <c r="K20" s="66">
        <f t="shared" si="12"/>
        <v>1018371.6482794299</v>
      </c>
      <c r="L20" s="66">
        <f t="shared" si="12"/>
        <v>1421150.5512032581</v>
      </c>
      <c r="M20" s="66">
        <f t="shared" si="12"/>
        <v>3950882.6839943277</v>
      </c>
      <c r="N20" s="66">
        <f t="shared" si="12"/>
        <v>7355156.6055516507</v>
      </c>
      <c r="O20" s="249">
        <f>O18*O19-19742.07</f>
        <v>10420881.518795688</v>
      </c>
      <c r="P20" s="66" t="s">
        <v>216</v>
      </c>
      <c r="Q20" s="66">
        <f>SUM(D20:F20)</f>
        <v>22791972.90874584</v>
      </c>
      <c r="R20" s="66">
        <f>SUM(G20:I20)</f>
        <v>8584675.6402422767</v>
      </c>
      <c r="S20" s="66">
        <f>SUM(J20:L20)</f>
        <v>3497237.1337899575</v>
      </c>
      <c r="T20" s="66">
        <f>SUM(M20:O20)</f>
        <v>21726920.808341667</v>
      </c>
      <c r="U20" s="66">
        <f>SUM(D20:O20)</f>
        <v>56600806.491119742</v>
      </c>
    </row>
    <row r="21" spans="1:21">
      <c r="A21" s="62"/>
      <c r="B21" s="33"/>
      <c r="C21" s="62"/>
      <c r="D21" s="66"/>
      <c r="E21" s="66"/>
      <c r="F21" s="66"/>
      <c r="G21" s="66"/>
      <c r="H21" s="67"/>
      <c r="I21" s="66"/>
      <c r="J21" s="66"/>
      <c r="K21" s="66"/>
      <c r="L21" s="66"/>
      <c r="M21" s="66"/>
      <c r="N21" s="66"/>
      <c r="O21" s="66"/>
      <c r="P21" s="66"/>
      <c r="Q21" s="63"/>
      <c r="R21" s="63"/>
      <c r="S21" s="63"/>
      <c r="T21" s="63"/>
      <c r="U21" s="63"/>
    </row>
    <row r="22" spans="1:21">
      <c r="A22" s="62">
        <v>12</v>
      </c>
      <c r="B22" s="33" t="s">
        <v>180</v>
      </c>
      <c r="C22" s="62" t="str">
        <f>"("&amp;A10&amp;") - ("&amp;A14&amp;")"</f>
        <v>(2) - (6)</v>
      </c>
      <c r="D22" s="137">
        <v>19902225.49027</v>
      </c>
      <c r="E22" s="137">
        <v>18156995.431090001</v>
      </c>
      <c r="F22" s="137">
        <v>16737084.3763</v>
      </c>
      <c r="G22" s="246">
        <f>G10-G14</f>
        <v>8411838.4363800008</v>
      </c>
      <c r="H22" s="65">
        <f>H10-H14</f>
        <v>5056356.7544100005</v>
      </c>
      <c r="I22" s="65">
        <f t="shared" ref="I22:O22" si="13">I10-I14</f>
        <v>3239170.9041199996</v>
      </c>
      <c r="J22" s="65">
        <f t="shared" si="13"/>
        <v>2578501.33127</v>
      </c>
      <c r="K22" s="65">
        <f t="shared" si="13"/>
        <v>2203356.70291</v>
      </c>
      <c r="L22" s="65">
        <f t="shared" si="13"/>
        <v>2803111.5562699996</v>
      </c>
      <c r="M22" s="65">
        <f t="shared" si="13"/>
        <v>8876961.5705399998</v>
      </c>
      <c r="N22" s="65">
        <f t="shared" si="13"/>
        <v>16787628.64852</v>
      </c>
      <c r="O22" s="65">
        <f t="shared" si="13"/>
        <v>20917526.898499999</v>
      </c>
      <c r="P22" s="65"/>
      <c r="Q22" s="65">
        <f>SUM(D22:F22)</f>
        <v>54796305.297660001</v>
      </c>
      <c r="R22" s="65">
        <f>SUM(G22:I22)</f>
        <v>16707366.094910001</v>
      </c>
      <c r="S22" s="65">
        <f>SUM(J22:L22)</f>
        <v>7584969.59045</v>
      </c>
      <c r="T22" s="65">
        <f>SUM(M22:O22)</f>
        <v>46582117.117559999</v>
      </c>
      <c r="U22" s="65">
        <f>SUM(D22:O22)</f>
        <v>125670758.10058001</v>
      </c>
    </row>
    <row r="23" spans="1:21">
      <c r="A23" s="62">
        <v>13</v>
      </c>
      <c r="B23" s="140" t="s">
        <v>181</v>
      </c>
      <c r="C23" s="62" t="str">
        <f>"("&amp;A11&amp;") - ("&amp;A15&amp;")"</f>
        <v>(3) - (7)</v>
      </c>
      <c r="D23" s="141">
        <v>11069164.310629999</v>
      </c>
      <c r="E23" s="141">
        <v>9201681.0988299996</v>
      </c>
      <c r="F23" s="141">
        <v>8457284.0481899995</v>
      </c>
      <c r="G23" s="252">
        <f>G11-G15</f>
        <v>5099098.2451499999</v>
      </c>
      <c r="H23" s="35">
        <f t="shared" ref="H23:O24" si="14">H11-H15</f>
        <v>3683872.3976899995</v>
      </c>
      <c r="I23" s="35">
        <f t="shared" si="14"/>
        <v>2922765.8951799995</v>
      </c>
      <c r="J23" s="35">
        <f t="shared" si="14"/>
        <v>2692395.7870799997</v>
      </c>
      <c r="K23" s="35">
        <f t="shared" si="14"/>
        <v>2545129.7360400003</v>
      </c>
      <c r="L23" s="35">
        <f t="shared" si="14"/>
        <v>2728149.9391299998</v>
      </c>
      <c r="M23" s="35">
        <f t="shared" si="14"/>
        <v>5314658.6411500005</v>
      </c>
      <c r="N23" s="35">
        <f t="shared" si="14"/>
        <v>9189474.2169499975</v>
      </c>
      <c r="O23" s="35">
        <f t="shared" si="14"/>
        <v>11483268.969900003</v>
      </c>
      <c r="P23" s="35"/>
      <c r="Q23" s="66">
        <f>SUM(D23:F23)</f>
        <v>28728129.457649998</v>
      </c>
      <c r="R23" s="66">
        <f>SUM(G23:I23)</f>
        <v>11705736.53802</v>
      </c>
      <c r="S23" s="66">
        <f>SUM(J23:L23)</f>
        <v>7965675.4622499999</v>
      </c>
      <c r="T23" s="66">
        <f>SUM(M23:O23)</f>
        <v>25987401.828000002</v>
      </c>
      <c r="U23" s="66">
        <f>SUM(D23:O23)</f>
        <v>74386943.285919994</v>
      </c>
    </row>
    <row r="24" spans="1:21">
      <c r="A24" s="62">
        <v>14</v>
      </c>
      <c r="B24" s="33" t="s">
        <v>182</v>
      </c>
      <c r="C24" s="62" t="str">
        <f>"("&amp;A12&amp;") - ("&amp;A16&amp;")"</f>
        <v>(4) - (8)</v>
      </c>
      <c r="D24" s="141">
        <v>1611950.5</v>
      </c>
      <c r="E24" s="141">
        <v>1607723.5</v>
      </c>
      <c r="F24" s="141">
        <v>1613622.5</v>
      </c>
      <c r="G24" s="252">
        <f>G12-G16</f>
        <v>1572715.5</v>
      </c>
      <c r="H24" s="35">
        <f t="shared" si="14"/>
        <v>1568085.84</v>
      </c>
      <c r="I24" s="35">
        <f t="shared" si="14"/>
        <v>1581353.5</v>
      </c>
      <c r="J24" s="35">
        <f t="shared" si="14"/>
        <v>1577522.5</v>
      </c>
      <c r="K24" s="35">
        <f t="shared" si="14"/>
        <v>1573922</v>
      </c>
      <c r="L24" s="35">
        <f t="shared" si="14"/>
        <v>1577649.94</v>
      </c>
      <c r="M24" s="35">
        <f t="shared" si="14"/>
        <v>1575402</v>
      </c>
      <c r="N24" s="35">
        <f t="shared" si="14"/>
        <v>1571296.94</v>
      </c>
      <c r="O24" s="35">
        <f t="shared" si="14"/>
        <v>1573371</v>
      </c>
      <c r="P24" s="35"/>
      <c r="Q24" s="66">
        <f>SUM(D24:F24)</f>
        <v>4833296.5</v>
      </c>
      <c r="R24" s="66">
        <f>SUM(G24:I24)</f>
        <v>4722154.84</v>
      </c>
      <c r="S24" s="66">
        <f>SUM(J24:L24)</f>
        <v>4729094.4399999995</v>
      </c>
      <c r="T24" s="66">
        <f>SUM(M24:O24)</f>
        <v>4720069.9399999995</v>
      </c>
      <c r="U24" s="66">
        <f>SUM(D24:O24)</f>
        <v>19004615.719999999</v>
      </c>
    </row>
    <row r="25" spans="1:21">
      <c r="A25" s="62">
        <v>15</v>
      </c>
      <c r="B25" s="33" t="s">
        <v>25</v>
      </c>
      <c r="C25" s="62" t="str">
        <f>"("&amp;A23&amp;") - ("&amp;A24&amp;")"</f>
        <v>(13) - (14)</v>
      </c>
      <c r="D25" s="66">
        <f>D23-D24</f>
        <v>9457213.8106299993</v>
      </c>
      <c r="E25" s="66">
        <f t="shared" ref="E25:O25" si="15">E23-E24</f>
        <v>7593957.5988299996</v>
      </c>
      <c r="F25" s="66">
        <f t="shared" si="15"/>
        <v>6843661.5481899995</v>
      </c>
      <c r="G25" s="66">
        <f t="shared" si="15"/>
        <v>3526382.7451499999</v>
      </c>
      <c r="H25" s="67">
        <f t="shared" si="15"/>
        <v>2115786.5576899992</v>
      </c>
      <c r="I25" s="66">
        <f t="shared" si="15"/>
        <v>1341412.3951799995</v>
      </c>
      <c r="J25" s="66">
        <f t="shared" si="15"/>
        <v>1114873.2870799997</v>
      </c>
      <c r="K25" s="66">
        <f t="shared" si="15"/>
        <v>971207.73604000034</v>
      </c>
      <c r="L25" s="66">
        <f t="shared" si="15"/>
        <v>1150499.9991299999</v>
      </c>
      <c r="M25" s="66">
        <f t="shared" si="15"/>
        <v>3739256.6411500005</v>
      </c>
      <c r="N25" s="66">
        <f t="shared" si="15"/>
        <v>7618177.276949998</v>
      </c>
      <c r="O25" s="66">
        <f t="shared" si="15"/>
        <v>9909897.9699000027</v>
      </c>
      <c r="P25" s="66"/>
      <c r="Q25" s="66">
        <f>SUM(D25:F25)</f>
        <v>23894832.957649998</v>
      </c>
      <c r="R25" s="66">
        <f>SUM(G25:I25)</f>
        <v>6983581.6980199981</v>
      </c>
      <c r="S25" s="66">
        <f>SUM(J25:L25)</f>
        <v>3236581.0222499999</v>
      </c>
      <c r="T25" s="66">
        <f>SUM(M25:O25)</f>
        <v>21267331.888000004</v>
      </c>
      <c r="U25" s="66">
        <f>SUM(D25:O25)</f>
        <v>55382327.565920003</v>
      </c>
    </row>
    <row r="26" spans="1:21">
      <c r="A26" s="62">
        <v>16</v>
      </c>
      <c r="B26" s="6" t="s">
        <v>26</v>
      </c>
      <c r="C26" s="62" t="str">
        <f>"("&amp;A25&amp;") / ("&amp;A18&amp;")"</f>
        <v>(15) / (9)</v>
      </c>
      <c r="D26" s="10">
        <f>D25/D18</f>
        <v>56.37044871597255</v>
      </c>
      <c r="E26" s="10">
        <f t="shared" ref="E26:O26" si="16">E25/E18</f>
        <v>45.346535687039079</v>
      </c>
      <c r="F26" s="10">
        <f t="shared" si="16"/>
        <v>40.799222297543814</v>
      </c>
      <c r="G26" s="10">
        <f t="shared" si="16"/>
        <v>21.545951225346432</v>
      </c>
      <c r="H26" s="202">
        <f t="shared" si="16"/>
        <v>12.980843089519176</v>
      </c>
      <c r="I26" s="10">
        <f t="shared" si="16"/>
        <v>8.1963362775265765</v>
      </c>
      <c r="J26" s="10">
        <f t="shared" si="16"/>
        <v>6.8286953386866571</v>
      </c>
      <c r="K26" s="10">
        <f t="shared" si="16"/>
        <v>5.9623533429922055</v>
      </c>
      <c r="L26" s="10">
        <f t="shared" si="16"/>
        <v>7.0349761473034116</v>
      </c>
      <c r="M26" s="10">
        <f t="shared" si="16"/>
        <v>22.882807196360055</v>
      </c>
      <c r="N26" s="10">
        <f t="shared" si="16"/>
        <v>46.659137009487168</v>
      </c>
      <c r="O26" s="10">
        <f t="shared" si="16"/>
        <v>60.525483689099822</v>
      </c>
      <c r="P26" s="10"/>
      <c r="Q26" s="143">
        <f>Q25/Q18</f>
        <v>47.50709372184248</v>
      </c>
      <c r="R26" s="143">
        <f>R25/R18</f>
        <v>14.242877009183776</v>
      </c>
      <c r="S26" s="143">
        <f>S25/S18</f>
        <v>6.6094083890314952</v>
      </c>
      <c r="T26" s="143">
        <f>T25/T18</f>
        <v>43.366166655451636</v>
      </c>
      <c r="U26" s="143">
        <f>U25/U18</f>
        <v>28.064406355282074</v>
      </c>
    </row>
    <row r="27" spans="1:21">
      <c r="A27" s="62">
        <v>17</v>
      </c>
      <c r="B27" s="33" t="s">
        <v>27</v>
      </c>
      <c r="C27" s="62" t="str">
        <f>"("&amp;A$23&amp;") - ("&amp;A25&amp;")"</f>
        <v>(13) - (15)</v>
      </c>
      <c r="D27" s="142">
        <f t="shared" ref="D27:O27" si="17">D20-D25</f>
        <v>-128150.48218012974</v>
      </c>
      <c r="E27" s="142">
        <f t="shared" si="17"/>
        <v>-181437.22447195277</v>
      </c>
      <c r="F27" s="142">
        <f t="shared" si="17"/>
        <v>-793272.3422520766</v>
      </c>
      <c r="G27" s="142">
        <f t="shared" si="17"/>
        <v>979144.12242862955</v>
      </c>
      <c r="H27" s="142">
        <f t="shared" si="17"/>
        <v>536764.47151814075</v>
      </c>
      <c r="I27" s="142">
        <f t="shared" si="17"/>
        <v>85185.348275508033</v>
      </c>
      <c r="J27" s="142">
        <f t="shared" si="17"/>
        <v>-57158.35277273017</v>
      </c>
      <c r="K27" s="142">
        <f t="shared" si="17"/>
        <v>47163.912239429541</v>
      </c>
      <c r="L27" s="142">
        <f t="shared" si="17"/>
        <v>270650.55207325821</v>
      </c>
      <c r="M27" s="142">
        <f t="shared" si="17"/>
        <v>211626.04284432717</v>
      </c>
      <c r="N27" s="142">
        <f t="shared" si="17"/>
        <v>-263020.67139834724</v>
      </c>
      <c r="O27" s="142">
        <f t="shared" si="17"/>
        <v>510983.548895685</v>
      </c>
      <c r="P27" s="142"/>
      <c r="Q27" s="66">
        <f>SUM(D27:F27)</f>
        <v>-1102860.0489041591</v>
      </c>
      <c r="R27" s="66">
        <f>SUM(G27:I27)</f>
        <v>1601093.9422222783</v>
      </c>
      <c r="S27" s="66">
        <f>SUM(J27:L27)</f>
        <v>260656.11153995758</v>
      </c>
      <c r="T27" s="66">
        <f>SUM(M27:O27)</f>
        <v>459588.92034166493</v>
      </c>
      <c r="U27" s="66">
        <f>SUM(D27:O27)</f>
        <v>1218478.9251997417</v>
      </c>
    </row>
    <row r="28" spans="1:21">
      <c r="A28" s="62">
        <v>18</v>
      </c>
      <c r="B28" s="33" t="s">
        <v>28</v>
      </c>
      <c r="C28" s="62" t="s">
        <v>29</v>
      </c>
      <c r="D28" s="115">
        <f>D27*-0.046465</f>
        <v>5954.5121544997282</v>
      </c>
      <c r="E28" s="115">
        <f>E27*-0.046465</f>
        <v>8430.480635089285</v>
      </c>
      <c r="F28" s="115">
        <f>F27*-0.046465</f>
        <v>36859.39938274274</v>
      </c>
      <c r="G28" s="115">
        <f t="shared" ref="G28:O28" si="18">G27*-0.044155</f>
        <v>-43234.108725836137</v>
      </c>
      <c r="H28" s="115">
        <f t="shared" si="18"/>
        <v>-23700.835239883505</v>
      </c>
      <c r="I28" s="115">
        <f t="shared" si="18"/>
        <v>-3761.3590531050572</v>
      </c>
      <c r="J28" s="115">
        <f t="shared" si="18"/>
        <v>2523.8270666799008</v>
      </c>
      <c r="K28" s="115">
        <f t="shared" si="18"/>
        <v>-2082.5225449320114</v>
      </c>
      <c r="L28" s="115">
        <f t="shared" si="18"/>
        <v>-11950.575126794716</v>
      </c>
      <c r="M28" s="115">
        <f t="shared" si="18"/>
        <v>-9344.3479217912663</v>
      </c>
      <c r="N28" s="115">
        <f t="shared" si="18"/>
        <v>11613.677745594023</v>
      </c>
      <c r="O28" s="115">
        <f t="shared" si="18"/>
        <v>-22562.478601488972</v>
      </c>
      <c r="P28" s="115"/>
      <c r="Q28" s="66">
        <f>SUM(D28:F28)</f>
        <v>51244.392172331754</v>
      </c>
      <c r="R28" s="66">
        <f>SUM(G28:I28)</f>
        <v>-70696.303018824692</v>
      </c>
      <c r="S28" s="66">
        <f>SUM(J28:L28)</f>
        <v>-11509.270605046826</v>
      </c>
      <c r="T28" s="66">
        <f>SUM(M28:O28)</f>
        <v>-20293.148777686216</v>
      </c>
      <c r="U28" s="66">
        <f>SUM(D28:O28)</f>
        <v>-51254.33022922599</v>
      </c>
    </row>
    <row r="29" spans="1:21" ht="14.45" customHeight="1">
      <c r="A29" s="62">
        <v>19</v>
      </c>
      <c r="B29" s="33"/>
      <c r="C29" s="7" t="s">
        <v>30</v>
      </c>
      <c r="D29" s="116">
        <v>4.9599999999999998E-2</v>
      </c>
      <c r="E29" s="116">
        <v>4.9599999999999998E-2</v>
      </c>
      <c r="F29" s="116">
        <v>4.9599999999999998E-2</v>
      </c>
      <c r="G29" s="116">
        <v>4.7500000000000001E-2</v>
      </c>
      <c r="H29" s="198">
        <v>4.7500000000000001E-2</v>
      </c>
      <c r="I29" s="116">
        <v>4.7500000000000001E-2</v>
      </c>
      <c r="J29" s="258">
        <v>3.4299999999999997E-2</v>
      </c>
      <c r="K29" s="258">
        <v>3.4299999999999997E-2</v>
      </c>
      <c r="L29" s="258">
        <v>3.4299999999999997E-2</v>
      </c>
      <c r="M29" s="263">
        <v>3.2500000000000001E-2</v>
      </c>
      <c r="N29" s="263">
        <v>3.2500000000000001E-2</v>
      </c>
      <c r="O29" s="263">
        <v>3.2500000000000001E-2</v>
      </c>
      <c r="P29" s="263"/>
      <c r="Q29" s="72"/>
      <c r="R29" s="72"/>
      <c r="S29" s="72"/>
      <c r="T29" s="72"/>
      <c r="U29" s="72"/>
    </row>
    <row r="30" spans="1:21">
      <c r="A30" s="62">
        <v>20</v>
      </c>
      <c r="B30" s="33" t="s">
        <v>31</v>
      </c>
      <c r="C30" s="7" t="s">
        <v>35</v>
      </c>
      <c r="D30" s="8">
        <f>(D27+D28)/2*D29/12</f>
        <v>-252.5383380529687</v>
      </c>
      <c r="E30" s="8">
        <f>(D32+(E27+E28)/2)*E29/12</f>
        <v>-863.66777183274087</v>
      </c>
      <c r="F30" s="8">
        <f t="shared" ref="F30:O30" si="19">(E32+(F27+F28)/2)*F29/12</f>
        <v>-2788.0382844824576</v>
      </c>
      <c r="G30" s="8">
        <f t="shared" si="19"/>
        <v>-2325.7777065044115</v>
      </c>
      <c r="H30" s="199">
        <f t="shared" si="19"/>
        <v>532.7764389948378</v>
      </c>
      <c r="I30" s="8">
        <f t="shared" si="19"/>
        <v>1711.4754378692489</v>
      </c>
      <c r="J30" s="8">
        <f t="shared" si="19"/>
        <v>1279.0439970195441</v>
      </c>
      <c r="K30" s="8">
        <f>(J32+(K27+K28)/2)*K29/12</f>
        <v>1269.0469075611809</v>
      </c>
      <c r="L30" s="8">
        <f t="shared" si="19"/>
        <v>1706.8284697963334</v>
      </c>
      <c r="M30" s="8">
        <f t="shared" si="19"/>
        <v>2246.1259708825537</v>
      </c>
      <c r="N30" s="8">
        <f t="shared" si="19"/>
        <v>2185.6853866898582</v>
      </c>
      <c r="O30" s="8">
        <f t="shared" si="19"/>
        <v>2512.5615133974302</v>
      </c>
      <c r="P30" s="8"/>
      <c r="Q30" s="66">
        <f>SUM(D30:F30)</f>
        <v>-3904.2443943681674</v>
      </c>
      <c r="R30" s="66">
        <f>SUM(G30:I30)</f>
        <v>-81.525829640324673</v>
      </c>
      <c r="S30" s="66">
        <f>SUM(J30:L30)</f>
        <v>4254.9193743770584</v>
      </c>
      <c r="T30" s="66">
        <f>SUM(M30:O30)</f>
        <v>6944.3728709698426</v>
      </c>
      <c r="U30" s="8">
        <f>SUM(D30:O30)</f>
        <v>7213.5220213384091</v>
      </c>
    </row>
    <row r="31" spans="1:21" ht="15.75" thickBot="1">
      <c r="A31" s="62">
        <v>21</v>
      </c>
      <c r="B31" s="9" t="s">
        <v>32</v>
      </c>
      <c r="C31" s="62"/>
      <c r="D31" s="11">
        <f>D27+D28+D30</f>
        <v>-122448.50836368298</v>
      </c>
      <c r="E31" s="11">
        <f t="shared" ref="E31:O31" si="20">E27+E28+E30</f>
        <v>-173870.41160869622</v>
      </c>
      <c r="F31" s="11">
        <f t="shared" si="20"/>
        <v>-759200.98115381633</v>
      </c>
      <c r="G31" s="11">
        <f t="shared" si="20"/>
        <v>933584.23599628895</v>
      </c>
      <c r="H31" s="11">
        <f t="shared" si="20"/>
        <v>513596.4127172521</v>
      </c>
      <c r="I31" s="11">
        <f t="shared" si="20"/>
        <v>83135.46466027222</v>
      </c>
      <c r="J31" s="11">
        <f t="shared" si="20"/>
        <v>-53355.481709030726</v>
      </c>
      <c r="K31" s="11">
        <f t="shared" si="20"/>
        <v>46350.436602058711</v>
      </c>
      <c r="L31" s="11">
        <f t="shared" si="20"/>
        <v>260406.80541625983</v>
      </c>
      <c r="M31" s="11">
        <f t="shared" si="20"/>
        <v>204527.82089341848</v>
      </c>
      <c r="N31" s="11">
        <f t="shared" si="20"/>
        <v>-249221.30826606337</v>
      </c>
      <c r="O31" s="11">
        <f t="shared" si="20"/>
        <v>490933.63180759345</v>
      </c>
      <c r="P31" s="11"/>
      <c r="Q31" s="68">
        <f>Q27+Q28+Q30</f>
        <v>-1055519.9011261957</v>
      </c>
      <c r="R31" s="68">
        <f>R27+R28+R30</f>
        <v>1530316.1133738135</v>
      </c>
      <c r="S31" s="68">
        <f>S27+S28+S30</f>
        <v>253401.76030928781</v>
      </c>
      <c r="T31" s="68">
        <f>T27+T28+T30</f>
        <v>446240.14443494851</v>
      </c>
      <c r="U31" s="68">
        <f>U27+U28+U30</f>
        <v>1174438.116991854</v>
      </c>
    </row>
    <row r="32" spans="1:21" ht="15.75" thickBot="1">
      <c r="A32" s="62">
        <v>22</v>
      </c>
      <c r="B32" s="33" t="s">
        <v>183</v>
      </c>
      <c r="C32" s="62" t="str">
        <f>"Σ(("&amp;A27&amp;") ,("&amp;A28&amp;") , ("&amp;A30&amp;"))"</f>
        <v>Σ((17) ,(18) , (20))</v>
      </c>
      <c r="D32" s="66">
        <f>D27+D28+D30</f>
        <v>-122448.50836368298</v>
      </c>
      <c r="E32" s="66">
        <f>D32+E27+E28+E30</f>
        <v>-296318.91997237923</v>
      </c>
      <c r="F32" s="66">
        <f t="shared" ref="F32:N32" si="21">E32+F27+F28+F30</f>
        <v>-1055519.9011261954</v>
      </c>
      <c r="G32" s="66">
        <f t="shared" si="21"/>
        <v>-121935.66512990644</v>
      </c>
      <c r="H32" s="67">
        <f t="shared" si="21"/>
        <v>391660.74758734566</v>
      </c>
      <c r="I32" s="66">
        <f t="shared" si="21"/>
        <v>474796.21224761789</v>
      </c>
      <c r="J32" s="66">
        <f t="shared" si="21"/>
        <v>421440.73053858714</v>
      </c>
      <c r="K32" s="66">
        <f t="shared" si="21"/>
        <v>467791.16714064585</v>
      </c>
      <c r="L32" s="66">
        <f t="shared" si="21"/>
        <v>728197.9725569057</v>
      </c>
      <c r="M32" s="66">
        <f t="shared" si="21"/>
        <v>932725.79345032421</v>
      </c>
      <c r="N32" s="66">
        <f t="shared" si="21"/>
        <v>683504.48518426088</v>
      </c>
      <c r="O32" s="117">
        <f>N32+O27+O28+O30</f>
        <v>1174438.1169918543</v>
      </c>
      <c r="P32" s="27"/>
      <c r="Q32" s="66"/>
      <c r="R32" s="26"/>
      <c r="S32" s="66"/>
      <c r="T32" s="66"/>
      <c r="U32" s="1"/>
    </row>
    <row r="33" spans="1:21" ht="36.75" customHeight="1">
      <c r="A33" s="301" t="s">
        <v>218</v>
      </c>
      <c r="B33" s="301"/>
      <c r="C33" s="301"/>
      <c r="D33" s="301"/>
      <c r="E33" s="301"/>
      <c r="F33" s="301"/>
      <c r="G33" s="301"/>
      <c r="H33" s="301"/>
      <c r="I33" s="301"/>
      <c r="J33" s="301"/>
      <c r="K33" s="301"/>
      <c r="L33" s="301"/>
      <c r="M33" s="301"/>
      <c r="N33" s="301"/>
      <c r="O33" s="301"/>
      <c r="P33" s="301"/>
      <c r="Q33" s="301"/>
      <c r="R33" s="301"/>
      <c r="S33" s="301"/>
      <c r="T33" s="301"/>
      <c r="U33" s="301"/>
    </row>
    <row r="34" spans="1:21">
      <c r="A34" s="62"/>
      <c r="B34" s="2" t="s">
        <v>33</v>
      </c>
      <c r="C34" s="62"/>
      <c r="D34" s="62"/>
      <c r="E34" s="62"/>
      <c r="F34" s="62"/>
      <c r="G34" s="62"/>
      <c r="H34" s="192"/>
      <c r="I34" s="62"/>
      <c r="J34" s="62"/>
      <c r="K34" s="62"/>
      <c r="L34" s="62"/>
      <c r="M34" s="62"/>
      <c r="N34" s="62"/>
      <c r="O34" s="62"/>
      <c r="P34" s="62"/>
      <c r="Q34" s="66"/>
      <c r="R34" s="34"/>
      <c r="S34" s="66"/>
      <c r="T34" s="66"/>
      <c r="U34" s="5"/>
    </row>
    <row r="35" spans="1:21" s="71" customFormat="1">
      <c r="A35" s="62">
        <v>23</v>
      </c>
      <c r="B35" s="33" t="s">
        <v>20</v>
      </c>
      <c r="C35" s="62" t="s">
        <v>21</v>
      </c>
      <c r="D35" s="240">
        <f>D44</f>
        <v>3142</v>
      </c>
      <c r="E35" s="240">
        <f t="shared" ref="E35:F35" si="22">E44</f>
        <v>3158</v>
      </c>
      <c r="F35" s="240">
        <f t="shared" si="22"/>
        <v>3147</v>
      </c>
      <c r="G35" s="242">
        <v>3153</v>
      </c>
      <c r="H35" s="243">
        <v>3122</v>
      </c>
      <c r="I35" s="242">
        <v>3159</v>
      </c>
      <c r="J35" s="242">
        <v>3148</v>
      </c>
      <c r="K35" s="242">
        <v>3122</v>
      </c>
      <c r="L35" s="242">
        <v>3151</v>
      </c>
      <c r="M35" s="242">
        <v>3156</v>
      </c>
      <c r="N35" s="242">
        <v>3158</v>
      </c>
      <c r="O35" s="242">
        <v>3173</v>
      </c>
      <c r="P35" s="242"/>
      <c r="Q35" s="65">
        <f t="shared" ref="Q35:Q42" si="23">SUM(D35:F35)</f>
        <v>9447</v>
      </c>
      <c r="R35" s="65">
        <f t="shared" ref="R35:R42" si="24">SUM(G35:I35)</f>
        <v>9434</v>
      </c>
      <c r="S35" s="65">
        <f t="shared" ref="S35:S42" si="25">SUM(J35:L35)</f>
        <v>9421</v>
      </c>
      <c r="T35" s="65">
        <f t="shared" ref="T35:T42" si="26">SUM(M35:O35)</f>
        <v>9487</v>
      </c>
      <c r="U35" s="65">
        <f t="shared" ref="U35:U42" si="27">SUM(D35:O35)</f>
        <v>37789</v>
      </c>
    </row>
    <row r="36" spans="1:21" s="71" customFormat="1">
      <c r="A36" s="62">
        <v>24</v>
      </c>
      <c r="B36" s="6" t="s">
        <v>176</v>
      </c>
      <c r="C36" s="62" t="s">
        <v>21</v>
      </c>
      <c r="D36" s="240">
        <f>D48</f>
        <v>8048134.9322300004</v>
      </c>
      <c r="E36" s="240">
        <f t="shared" ref="E36:F36" si="28">E48</f>
        <v>7886249.7823200002</v>
      </c>
      <c r="F36" s="240">
        <f t="shared" si="28"/>
        <v>7168311.4264900004</v>
      </c>
      <c r="G36" s="242">
        <v>3634381.8090300001</v>
      </c>
      <c r="H36" s="243">
        <v>2904967.92667</v>
      </c>
      <c r="I36" s="242">
        <v>1882575.8246300002</v>
      </c>
      <c r="J36" s="242">
        <v>1780378.2680599999</v>
      </c>
      <c r="K36" s="242">
        <v>1674514.8459600001</v>
      </c>
      <c r="L36" s="242">
        <v>2068490.6487999998</v>
      </c>
      <c r="M36" s="242">
        <v>4988125.6679999996</v>
      </c>
      <c r="N36" s="242">
        <v>5823340.1000000006</v>
      </c>
      <c r="O36" s="242">
        <v>7851509.3900000006</v>
      </c>
      <c r="P36" s="242"/>
      <c r="Q36" s="65">
        <f t="shared" si="23"/>
        <v>23102696.141040001</v>
      </c>
      <c r="R36" s="65">
        <f t="shared" si="24"/>
        <v>8421925.5603299998</v>
      </c>
      <c r="S36" s="65">
        <f t="shared" si="25"/>
        <v>5523383.7628199998</v>
      </c>
      <c r="T36" s="65">
        <f t="shared" si="26"/>
        <v>18662975.158</v>
      </c>
      <c r="U36" s="65">
        <f t="shared" si="27"/>
        <v>55710980.622189999</v>
      </c>
    </row>
    <row r="37" spans="1:21" s="71" customFormat="1">
      <c r="A37" s="62">
        <v>25</v>
      </c>
      <c r="B37" s="33" t="s">
        <v>37</v>
      </c>
      <c r="C37" s="62" t="s">
        <v>21</v>
      </c>
      <c r="D37" s="241">
        <f>D49</f>
        <v>2616089.6451899996</v>
      </c>
      <c r="E37" s="241">
        <f t="shared" ref="E37:F37" si="29">E49</f>
        <v>2269382.8915599994</v>
      </c>
      <c r="F37" s="241">
        <f t="shared" si="29"/>
        <v>2087429.1248900001</v>
      </c>
      <c r="G37" s="244">
        <v>1271851.6594199999</v>
      </c>
      <c r="H37" s="245">
        <v>1057693.92821</v>
      </c>
      <c r="I37" s="244">
        <v>769947.56831999996</v>
      </c>
      <c r="J37" s="244">
        <v>753246.57704000012</v>
      </c>
      <c r="K37" s="244">
        <v>745620.61048999999</v>
      </c>
      <c r="L37" s="244">
        <v>839522.80458000011</v>
      </c>
      <c r="M37" s="244">
        <v>1642482.98893</v>
      </c>
      <c r="N37" s="244">
        <v>1906840.4534799999</v>
      </c>
      <c r="O37" s="244">
        <v>2470330.58348</v>
      </c>
      <c r="P37" s="244"/>
      <c r="Q37" s="66">
        <f t="shared" si="23"/>
        <v>6972901.6616399996</v>
      </c>
      <c r="R37" s="66">
        <f t="shared" si="24"/>
        <v>3099493.15595</v>
      </c>
      <c r="S37" s="66">
        <f t="shared" si="25"/>
        <v>2338389.9921100005</v>
      </c>
      <c r="T37" s="66">
        <f t="shared" si="26"/>
        <v>6019654.0258900002</v>
      </c>
      <c r="U37" s="66">
        <f t="shared" si="27"/>
        <v>18430438.835589997</v>
      </c>
    </row>
    <row r="38" spans="1:21" s="71" customFormat="1">
      <c r="A38" s="62">
        <v>26</v>
      </c>
      <c r="B38" s="33" t="s">
        <v>24</v>
      </c>
      <c r="C38" s="62" t="s">
        <v>21</v>
      </c>
      <c r="D38" s="241">
        <f>D50</f>
        <v>306762.17</v>
      </c>
      <c r="E38" s="241">
        <f t="shared" ref="E38:F38" si="30">E50</f>
        <v>308694.15999999997</v>
      </c>
      <c r="F38" s="241">
        <f t="shared" si="30"/>
        <v>307626.48000000004</v>
      </c>
      <c r="G38" s="244">
        <v>322893.81</v>
      </c>
      <c r="H38" s="245">
        <v>336113.32</v>
      </c>
      <c r="I38" s="244">
        <v>340493.83999999997</v>
      </c>
      <c r="J38" s="244">
        <v>339112.1</v>
      </c>
      <c r="K38" s="244">
        <v>336676</v>
      </c>
      <c r="L38" s="244">
        <v>340190.85</v>
      </c>
      <c r="M38" s="244">
        <v>340206.81</v>
      </c>
      <c r="N38" s="244">
        <v>339538.82</v>
      </c>
      <c r="O38" s="244">
        <v>341751.92</v>
      </c>
      <c r="P38" s="244"/>
      <c r="Q38" s="66">
        <f t="shared" si="23"/>
        <v>923082.81</v>
      </c>
      <c r="R38" s="66">
        <f t="shared" si="24"/>
        <v>999500.97</v>
      </c>
      <c r="S38" s="66">
        <f t="shared" si="25"/>
        <v>1015978.95</v>
      </c>
      <c r="T38" s="66">
        <f t="shared" si="26"/>
        <v>1021497.55</v>
      </c>
      <c r="U38" s="66">
        <f t="shared" si="27"/>
        <v>3960060.2800000003</v>
      </c>
    </row>
    <row r="39" spans="1:21" s="71" customFormat="1" ht="30" customHeight="1">
      <c r="A39" s="62">
        <v>27</v>
      </c>
      <c r="B39" s="33" t="s">
        <v>162</v>
      </c>
      <c r="C39" s="62" t="s">
        <v>21</v>
      </c>
      <c r="D39" s="62"/>
      <c r="E39" s="62"/>
      <c r="F39" s="62"/>
      <c r="G39" s="242">
        <v>41</v>
      </c>
      <c r="H39" s="243">
        <v>38</v>
      </c>
      <c r="I39" s="242">
        <v>38</v>
      </c>
      <c r="J39" s="242">
        <v>38</v>
      </c>
      <c r="K39" s="242">
        <v>42</v>
      </c>
      <c r="L39" s="242">
        <v>37</v>
      </c>
      <c r="M39" s="242">
        <v>36</v>
      </c>
      <c r="N39" s="242">
        <v>44</v>
      </c>
      <c r="O39" s="242">
        <v>42</v>
      </c>
      <c r="P39" s="242"/>
      <c r="Q39" s="65">
        <f t="shared" si="23"/>
        <v>0</v>
      </c>
      <c r="R39" s="65">
        <f t="shared" si="24"/>
        <v>117</v>
      </c>
      <c r="S39" s="65">
        <f t="shared" si="25"/>
        <v>117</v>
      </c>
      <c r="T39" s="65">
        <f t="shared" si="26"/>
        <v>122</v>
      </c>
      <c r="U39" s="65">
        <f t="shared" si="27"/>
        <v>356</v>
      </c>
    </row>
    <row r="40" spans="1:21" s="71" customFormat="1">
      <c r="A40" s="62">
        <v>28</v>
      </c>
      <c r="B40" s="6" t="s">
        <v>177</v>
      </c>
      <c r="C40" s="62" t="s">
        <v>21</v>
      </c>
      <c r="D40" s="62"/>
      <c r="E40" s="62"/>
      <c r="F40" s="62"/>
      <c r="G40" s="242">
        <v>108540</v>
      </c>
      <c r="H40" s="243">
        <v>55253.154240000003</v>
      </c>
      <c r="I40" s="242">
        <v>35573.4</v>
      </c>
      <c r="J40" s="242">
        <v>22680.040700000001</v>
      </c>
      <c r="K40" s="242">
        <v>15266.382170000001</v>
      </c>
      <c r="L40" s="242">
        <v>17846.57302</v>
      </c>
      <c r="M40" s="242">
        <v>28994</v>
      </c>
      <c r="N40" s="242">
        <v>73865.520610000007</v>
      </c>
      <c r="O40" s="242">
        <v>142469.31888000001</v>
      </c>
      <c r="P40" s="242"/>
      <c r="Q40" s="65">
        <f t="shared" si="23"/>
        <v>0</v>
      </c>
      <c r="R40" s="65">
        <f t="shared" si="24"/>
        <v>199366.55424</v>
      </c>
      <c r="S40" s="65">
        <f t="shared" si="25"/>
        <v>55792.995890000006</v>
      </c>
      <c r="T40" s="65">
        <f t="shared" si="26"/>
        <v>245328.83949000001</v>
      </c>
      <c r="U40" s="65">
        <f t="shared" si="27"/>
        <v>500488.38962000003</v>
      </c>
    </row>
    <row r="41" spans="1:21" s="71" customFormat="1">
      <c r="A41" s="62">
        <v>29</v>
      </c>
      <c r="B41" s="33" t="s">
        <v>164</v>
      </c>
      <c r="C41" s="62" t="s">
        <v>21</v>
      </c>
      <c r="D41" s="62"/>
      <c r="E41" s="62"/>
      <c r="F41" s="62"/>
      <c r="G41" s="244">
        <v>32148.65</v>
      </c>
      <c r="H41" s="245">
        <v>18347.89</v>
      </c>
      <c r="I41" s="244">
        <v>13156.25</v>
      </c>
      <c r="J41" s="244">
        <v>9775.08</v>
      </c>
      <c r="K41" s="244">
        <v>7888.57</v>
      </c>
      <c r="L41" s="244">
        <v>8345.41</v>
      </c>
      <c r="M41" s="244">
        <v>11208.43</v>
      </c>
      <c r="N41" s="244">
        <v>23820.26</v>
      </c>
      <c r="O41" s="244">
        <v>41806.769999999997</v>
      </c>
      <c r="P41" s="244"/>
      <c r="Q41" s="66">
        <f t="shared" si="23"/>
        <v>0</v>
      </c>
      <c r="R41" s="66">
        <f t="shared" si="24"/>
        <v>63652.79</v>
      </c>
      <c r="S41" s="66">
        <f t="shared" si="25"/>
        <v>26009.06</v>
      </c>
      <c r="T41" s="66">
        <f t="shared" si="26"/>
        <v>76835.459999999992</v>
      </c>
      <c r="U41" s="66">
        <f t="shared" si="27"/>
        <v>166497.31</v>
      </c>
    </row>
    <row r="42" spans="1:21" s="71" customFormat="1">
      <c r="A42" s="62">
        <v>30</v>
      </c>
      <c r="B42" s="33" t="s">
        <v>178</v>
      </c>
      <c r="C42" s="62" t="s">
        <v>21</v>
      </c>
      <c r="D42" s="62"/>
      <c r="E42" s="62"/>
      <c r="F42" s="62"/>
      <c r="G42" s="244">
        <v>4089.6600000000003</v>
      </c>
      <c r="H42" s="245">
        <v>3927.7</v>
      </c>
      <c r="I42" s="244">
        <v>4108.87</v>
      </c>
      <c r="J42" s="244">
        <v>4087.39</v>
      </c>
      <c r="K42" s="244">
        <v>4252.16</v>
      </c>
      <c r="L42" s="244">
        <v>3979.67</v>
      </c>
      <c r="M42" s="244">
        <v>3829.17</v>
      </c>
      <c r="N42" s="244">
        <v>3860.2</v>
      </c>
      <c r="O42" s="244">
        <v>4510.3999999999996</v>
      </c>
      <c r="P42" s="244"/>
      <c r="Q42" s="66">
        <f t="shared" si="23"/>
        <v>0</v>
      </c>
      <c r="R42" s="66">
        <f t="shared" si="24"/>
        <v>12126.23</v>
      </c>
      <c r="S42" s="66">
        <f t="shared" si="25"/>
        <v>12319.22</v>
      </c>
      <c r="T42" s="66">
        <f t="shared" si="26"/>
        <v>12199.77</v>
      </c>
      <c r="U42" s="66">
        <f t="shared" si="27"/>
        <v>36645.219999999994</v>
      </c>
    </row>
    <row r="43" spans="1:21" s="71" customFormat="1">
      <c r="A43" s="62"/>
      <c r="B43" s="2"/>
      <c r="C43" s="62"/>
      <c r="D43" s="62"/>
      <c r="E43" s="62"/>
      <c r="F43" s="62"/>
      <c r="G43" s="62"/>
      <c r="H43" s="192"/>
      <c r="I43" s="62"/>
      <c r="J43" s="62"/>
      <c r="K43" s="62"/>
      <c r="L43" s="62"/>
      <c r="M43" s="62"/>
      <c r="N43" s="62"/>
      <c r="O43" s="62"/>
      <c r="P43" s="62"/>
      <c r="Q43" s="66"/>
      <c r="R43" s="66"/>
      <c r="S43" s="66"/>
      <c r="T43" s="66"/>
      <c r="U43" s="66"/>
    </row>
    <row r="44" spans="1:21">
      <c r="A44" s="62">
        <v>31</v>
      </c>
      <c r="B44" s="33" t="s">
        <v>184</v>
      </c>
      <c r="C44" s="62" t="str">
        <f>"("&amp;A35&amp;") - ("&amp;A39&amp;")"</f>
        <v>(23) - (27)</v>
      </c>
      <c r="D44" s="137">
        <v>3142</v>
      </c>
      <c r="E44" s="137">
        <v>3158</v>
      </c>
      <c r="F44" s="137">
        <v>3147</v>
      </c>
      <c r="G44" s="246">
        <f>G35-G39</f>
        <v>3112</v>
      </c>
      <c r="H44" s="65">
        <f t="shared" ref="H44:O44" si="31">H35-H39</f>
        <v>3084</v>
      </c>
      <c r="I44" s="65">
        <f t="shared" si="31"/>
        <v>3121</v>
      </c>
      <c r="J44" s="65">
        <f t="shared" si="31"/>
        <v>3110</v>
      </c>
      <c r="K44" s="65">
        <f t="shared" si="31"/>
        <v>3080</v>
      </c>
      <c r="L44" s="65">
        <f t="shared" si="31"/>
        <v>3114</v>
      </c>
      <c r="M44" s="65">
        <f t="shared" si="31"/>
        <v>3120</v>
      </c>
      <c r="N44" s="65">
        <f t="shared" si="31"/>
        <v>3114</v>
      </c>
      <c r="O44" s="65">
        <f t="shared" si="31"/>
        <v>3131</v>
      </c>
      <c r="P44" s="65"/>
      <c r="Q44" s="65">
        <f>SUM(D44:F44)</f>
        <v>9447</v>
      </c>
      <c r="R44" s="65">
        <f>SUM(G44:I44)</f>
        <v>9317</v>
      </c>
      <c r="S44" s="65">
        <f>SUM(J44:L44)</f>
        <v>9304</v>
      </c>
      <c r="T44" s="65">
        <f>SUM(M44:O44)</f>
        <v>9365</v>
      </c>
      <c r="U44" s="65">
        <f>SUM(D44:O44)</f>
        <v>37433</v>
      </c>
    </row>
    <row r="45" spans="1:21" s="71" customFormat="1">
      <c r="A45" s="138">
        <v>32</v>
      </c>
      <c r="B45" s="108" t="s">
        <v>22</v>
      </c>
      <c r="C45" s="112" t="s">
        <v>87</v>
      </c>
      <c r="D45" s="139">
        <v>644.72071006316287</v>
      </c>
      <c r="E45" s="139">
        <v>572.95798240681665</v>
      </c>
      <c r="F45" s="139">
        <v>501.96685841519201</v>
      </c>
      <c r="G45" s="139">
        <v>402.99032361790921</v>
      </c>
      <c r="H45" s="201">
        <v>291.99506227931914</v>
      </c>
      <c r="I45" s="139">
        <v>212.4602059762959</v>
      </c>
      <c r="J45" s="139">
        <v>153.38546791191717</v>
      </c>
      <c r="K45" s="139">
        <v>167.80399902052821</v>
      </c>
      <c r="L45" s="139">
        <v>199.68854818394192</v>
      </c>
      <c r="M45" s="139">
        <v>363.99825171452284</v>
      </c>
      <c r="N45" s="139">
        <v>552.4938504126975</v>
      </c>
      <c r="O45" s="139">
        <v>675.30369426127231</v>
      </c>
      <c r="P45" s="139"/>
      <c r="Q45" s="143">
        <f>Q46/Q44</f>
        <v>573.1770385192965</v>
      </c>
      <c r="R45" s="143">
        <f>R46/R44</f>
        <v>302.42642073847514</v>
      </c>
      <c r="S45" s="143">
        <f>S46/S44</f>
        <v>173.65598250581303</v>
      </c>
      <c r="T45" s="143">
        <f>T46/T44</f>
        <v>529.39955603486328</v>
      </c>
      <c r="U45" s="143">
        <f>U46/U44</f>
        <v>395.53422243509061</v>
      </c>
    </row>
    <row r="46" spans="1:21">
      <c r="A46" s="62">
        <v>33</v>
      </c>
      <c r="B46" s="33" t="s">
        <v>23</v>
      </c>
      <c r="C46" s="62" t="str">
        <f>"("&amp;A44&amp;") x ("&amp;A45&amp;")"</f>
        <v>(31) x (32)</v>
      </c>
      <c r="D46" s="66">
        <f t="shared" ref="D46:N46" si="32">D44*D45</f>
        <v>2025712.4710184578</v>
      </c>
      <c r="E46" s="66">
        <f t="shared" si="32"/>
        <v>1809401.3084407269</v>
      </c>
      <c r="F46" s="66">
        <f t="shared" si="32"/>
        <v>1579689.7034326093</v>
      </c>
      <c r="G46" s="66">
        <f t="shared" si="32"/>
        <v>1254105.8870989336</v>
      </c>
      <c r="H46" s="67">
        <f t="shared" si="32"/>
        <v>900512.7720694202</v>
      </c>
      <c r="I46" s="66">
        <f t="shared" si="32"/>
        <v>663088.30285201943</v>
      </c>
      <c r="J46" s="66">
        <f t="shared" si="32"/>
        <v>477028.80520606239</v>
      </c>
      <c r="K46" s="66">
        <f t="shared" si="32"/>
        <v>516836.31698322686</v>
      </c>
      <c r="L46" s="66">
        <f t="shared" si="32"/>
        <v>621830.13904479519</v>
      </c>
      <c r="M46" s="66">
        <f t="shared" si="32"/>
        <v>1135674.5453493113</v>
      </c>
      <c r="N46" s="66">
        <f t="shared" si="32"/>
        <v>1720465.85018514</v>
      </c>
      <c r="O46" s="249">
        <f>O44*O45-12689.42</f>
        <v>2101686.4467320438</v>
      </c>
      <c r="P46" s="66" t="s">
        <v>126</v>
      </c>
      <c r="Q46" s="66">
        <f>SUM(D46:F46)</f>
        <v>5414803.4828917943</v>
      </c>
      <c r="R46" s="66">
        <f>SUM(G46:I46)</f>
        <v>2817706.962020373</v>
      </c>
      <c r="S46" s="66">
        <f>SUM(J46:L46)</f>
        <v>1615695.2612340844</v>
      </c>
      <c r="T46" s="66">
        <f>SUM(M46:O46)</f>
        <v>4957826.8422664944</v>
      </c>
      <c r="U46" s="66">
        <f>SUM(D46:O46)</f>
        <v>14806032.548412748</v>
      </c>
    </row>
    <row r="47" spans="1:21">
      <c r="A47" s="62"/>
      <c r="B47" s="33"/>
      <c r="C47" s="62"/>
      <c r="D47" s="66"/>
      <c r="E47" s="66"/>
      <c r="F47" s="66"/>
      <c r="G47" s="66"/>
      <c r="H47" s="67"/>
      <c r="I47" s="66"/>
      <c r="J47" s="66"/>
      <c r="K47" s="66"/>
      <c r="L47" s="66"/>
      <c r="M47" s="66"/>
      <c r="N47" s="66"/>
      <c r="O47" s="66"/>
      <c r="P47" s="66"/>
      <c r="Q47" s="63"/>
      <c r="R47" s="63"/>
      <c r="S47" s="63"/>
      <c r="T47" s="63"/>
      <c r="U47" s="63"/>
    </row>
    <row r="48" spans="1:21">
      <c r="A48" s="62">
        <v>34</v>
      </c>
      <c r="B48" s="33" t="s">
        <v>185</v>
      </c>
      <c r="C48" s="62" t="str">
        <f>"("&amp;A36&amp;") - ("&amp;A40&amp;")"</f>
        <v>(24) - (28)</v>
      </c>
      <c r="D48" s="137">
        <v>8048134.9322300004</v>
      </c>
      <c r="E48" s="137">
        <v>7886249.7823200002</v>
      </c>
      <c r="F48" s="137">
        <v>7168311.4264900004</v>
      </c>
      <c r="G48" s="246">
        <f>G36-G40</f>
        <v>3525841.8090300001</v>
      </c>
      <c r="H48" s="65">
        <f t="shared" ref="H48:O50" si="33">H36-H40</f>
        <v>2849714.7724299999</v>
      </c>
      <c r="I48" s="65">
        <f t="shared" si="33"/>
        <v>1847002.4246300003</v>
      </c>
      <c r="J48" s="65">
        <f t="shared" si="33"/>
        <v>1757698.2273599999</v>
      </c>
      <c r="K48" s="65">
        <f t="shared" si="33"/>
        <v>1659248.46379</v>
      </c>
      <c r="L48" s="65">
        <f t="shared" si="33"/>
        <v>2050644.0757799998</v>
      </c>
      <c r="M48" s="65">
        <f t="shared" si="33"/>
        <v>4959131.6679999996</v>
      </c>
      <c r="N48" s="65">
        <f t="shared" si="33"/>
        <v>5749474.5793900006</v>
      </c>
      <c r="O48" s="65">
        <f t="shared" si="33"/>
        <v>7709040.0711200004</v>
      </c>
      <c r="P48" s="65"/>
      <c r="Q48" s="65">
        <f>SUM(D48:F48)</f>
        <v>23102696.141040001</v>
      </c>
      <c r="R48" s="65">
        <f>SUM(G48:I48)</f>
        <v>8222559.0060900003</v>
      </c>
      <c r="S48" s="65">
        <f>SUM(J48:L48)</f>
        <v>5467590.7669299999</v>
      </c>
      <c r="T48" s="65">
        <f>SUM(M48:O48)</f>
        <v>18417646.31851</v>
      </c>
      <c r="U48" s="65">
        <f>SUM(D48:O48)</f>
        <v>55210492.23257</v>
      </c>
    </row>
    <row r="49" spans="1:21" ht="15" customHeight="1">
      <c r="A49" s="62">
        <v>35</v>
      </c>
      <c r="B49" s="140" t="s">
        <v>181</v>
      </c>
      <c r="C49" s="62" t="str">
        <f>"("&amp;A37&amp;") - ("&amp;A41&amp;")"</f>
        <v>(25) - (29)</v>
      </c>
      <c r="D49" s="141">
        <v>2616089.6451899996</v>
      </c>
      <c r="E49" s="141">
        <v>2269382.8915599994</v>
      </c>
      <c r="F49" s="141">
        <v>2087429.1248900001</v>
      </c>
      <c r="G49" s="252">
        <f>G37-G41</f>
        <v>1239703.00942</v>
      </c>
      <c r="H49" s="35">
        <f t="shared" si="33"/>
        <v>1039346.03821</v>
      </c>
      <c r="I49" s="35">
        <f t="shared" si="33"/>
        <v>756791.31831999996</v>
      </c>
      <c r="J49" s="35">
        <f t="shared" si="33"/>
        <v>743471.49704000016</v>
      </c>
      <c r="K49" s="35">
        <f t="shared" si="33"/>
        <v>737732.04049000004</v>
      </c>
      <c r="L49" s="35">
        <f t="shared" si="33"/>
        <v>831177.39458000008</v>
      </c>
      <c r="M49" s="35">
        <f t="shared" si="33"/>
        <v>1631274.5589300001</v>
      </c>
      <c r="N49" s="35">
        <f t="shared" si="33"/>
        <v>1883020.1934799999</v>
      </c>
      <c r="O49" s="35">
        <f t="shared" si="33"/>
        <v>2428523.81348</v>
      </c>
      <c r="P49" s="35"/>
      <c r="Q49" s="66">
        <f>SUM(D49:F49)</f>
        <v>6972901.6616399996</v>
      </c>
      <c r="R49" s="66">
        <f>SUM(G49:I49)</f>
        <v>3035840.36595</v>
      </c>
      <c r="S49" s="66">
        <f>SUM(J49:L49)</f>
        <v>2312380.9321100004</v>
      </c>
      <c r="T49" s="66">
        <f>SUM(M49:O49)</f>
        <v>5942818.5658900002</v>
      </c>
      <c r="U49" s="66">
        <f>SUM(D49:O49)</f>
        <v>18263941.525589999</v>
      </c>
    </row>
    <row r="50" spans="1:21">
      <c r="A50" s="62">
        <v>36</v>
      </c>
      <c r="B50" s="33" t="s">
        <v>182</v>
      </c>
      <c r="C50" s="62" t="str">
        <f>"("&amp;A38&amp;") - ("&amp;A42&amp;")"</f>
        <v>(26) - (30)</v>
      </c>
      <c r="D50" s="141">
        <v>306762.17</v>
      </c>
      <c r="E50" s="141">
        <v>308694.15999999997</v>
      </c>
      <c r="F50" s="141">
        <v>307626.48000000004</v>
      </c>
      <c r="G50" s="252">
        <f>G38-G42</f>
        <v>318804.15000000002</v>
      </c>
      <c r="H50" s="35">
        <f t="shared" si="33"/>
        <v>332185.62</v>
      </c>
      <c r="I50" s="35">
        <f t="shared" si="33"/>
        <v>336384.97</v>
      </c>
      <c r="J50" s="35">
        <f t="shared" si="33"/>
        <v>335024.70999999996</v>
      </c>
      <c r="K50" s="35">
        <f t="shared" si="33"/>
        <v>332423.84000000003</v>
      </c>
      <c r="L50" s="35">
        <f t="shared" si="33"/>
        <v>336211.18</v>
      </c>
      <c r="M50" s="35">
        <f t="shared" si="33"/>
        <v>336377.64</v>
      </c>
      <c r="N50" s="35">
        <f t="shared" si="33"/>
        <v>335678.62</v>
      </c>
      <c r="O50" s="35">
        <f t="shared" si="33"/>
        <v>337241.51999999996</v>
      </c>
      <c r="P50" s="35"/>
      <c r="Q50" s="66">
        <f>SUM(D50:F50)</f>
        <v>923082.81</v>
      </c>
      <c r="R50" s="66">
        <f>SUM(G50:I50)</f>
        <v>987374.74</v>
      </c>
      <c r="S50" s="66">
        <f>SUM(J50:L50)</f>
        <v>1003659.73</v>
      </c>
      <c r="T50" s="66">
        <f>SUM(M50:O50)</f>
        <v>1009297.78</v>
      </c>
      <c r="U50" s="66">
        <f>SUM(D50:O50)</f>
        <v>3923415.06</v>
      </c>
    </row>
    <row r="51" spans="1:21">
      <c r="A51" s="62">
        <v>37</v>
      </c>
      <c r="B51" s="33" t="s">
        <v>25</v>
      </c>
      <c r="C51" s="62" t="str">
        <f>"("&amp;A49&amp;") - ("&amp;A50&amp;")"</f>
        <v>(35) - (36)</v>
      </c>
      <c r="D51" s="66">
        <f t="shared" ref="D51:O51" si="34">D49-D50</f>
        <v>2309327.4751899997</v>
      </c>
      <c r="E51" s="66">
        <f t="shared" si="34"/>
        <v>1960688.7315599995</v>
      </c>
      <c r="F51" s="66">
        <f t="shared" si="34"/>
        <v>1779802.6448900001</v>
      </c>
      <c r="G51" s="66">
        <f t="shared" si="34"/>
        <v>920898.85941999999</v>
      </c>
      <c r="H51" s="67">
        <f t="shared" si="34"/>
        <v>707160.41821000003</v>
      </c>
      <c r="I51" s="66">
        <f t="shared" si="34"/>
        <v>420406.34831999999</v>
      </c>
      <c r="J51" s="66">
        <f t="shared" si="34"/>
        <v>408446.7870400002</v>
      </c>
      <c r="K51" s="66">
        <f t="shared" si="34"/>
        <v>405308.20049000002</v>
      </c>
      <c r="L51" s="66">
        <f t="shared" si="34"/>
        <v>494966.21458000009</v>
      </c>
      <c r="M51" s="66">
        <f t="shared" si="34"/>
        <v>1294896.9189300002</v>
      </c>
      <c r="N51" s="66">
        <f t="shared" si="34"/>
        <v>1547341.5734799998</v>
      </c>
      <c r="O51" s="66">
        <f t="shared" si="34"/>
        <v>2091282.29348</v>
      </c>
      <c r="P51" s="66"/>
      <c r="Q51" s="66">
        <f>SUM(D51:F51)</f>
        <v>6049818.8516399991</v>
      </c>
      <c r="R51" s="66">
        <f>SUM(G51:I51)</f>
        <v>2048465.6259499998</v>
      </c>
      <c r="S51" s="66">
        <f>SUM(J51:L51)</f>
        <v>1308721.2021100004</v>
      </c>
      <c r="T51" s="66">
        <f>SUM(M51:O51)</f>
        <v>4933520.7858899999</v>
      </c>
      <c r="U51" s="66">
        <f>SUM(D51:O51)</f>
        <v>14340526.465589998</v>
      </c>
    </row>
    <row r="52" spans="1:21">
      <c r="A52" s="62">
        <v>38</v>
      </c>
      <c r="B52" s="6" t="s">
        <v>34</v>
      </c>
      <c r="C52" s="62" t="str">
        <f>"("&amp;A51&amp;") / ("&amp;A44&amp;")"</f>
        <v>(37) / (31)</v>
      </c>
      <c r="D52" s="69">
        <f>D51/D44</f>
        <v>734.98646568746017</v>
      </c>
      <c r="E52" s="69">
        <f t="shared" ref="E52:O52" si="35">E51/E44</f>
        <v>620.86406952501568</v>
      </c>
      <c r="F52" s="69">
        <f t="shared" si="35"/>
        <v>565.55533679377186</v>
      </c>
      <c r="G52" s="69">
        <f t="shared" si="35"/>
        <v>295.91865662596399</v>
      </c>
      <c r="H52" s="203">
        <f t="shared" si="35"/>
        <v>229.29974650129702</v>
      </c>
      <c r="I52" s="69">
        <f t="shared" si="35"/>
        <v>134.70245059916692</v>
      </c>
      <c r="J52" s="69">
        <f t="shared" si="35"/>
        <v>131.33337203858528</v>
      </c>
      <c r="K52" s="69">
        <f t="shared" si="35"/>
        <v>131.59357158766235</v>
      </c>
      <c r="L52" s="69">
        <f t="shared" si="35"/>
        <v>158.94868804752733</v>
      </c>
      <c r="M52" s="69">
        <f t="shared" si="35"/>
        <v>415.03106375961545</v>
      </c>
      <c r="N52" s="69">
        <f t="shared" si="35"/>
        <v>496.89838583172764</v>
      </c>
      <c r="O52" s="69">
        <f t="shared" si="35"/>
        <v>667.9279123219419</v>
      </c>
      <c r="P52" s="69"/>
      <c r="Q52" s="143">
        <f>Q51/Q44</f>
        <v>640.3957713178786</v>
      </c>
      <c r="R52" s="143">
        <f>R51/R44</f>
        <v>219.86322055919285</v>
      </c>
      <c r="S52" s="143">
        <f>S51/S44</f>
        <v>140.66221002901983</v>
      </c>
      <c r="T52" s="143">
        <f>T51/T44</f>
        <v>526.80414157928453</v>
      </c>
      <c r="U52" s="143">
        <f>U51/U44</f>
        <v>383.09850841743912</v>
      </c>
    </row>
    <row r="53" spans="1:21">
      <c r="A53" s="62">
        <v>39</v>
      </c>
      <c r="B53" s="33" t="s">
        <v>27</v>
      </c>
      <c r="C53" s="62" t="str">
        <f>"("&amp;A46&amp;") - ("&amp;A51&amp;")"</f>
        <v>(33) - (37)</v>
      </c>
      <c r="D53" s="115">
        <f>D46-D51</f>
        <v>-283615.00417154189</v>
      </c>
      <c r="E53" s="115">
        <f t="shared" ref="E53:O53" si="36">E46-E51</f>
        <v>-151287.42311927257</v>
      </c>
      <c r="F53" s="115">
        <f t="shared" si="36"/>
        <v>-200112.94145739079</v>
      </c>
      <c r="G53" s="115">
        <f t="shared" si="36"/>
        <v>333207.02767893358</v>
      </c>
      <c r="H53" s="197">
        <f t="shared" si="36"/>
        <v>193352.35385942017</v>
      </c>
      <c r="I53" s="115">
        <f t="shared" si="36"/>
        <v>242681.95453201944</v>
      </c>
      <c r="J53" s="115">
        <f t="shared" si="36"/>
        <v>68582.018166062189</v>
      </c>
      <c r="K53" s="115">
        <f t="shared" si="36"/>
        <v>111528.11649322684</v>
      </c>
      <c r="L53" s="115">
        <f t="shared" si="36"/>
        <v>126863.9244647951</v>
      </c>
      <c r="M53" s="115">
        <f t="shared" si="36"/>
        <v>-159222.37358068884</v>
      </c>
      <c r="N53" s="115">
        <f t="shared" si="36"/>
        <v>173124.27670514025</v>
      </c>
      <c r="O53" s="115">
        <f t="shared" si="36"/>
        <v>10404.153252043761</v>
      </c>
      <c r="P53" s="115"/>
      <c r="Q53" s="66">
        <f>SUM(D53:F53)</f>
        <v>-635015.36874820525</v>
      </c>
      <c r="R53" s="66">
        <f>SUM(G53:I53)</f>
        <v>769241.33607037319</v>
      </c>
      <c r="S53" s="66">
        <f>SUM(J53:L53)</f>
        <v>306974.05912408413</v>
      </c>
      <c r="T53" s="66">
        <f>SUM(M53:O53)</f>
        <v>24306.056376495166</v>
      </c>
      <c r="U53" s="66">
        <f>SUM(D53:O53)</f>
        <v>465506.08282274724</v>
      </c>
    </row>
    <row r="54" spans="1:21">
      <c r="A54" s="62">
        <v>40</v>
      </c>
      <c r="B54" s="33" t="s">
        <v>28</v>
      </c>
      <c r="C54" s="62" t="s">
        <v>29</v>
      </c>
      <c r="D54" s="115">
        <f>D53*-0.046465</f>
        <v>13178.171168830693</v>
      </c>
      <c r="E54" s="115">
        <f t="shared" ref="E54:F54" si="37">E53*-0.046465</f>
        <v>7029.5701152370002</v>
      </c>
      <c r="F54" s="115">
        <f t="shared" si="37"/>
        <v>9298.2478248176631</v>
      </c>
      <c r="G54" s="115">
        <f t="shared" ref="G54:O54" si="38">G53*-0.044155</f>
        <v>-14712.756307163312</v>
      </c>
      <c r="H54" s="115">
        <f t="shared" si="38"/>
        <v>-8537.4731846626983</v>
      </c>
      <c r="I54" s="115">
        <f t="shared" si="38"/>
        <v>-10715.621702361319</v>
      </c>
      <c r="J54" s="115">
        <f t="shared" si="38"/>
        <v>-3028.2390121224757</v>
      </c>
      <c r="K54" s="115">
        <f t="shared" si="38"/>
        <v>-4924.5239837584313</v>
      </c>
      <c r="L54" s="115">
        <f t="shared" si="38"/>
        <v>-5601.6765847430279</v>
      </c>
      <c r="M54" s="115">
        <f t="shared" si="38"/>
        <v>7030.4639054553163</v>
      </c>
      <c r="N54" s="115">
        <f t="shared" si="38"/>
        <v>-7644.3024379154676</v>
      </c>
      <c r="O54" s="115">
        <f t="shared" si="38"/>
        <v>-459.3953868439923</v>
      </c>
      <c r="P54" s="115"/>
      <c r="Q54" s="66">
        <f>SUM(D54:F54)</f>
        <v>29505.989108885355</v>
      </c>
      <c r="R54" s="66">
        <f>SUM(G54:I54)</f>
        <v>-33965.851194187329</v>
      </c>
      <c r="S54" s="66">
        <f>SUM(J54:L54)</f>
        <v>-13554.439580623934</v>
      </c>
      <c r="T54" s="66">
        <f>SUM(M54:O54)</f>
        <v>-1073.2339193041437</v>
      </c>
      <c r="U54" s="66">
        <f>SUM(D54:O54)</f>
        <v>-19087.535585230056</v>
      </c>
    </row>
    <row r="55" spans="1:21" ht="14.45" customHeight="1">
      <c r="A55" s="7">
        <v>41</v>
      </c>
      <c r="B55" s="15"/>
      <c r="C55" s="62" t="s">
        <v>30</v>
      </c>
      <c r="D55" s="116">
        <f t="shared" ref="D55:O55" si="39">D29</f>
        <v>4.9599999999999998E-2</v>
      </c>
      <c r="E55" s="116">
        <f t="shared" si="39"/>
        <v>4.9599999999999998E-2</v>
      </c>
      <c r="F55" s="116">
        <f t="shared" si="39"/>
        <v>4.9599999999999998E-2</v>
      </c>
      <c r="G55" s="116">
        <f t="shared" si="39"/>
        <v>4.7500000000000001E-2</v>
      </c>
      <c r="H55" s="198">
        <f t="shared" si="39"/>
        <v>4.7500000000000001E-2</v>
      </c>
      <c r="I55" s="116">
        <f t="shared" si="39"/>
        <v>4.7500000000000001E-2</v>
      </c>
      <c r="J55" s="116">
        <f t="shared" si="39"/>
        <v>3.4299999999999997E-2</v>
      </c>
      <c r="K55" s="116">
        <f t="shared" si="39"/>
        <v>3.4299999999999997E-2</v>
      </c>
      <c r="L55" s="116">
        <f t="shared" si="39"/>
        <v>3.4299999999999997E-2</v>
      </c>
      <c r="M55" s="116">
        <f t="shared" si="39"/>
        <v>3.2500000000000001E-2</v>
      </c>
      <c r="N55" s="116">
        <f t="shared" si="39"/>
        <v>3.2500000000000001E-2</v>
      </c>
      <c r="O55" s="116">
        <f t="shared" si="39"/>
        <v>3.2500000000000001E-2</v>
      </c>
      <c r="P55" s="116"/>
      <c r="Q55" s="72"/>
      <c r="R55" s="72"/>
      <c r="S55" s="72"/>
      <c r="T55" s="72"/>
      <c r="U55" s="72"/>
    </row>
    <row r="56" spans="1:21">
      <c r="A56" s="62">
        <v>42</v>
      </c>
      <c r="B56" s="33" t="s">
        <v>31</v>
      </c>
      <c r="C56" s="62" t="s">
        <v>35</v>
      </c>
      <c r="D56" s="8">
        <f>(D53+D54)/2*D55/12</f>
        <v>-558.90278820560309</v>
      </c>
      <c r="E56" s="8">
        <f>(D58+(E53+E54)/2)*E55/12</f>
        <v>-1418.2486041441296</v>
      </c>
      <c r="F56" s="8">
        <f t="shared" ref="F56:O56" si="40">(E58+(F53+F54)/2)*F55/12</f>
        <v>-2116.5939614235836</v>
      </c>
      <c r="G56" s="8">
        <f t="shared" si="40"/>
        <v>-1782.6591243410321</v>
      </c>
      <c r="H56" s="199">
        <f t="shared" si="40"/>
        <v>-793.58278661612906</v>
      </c>
      <c r="I56" s="8">
        <f t="shared" si="40"/>
        <v>28.155433247671215</v>
      </c>
      <c r="J56" s="8">
        <f t="shared" si="40"/>
        <v>445.61749085789234</v>
      </c>
      <c r="K56" s="8">
        <f t="shared" si="40"/>
        <v>692.93279118821522</v>
      </c>
      <c r="L56" s="8">
        <f t="shared" si="40"/>
        <v>1020.5716876397179</v>
      </c>
      <c r="M56" s="8">
        <f t="shared" si="40"/>
        <v>927.89412105247118</v>
      </c>
      <c r="N56" s="8">
        <f t="shared" si="40"/>
        <v>948.40142176530981</v>
      </c>
      <c r="O56" s="8">
        <f t="shared" si="40"/>
        <v>1188.5243337119159</v>
      </c>
      <c r="P56" s="8"/>
      <c r="Q56" s="66">
        <f>SUM(D56:F56)</f>
        <v>-4093.7453537733163</v>
      </c>
      <c r="R56" s="66">
        <f>SUM(G56:I56)</f>
        <v>-2548.0864777094898</v>
      </c>
      <c r="S56" s="66">
        <f>SUM(J56:L56)</f>
        <v>2159.1219696858252</v>
      </c>
      <c r="T56" s="66">
        <f>SUM(M56:O56)</f>
        <v>3064.819876529697</v>
      </c>
      <c r="U56" s="8">
        <f>SUM(D56:O56)</f>
        <v>-1417.8899852672835</v>
      </c>
    </row>
    <row r="57" spans="1:21" ht="15.75" thickBot="1">
      <c r="A57" s="62">
        <v>43</v>
      </c>
      <c r="B57" s="9" t="s">
        <v>36</v>
      </c>
      <c r="C57" s="62"/>
      <c r="D57" s="11">
        <f>D53+D54+D56</f>
        <v>-270995.73579091678</v>
      </c>
      <c r="E57" s="11">
        <f t="shared" ref="E57:O57" si="41">E53+E54+E56</f>
        <v>-145676.10160817968</v>
      </c>
      <c r="F57" s="11">
        <f t="shared" si="41"/>
        <v>-192931.28759399671</v>
      </c>
      <c r="G57" s="11">
        <f t="shared" si="41"/>
        <v>316711.61224742921</v>
      </c>
      <c r="H57" s="11">
        <f t="shared" si="41"/>
        <v>184021.29788814133</v>
      </c>
      <c r="I57" s="11">
        <f t="shared" si="41"/>
        <v>231994.4882629058</v>
      </c>
      <c r="J57" s="11">
        <f t="shared" si="41"/>
        <v>65999.396644797613</v>
      </c>
      <c r="K57" s="11">
        <f t="shared" si="41"/>
        <v>107296.52530065662</v>
      </c>
      <c r="L57" s="11">
        <f t="shared" si="41"/>
        <v>122282.8195676918</v>
      </c>
      <c r="M57" s="11">
        <f t="shared" si="41"/>
        <v>-151264.01555418107</v>
      </c>
      <c r="N57" s="11">
        <f t="shared" si="41"/>
        <v>166428.37568899008</v>
      </c>
      <c r="O57" s="11">
        <f t="shared" si="41"/>
        <v>11133.282198911684</v>
      </c>
      <c r="P57" s="11"/>
      <c r="Q57" s="68">
        <f>Q53+Q54+Q56</f>
        <v>-609603.1249930932</v>
      </c>
      <c r="R57" s="68">
        <f>R53+R54+R56</f>
        <v>732727.39839847642</v>
      </c>
      <c r="S57" s="68">
        <f>S53+S54+S56</f>
        <v>295578.74151314603</v>
      </c>
      <c r="T57" s="68">
        <f>T53+T54+T56</f>
        <v>26297.64233372072</v>
      </c>
      <c r="U57" s="68">
        <f>U53+U54+U56</f>
        <v>445000.65725224989</v>
      </c>
    </row>
    <row r="58" spans="1:21" ht="15.75" thickBot="1">
      <c r="A58" s="62">
        <v>44</v>
      </c>
      <c r="B58" s="33" t="s">
        <v>183</v>
      </c>
      <c r="C58" s="62" t="str">
        <f>"Σ(("&amp;A53&amp;") ,("&amp;A54&amp;") , ("&amp;A56&amp;"))"</f>
        <v>Σ((39) ,(40) , (42))</v>
      </c>
      <c r="D58" s="66">
        <f>D53+D54+D56</f>
        <v>-270995.73579091678</v>
      </c>
      <c r="E58" s="66">
        <f>D58+E53+E54+E56</f>
        <v>-416671.83739909652</v>
      </c>
      <c r="F58" s="66">
        <f t="shared" ref="F58:O58" si="42">E58+F53+F54+F56</f>
        <v>-609603.1249930932</v>
      </c>
      <c r="G58" s="66">
        <f t="shared" si="42"/>
        <v>-292891.51274566399</v>
      </c>
      <c r="H58" s="67">
        <f t="shared" si="42"/>
        <v>-108870.21485752265</v>
      </c>
      <c r="I58" s="66">
        <f t="shared" si="42"/>
        <v>123124.27340538317</v>
      </c>
      <c r="J58" s="66">
        <f t="shared" si="42"/>
        <v>189123.67005018078</v>
      </c>
      <c r="K58" s="66">
        <f t="shared" si="42"/>
        <v>296420.19535083743</v>
      </c>
      <c r="L58" s="66">
        <f t="shared" si="42"/>
        <v>418703.0149185292</v>
      </c>
      <c r="M58" s="66">
        <f t="shared" si="42"/>
        <v>267438.99936434813</v>
      </c>
      <c r="N58" s="66">
        <f t="shared" si="42"/>
        <v>433867.37505333824</v>
      </c>
      <c r="O58" s="117">
        <f t="shared" si="42"/>
        <v>445000.65725224989</v>
      </c>
      <c r="P58" s="27"/>
      <c r="Q58" s="67"/>
      <c r="R58" s="29"/>
      <c r="S58" s="67"/>
      <c r="T58" s="67"/>
    </row>
    <row r="59" spans="1:21" ht="15.75" thickBot="1">
      <c r="A59" s="62"/>
      <c r="B59" s="33"/>
      <c r="C59" s="33"/>
      <c r="D59" s="33"/>
      <c r="E59" s="33"/>
      <c r="F59" s="33"/>
      <c r="G59" s="33"/>
      <c r="H59" s="204"/>
      <c r="I59" s="33"/>
      <c r="J59" s="33"/>
      <c r="K59" s="33"/>
      <c r="L59" s="33"/>
      <c r="M59" s="33"/>
      <c r="N59" s="33"/>
      <c r="O59" s="33"/>
      <c r="P59" s="33"/>
      <c r="Q59" s="64"/>
      <c r="R59" s="25"/>
      <c r="S59" s="64"/>
      <c r="T59" s="64"/>
      <c r="U59" s="1"/>
    </row>
    <row r="60" spans="1:21" ht="15.75" thickBot="1">
      <c r="A60" s="2">
        <v>45</v>
      </c>
      <c r="B60" s="9" t="s">
        <v>186</v>
      </c>
      <c r="C60" s="2" t="str">
        <f>"("&amp;A31&amp;") + ("&amp;A58&amp;")"</f>
        <v>(21) + (44)</v>
      </c>
      <c r="D60" s="66">
        <f t="shared" ref="D60:O60" si="43">D32+D58</f>
        <v>-393444.24415459973</v>
      </c>
      <c r="E60" s="66">
        <f t="shared" si="43"/>
        <v>-712990.75737147569</v>
      </c>
      <c r="F60" s="66">
        <f t="shared" si="43"/>
        <v>-1665123.0261192885</v>
      </c>
      <c r="G60" s="66">
        <f t="shared" si="43"/>
        <v>-414827.17787557043</v>
      </c>
      <c r="H60" s="67">
        <f t="shared" si="43"/>
        <v>282790.53272982303</v>
      </c>
      <c r="I60" s="66">
        <f t="shared" si="43"/>
        <v>597920.48565300112</v>
      </c>
      <c r="J60" s="66">
        <f t="shared" si="43"/>
        <v>610564.40058876795</v>
      </c>
      <c r="K60" s="66">
        <f t="shared" si="43"/>
        <v>764211.36249148333</v>
      </c>
      <c r="L60" s="66">
        <f t="shared" si="43"/>
        <v>1146900.9874754348</v>
      </c>
      <c r="M60" s="66">
        <f t="shared" si="43"/>
        <v>1200164.7928146725</v>
      </c>
      <c r="N60" s="66">
        <f t="shared" si="43"/>
        <v>1117371.8602375991</v>
      </c>
      <c r="O60" s="117">
        <f t="shared" si="43"/>
        <v>1619438.774244104</v>
      </c>
      <c r="P60" s="27"/>
    </row>
    <row r="61" spans="1:21" ht="37.5" customHeight="1">
      <c r="A61" s="301" t="s">
        <v>219</v>
      </c>
      <c r="B61" s="301"/>
      <c r="C61" s="301"/>
      <c r="D61" s="301"/>
      <c r="E61" s="301"/>
      <c r="F61" s="301"/>
      <c r="G61" s="301"/>
      <c r="H61" s="301"/>
      <c r="I61" s="301"/>
      <c r="J61" s="301"/>
      <c r="K61" s="301"/>
      <c r="L61" s="301"/>
      <c r="M61" s="301"/>
      <c r="N61" s="301"/>
      <c r="O61" s="301"/>
      <c r="P61" s="301"/>
      <c r="Q61" s="301"/>
      <c r="R61" s="301"/>
      <c r="S61" s="301"/>
      <c r="T61" s="301"/>
      <c r="U61" s="301"/>
    </row>
  </sheetData>
  <mergeCells count="2">
    <mergeCell ref="A33:U33"/>
    <mergeCell ref="A61:U61"/>
  </mergeCells>
  <printOptions horizontalCentered="1"/>
  <pageMargins left="0.7" right="0.71" top="1.1299999999999999" bottom="0.75" header="0.5" footer="0.5"/>
  <pageSetup scale="75" firstPageNumber="3"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7"/>
  <sheetViews>
    <sheetView topLeftCell="A29" zoomScaleNormal="100" workbookViewId="0">
      <selection activeCell="B29" sqref="B29"/>
    </sheetView>
  </sheetViews>
  <sheetFormatPr defaultRowHeight="15"/>
  <cols>
    <col min="1" max="1" width="7.28515625" customWidth="1"/>
    <col min="2" max="2" width="36.28515625" customWidth="1"/>
    <col min="3" max="3" width="6.28515625" customWidth="1"/>
    <col min="4" max="4" width="9.8554687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302" t="s">
        <v>41</v>
      </c>
      <c r="B1" s="302"/>
      <c r="C1" s="302"/>
      <c r="D1" s="302"/>
      <c r="E1" s="302"/>
      <c r="F1" s="302"/>
      <c r="G1" s="302"/>
      <c r="H1" s="302"/>
      <c r="I1" s="71"/>
      <c r="J1" s="71"/>
      <c r="K1" s="71"/>
    </row>
    <row r="2" spans="1:12" ht="19.149999999999999" customHeight="1">
      <c r="A2" s="71"/>
      <c r="B2" s="71"/>
      <c r="C2" s="71"/>
      <c r="D2" s="71"/>
      <c r="E2" s="71"/>
      <c r="F2" s="71"/>
      <c r="G2" s="71"/>
      <c r="H2" s="71"/>
      <c r="I2" s="71"/>
      <c r="J2" s="71"/>
      <c r="K2" s="71"/>
    </row>
    <row r="3" spans="1:12">
      <c r="A3" s="37" t="s">
        <v>42</v>
      </c>
      <c r="B3" s="71"/>
      <c r="C3" s="16" t="s">
        <v>111</v>
      </c>
      <c r="D3" s="71"/>
      <c r="E3" s="71"/>
      <c r="F3" s="71"/>
      <c r="G3" s="71"/>
      <c r="H3" s="71"/>
      <c r="I3" s="71"/>
      <c r="J3" s="71"/>
      <c r="K3" s="71"/>
    </row>
    <row r="4" spans="1:12">
      <c r="A4" s="71"/>
      <c r="B4" s="71"/>
      <c r="C4" s="71"/>
      <c r="D4" s="71"/>
      <c r="E4" s="71"/>
      <c r="F4" s="71"/>
      <c r="G4" s="71"/>
      <c r="H4" s="71"/>
      <c r="I4" s="71"/>
      <c r="J4" s="71"/>
      <c r="K4" s="71"/>
    </row>
    <row r="5" spans="1:12" ht="26.25">
      <c r="A5" s="87" t="s">
        <v>43</v>
      </c>
      <c r="B5" s="88" t="s">
        <v>44</v>
      </c>
      <c r="C5" s="89" t="s">
        <v>45</v>
      </c>
      <c r="D5" s="87" t="s">
        <v>46</v>
      </c>
      <c r="E5" s="87" t="s">
        <v>47</v>
      </c>
      <c r="F5" s="87" t="s">
        <v>48</v>
      </c>
      <c r="G5" s="87" t="s">
        <v>49</v>
      </c>
      <c r="H5" s="71"/>
      <c r="I5" s="304" t="s">
        <v>189</v>
      </c>
      <c r="J5" s="304"/>
      <c r="K5" s="36"/>
      <c r="L5" s="206"/>
    </row>
    <row r="6" spans="1:12" ht="14.45" customHeight="1">
      <c r="A6" s="39" t="s">
        <v>50</v>
      </c>
      <c r="B6" s="38" t="s">
        <v>51</v>
      </c>
      <c r="C6" s="40" t="s">
        <v>52</v>
      </c>
      <c r="D6" s="41" t="s">
        <v>192</v>
      </c>
      <c r="E6" s="42">
        <v>464897.48</v>
      </c>
      <c r="F6" s="43">
        <v>-60392.35</v>
      </c>
      <c r="G6" s="42">
        <v>404505.13</v>
      </c>
      <c r="H6" s="71"/>
      <c r="I6" s="28">
        <f>F6-'Interest Reconciliation'!C35-'Interest Reconciliation'!D35-'Interest Reconciliation'!E35</f>
        <v>1.1368683772161603E-12</v>
      </c>
      <c r="J6" s="28">
        <f>G6-'Interest Reconciliation'!F35</f>
        <v>-5.2386894822120667E-10</v>
      </c>
      <c r="K6" s="71"/>
    </row>
    <row r="7" spans="1:12">
      <c r="A7" s="44"/>
      <c r="B7" s="38" t="s">
        <v>51</v>
      </c>
      <c r="C7" s="45"/>
      <c r="D7" s="41" t="s">
        <v>193</v>
      </c>
      <c r="E7" s="42">
        <v>404505.13</v>
      </c>
      <c r="F7" s="43">
        <v>-736161.76</v>
      </c>
      <c r="G7" s="42">
        <v>-331656.63</v>
      </c>
      <c r="H7" s="71"/>
      <c r="I7" s="28">
        <f>F7-'Interest Reconciliation'!C36-'Interest Reconciliation'!D36-'Interest Reconciliation'!E36</f>
        <v>1.8630430531629827E-11</v>
      </c>
      <c r="J7" s="28">
        <f>G7-'Interest Reconciliation'!F36</f>
        <v>-5.2386894822120667E-10</v>
      </c>
      <c r="K7" s="71"/>
    </row>
    <row r="8" spans="1:12">
      <c r="A8" s="44"/>
      <c r="B8" s="38" t="s">
        <v>51</v>
      </c>
      <c r="C8" s="46"/>
      <c r="D8" s="41" t="s">
        <v>194</v>
      </c>
      <c r="E8" s="42">
        <v>-331656.63</v>
      </c>
      <c r="F8" s="43">
        <v>-479077.66</v>
      </c>
      <c r="G8" s="42">
        <v>-810734.29</v>
      </c>
      <c r="H8" s="71"/>
      <c r="I8" s="28">
        <f>F8-'Interest Reconciliation'!C37-'Interest Reconciliation'!D37-'Interest Reconciliation'!E37</f>
        <v>3.5015546018257737E-11</v>
      </c>
      <c r="J8" s="28">
        <f>G8-'Interest Reconciliation'!F37</f>
        <v>0</v>
      </c>
      <c r="K8" s="71"/>
    </row>
    <row r="9" spans="1:12">
      <c r="A9" s="44"/>
      <c r="B9" s="79"/>
      <c r="C9" s="80"/>
      <c r="D9" s="79"/>
      <c r="E9" s="81"/>
      <c r="F9" s="82">
        <f>SUM(F6:F8)</f>
        <v>-1275631.77</v>
      </c>
      <c r="G9" s="81"/>
      <c r="H9" s="71"/>
      <c r="I9" s="28"/>
      <c r="J9" s="28"/>
      <c r="K9" s="71"/>
    </row>
    <row r="10" spans="1:12">
      <c r="A10" s="44"/>
      <c r="B10" s="38" t="s">
        <v>51</v>
      </c>
      <c r="C10" s="40" t="s">
        <v>53</v>
      </c>
      <c r="D10" s="41" t="s">
        <v>192</v>
      </c>
      <c r="E10" s="42">
        <v>728197.98</v>
      </c>
      <c r="F10" s="43">
        <v>204527.82</v>
      </c>
      <c r="G10" s="42">
        <v>932725.8</v>
      </c>
      <c r="H10" s="71"/>
      <c r="I10" s="28">
        <f>F10-'Interest Reconciliation'!L35-'Interest Reconciliation'!M35-'Interest Reconciliation'!N35</f>
        <v>4.5474735088646412E-12</v>
      </c>
      <c r="J10" s="28">
        <f>G10-'Interest Reconciliation'!O35</f>
        <v>0</v>
      </c>
      <c r="K10" s="71"/>
      <c r="L10" s="28"/>
    </row>
    <row r="11" spans="1:12">
      <c r="A11" s="44"/>
      <c r="B11" s="38" t="s">
        <v>51</v>
      </c>
      <c r="C11" s="45"/>
      <c r="D11" s="41" t="s">
        <v>193</v>
      </c>
      <c r="E11" s="42">
        <v>932725.8</v>
      </c>
      <c r="F11" s="43">
        <v>-249221.3</v>
      </c>
      <c r="G11" s="42">
        <v>683504.5</v>
      </c>
      <c r="H11" s="71"/>
      <c r="I11" s="28">
        <f>F11-'Interest Reconciliation'!L36-'Interest Reconciliation'!M36-'Interest Reconciliation'!N36</f>
        <v>2.2737367544323206E-12</v>
      </c>
      <c r="J11" s="28">
        <f>G11-'Interest Reconciliation'!O36</f>
        <v>0</v>
      </c>
      <c r="K11" s="71"/>
      <c r="L11" s="28"/>
    </row>
    <row r="12" spans="1:12">
      <c r="A12" s="44"/>
      <c r="B12" s="38" t="s">
        <v>51</v>
      </c>
      <c r="C12" s="46"/>
      <c r="D12" s="41" t="s">
        <v>194</v>
      </c>
      <c r="E12" s="42">
        <v>683504.5</v>
      </c>
      <c r="F12" s="43">
        <v>490933.63</v>
      </c>
      <c r="G12" s="42">
        <v>1174438.1299999999</v>
      </c>
      <c r="H12" s="71"/>
      <c r="I12" s="28">
        <f>F12-'Interest Reconciliation'!L37-'Interest Reconciliation'!M37-'Interest Reconciliation'!N37</f>
        <v>-2.2737367544323206E-12</v>
      </c>
      <c r="J12" s="28">
        <f>G12-'Interest Reconciliation'!O37</f>
        <v>0</v>
      </c>
      <c r="K12" s="71"/>
      <c r="L12" s="28"/>
    </row>
    <row r="13" spans="1:12">
      <c r="A13" s="47"/>
      <c r="B13" s="79"/>
      <c r="C13" s="80"/>
      <c r="D13" s="79"/>
      <c r="E13" s="81"/>
      <c r="F13" s="82">
        <f>SUM(F10:F12)</f>
        <v>446240.15</v>
      </c>
      <c r="G13" s="81"/>
      <c r="H13" s="71"/>
      <c r="I13" s="28"/>
      <c r="J13" s="28"/>
      <c r="K13" s="71"/>
    </row>
    <row r="14" spans="1:12" ht="14.45" customHeight="1">
      <c r="A14" s="83"/>
      <c r="B14" s="84"/>
      <c r="C14" s="83"/>
      <c r="D14" s="83"/>
      <c r="E14" s="85"/>
      <c r="F14" s="86">
        <f>F9+F13</f>
        <v>-829391.62</v>
      </c>
      <c r="G14" s="85"/>
      <c r="H14" s="71"/>
      <c r="I14" s="28"/>
      <c r="J14" s="28"/>
      <c r="K14" s="71"/>
    </row>
    <row r="15" spans="1:12" ht="14.45" customHeight="1">
      <c r="A15" s="39" t="s">
        <v>54</v>
      </c>
      <c r="B15" s="38" t="s">
        <v>55</v>
      </c>
      <c r="C15" s="40" t="s">
        <v>52</v>
      </c>
      <c r="D15" s="41" t="s">
        <v>192</v>
      </c>
      <c r="E15" s="42">
        <v>8947940.9399999995</v>
      </c>
      <c r="F15" s="43">
        <v>84212.33</v>
      </c>
      <c r="G15" s="42">
        <v>9032153.2699999996</v>
      </c>
      <c r="H15" s="71"/>
      <c r="I15" s="28">
        <f>F15-'Interest Reconciliation'!C51-'Interest Reconciliation'!D51-'Interest Reconciliation'!E51</f>
        <v>3.637978807091713E-12</v>
      </c>
      <c r="J15" s="28">
        <f>G15-'Interest Reconciliation'!F51</f>
        <v>0</v>
      </c>
      <c r="K15" s="71"/>
    </row>
    <row r="16" spans="1:12">
      <c r="A16" s="44"/>
      <c r="B16" s="38" t="s">
        <v>55</v>
      </c>
      <c r="C16" s="45"/>
      <c r="D16" s="41" t="s">
        <v>193</v>
      </c>
      <c r="E16" s="42">
        <v>9032153.2699999996</v>
      </c>
      <c r="F16" s="43">
        <v>1541451.33</v>
      </c>
      <c r="G16" s="42">
        <v>10573604.6</v>
      </c>
      <c r="H16" s="71"/>
      <c r="I16" s="28">
        <f>F16-'Interest Reconciliation'!C52-'Interest Reconciliation'!D52-'Interest Reconciliation'!E52</f>
        <v>5.4569682106375694E-11</v>
      </c>
      <c r="J16" s="28">
        <f>G16-'Interest Reconciliation'!F52</f>
        <v>0</v>
      </c>
      <c r="K16" s="71"/>
    </row>
    <row r="17" spans="1:12">
      <c r="A17" s="44"/>
      <c r="B17" s="38" t="s">
        <v>55</v>
      </c>
      <c r="C17" s="46"/>
      <c r="D17" s="41" t="s">
        <v>194</v>
      </c>
      <c r="E17" s="42">
        <v>10573604.6</v>
      </c>
      <c r="F17" s="43">
        <v>689604.81</v>
      </c>
      <c r="G17" s="42">
        <v>11263209.41</v>
      </c>
      <c r="H17" s="71"/>
      <c r="I17" s="28">
        <f>F17-'Interest Reconciliation'!C53-'Interest Reconciliation'!D53-'Interest Reconciliation'!E53</f>
        <v>6.9121597334742546E-11</v>
      </c>
      <c r="J17" s="28">
        <f>G17-'Interest Reconciliation'!F53</f>
        <v>0</v>
      </c>
      <c r="K17" s="71"/>
    </row>
    <row r="18" spans="1:12">
      <c r="A18" s="44"/>
      <c r="B18" s="79"/>
      <c r="C18" s="80"/>
      <c r="D18" s="79"/>
      <c r="E18" s="81"/>
      <c r="F18" s="82">
        <f>SUM(F15:F17)</f>
        <v>2315268.4700000002</v>
      </c>
      <c r="G18" s="81"/>
      <c r="H18" s="71"/>
      <c r="I18" s="28"/>
      <c r="J18" s="28"/>
      <c r="K18" s="71"/>
    </row>
    <row r="19" spans="1:12">
      <c r="A19" s="44"/>
      <c r="B19" s="38" t="s">
        <v>55</v>
      </c>
      <c r="C19" s="40" t="s">
        <v>53</v>
      </c>
      <c r="D19" s="41" t="s">
        <v>192</v>
      </c>
      <c r="E19" s="42">
        <v>418703.03</v>
      </c>
      <c r="F19" s="43">
        <v>-151264.01999999999</v>
      </c>
      <c r="G19" s="42">
        <v>267439.01</v>
      </c>
      <c r="H19" s="71"/>
      <c r="I19" s="28">
        <f>F19-'Interest Reconciliation'!L51-'Interest Reconciliation'!M51-'Interest Reconciliation'!N51</f>
        <v>1.3983481039758772E-11</v>
      </c>
      <c r="J19" s="28">
        <f>G19-'Interest Reconciliation'!O51</f>
        <v>0</v>
      </c>
      <c r="K19" s="71"/>
      <c r="L19" s="28"/>
    </row>
    <row r="20" spans="1:12">
      <c r="A20" s="44"/>
      <c r="B20" s="38" t="s">
        <v>55</v>
      </c>
      <c r="C20" s="45"/>
      <c r="D20" s="41" t="s">
        <v>193</v>
      </c>
      <c r="E20" s="42">
        <v>267439.01</v>
      </c>
      <c r="F20" s="43">
        <v>166428.37</v>
      </c>
      <c r="G20" s="42">
        <v>433867.38</v>
      </c>
      <c r="H20" s="71"/>
      <c r="I20" s="28">
        <f>F20-'Interest Reconciliation'!L52-'Interest Reconciliation'!M52-'Interest Reconciliation'!N52</f>
        <v>-5.7980287238024175E-12</v>
      </c>
      <c r="J20" s="28">
        <f>G20-'Interest Reconciliation'!O52</f>
        <v>0</v>
      </c>
      <c r="K20" s="71"/>
      <c r="L20" s="28"/>
    </row>
    <row r="21" spans="1:12">
      <c r="A21" s="44"/>
      <c r="B21" s="38" t="s">
        <v>55</v>
      </c>
      <c r="C21" s="46"/>
      <c r="D21" s="41" t="s">
        <v>194</v>
      </c>
      <c r="E21" s="42">
        <v>433867.38</v>
      </c>
      <c r="F21" s="43">
        <v>11133.28</v>
      </c>
      <c r="G21" s="42">
        <v>445000.66</v>
      </c>
      <c r="H21" s="71"/>
      <c r="I21" s="28">
        <f>F21-'Interest Reconciliation'!L53-'Interest Reconciliation'!M53-'Interest Reconciliation'!N53</f>
        <v>4.5474735088646412E-13</v>
      </c>
      <c r="J21" s="28">
        <f>G21-'Interest Reconciliation'!O53</f>
        <v>0</v>
      </c>
      <c r="K21" s="71"/>
      <c r="L21" s="28"/>
    </row>
    <row r="22" spans="1:12">
      <c r="A22" s="47"/>
      <c r="B22" s="79"/>
      <c r="C22" s="80"/>
      <c r="D22" s="79"/>
      <c r="E22" s="81"/>
      <c r="F22" s="82">
        <f>SUM(F19:F21)</f>
        <v>26297.630000000005</v>
      </c>
      <c r="G22" s="81"/>
      <c r="H22" s="71"/>
      <c r="I22" s="28"/>
      <c r="J22" s="28"/>
      <c r="K22" s="71"/>
    </row>
    <row r="23" spans="1:12">
      <c r="A23" s="83"/>
      <c r="B23" s="84"/>
      <c r="C23" s="83"/>
      <c r="D23" s="83"/>
      <c r="E23" s="85"/>
      <c r="F23" s="86">
        <f>F18+F22</f>
        <v>2341566.1</v>
      </c>
      <c r="G23" s="85"/>
      <c r="H23" s="71"/>
      <c r="I23" s="28"/>
      <c r="J23" s="28"/>
      <c r="K23" s="71"/>
    </row>
    <row r="24" spans="1:12">
      <c r="A24" s="17"/>
      <c r="B24" s="17"/>
      <c r="C24" s="17"/>
      <c r="D24" s="17"/>
      <c r="E24" s="18"/>
      <c r="F24" s="19"/>
      <c r="G24" s="18"/>
      <c r="H24" s="71"/>
      <c r="I24" s="28"/>
      <c r="J24" s="28"/>
      <c r="K24" s="71"/>
    </row>
    <row r="25" spans="1:12">
      <c r="A25" s="37" t="s">
        <v>42</v>
      </c>
      <c r="B25" s="71"/>
      <c r="C25" s="159" t="s">
        <v>158</v>
      </c>
      <c r="D25" s="71"/>
      <c r="E25" s="71"/>
      <c r="F25" s="71"/>
      <c r="G25" s="71"/>
      <c r="H25" s="71"/>
      <c r="I25" s="28"/>
      <c r="J25" s="28"/>
      <c r="K25" s="71"/>
    </row>
    <row r="26" spans="1:12">
      <c r="A26" s="71"/>
      <c r="B26" s="71"/>
      <c r="C26" s="71"/>
      <c r="D26" s="71"/>
      <c r="E26" s="71"/>
      <c r="F26" s="71"/>
      <c r="G26" s="71"/>
      <c r="H26" s="71"/>
      <c r="I26" s="28"/>
      <c r="J26" s="28"/>
      <c r="K26" s="71"/>
    </row>
    <row r="27" spans="1:12" ht="26.25">
      <c r="A27" s="87" t="s">
        <v>43</v>
      </c>
      <c r="B27" s="88" t="s">
        <v>44</v>
      </c>
      <c r="C27" s="89" t="s">
        <v>45</v>
      </c>
      <c r="D27" s="87" t="s">
        <v>46</v>
      </c>
      <c r="E27" s="87" t="s">
        <v>47</v>
      </c>
      <c r="F27" s="87" t="s">
        <v>48</v>
      </c>
      <c r="G27" s="87" t="s">
        <v>49</v>
      </c>
      <c r="H27" s="71"/>
      <c r="I27" s="28"/>
      <c r="J27" s="28"/>
      <c r="K27" s="71"/>
    </row>
    <row r="28" spans="1:12">
      <c r="A28" s="39" t="s">
        <v>88</v>
      </c>
      <c r="B28" s="38" t="s">
        <v>89</v>
      </c>
      <c r="C28" s="40" t="s">
        <v>52</v>
      </c>
      <c r="D28" s="41" t="s">
        <v>192</v>
      </c>
      <c r="E28" s="42">
        <v>0</v>
      </c>
      <c r="F28" s="43">
        <v>0</v>
      </c>
      <c r="G28" s="42">
        <v>0</v>
      </c>
      <c r="H28" s="71"/>
      <c r="I28" s="28">
        <f>F28-'Interest Reconciliation'!C68-'Interest Reconciliation'!D68-'Interest Reconciliation'!E68</f>
        <v>0</v>
      </c>
      <c r="J28" s="28">
        <f>G28-'Interest Reconciliation'!F68</f>
        <v>0</v>
      </c>
      <c r="K28" s="71"/>
    </row>
    <row r="29" spans="1:12">
      <c r="A29" s="44"/>
      <c r="B29" s="38" t="s">
        <v>89</v>
      </c>
      <c r="C29" s="45"/>
      <c r="D29" s="41" t="s">
        <v>193</v>
      </c>
      <c r="E29" s="42">
        <v>0</v>
      </c>
      <c r="F29" s="43">
        <v>0</v>
      </c>
      <c r="G29" s="42">
        <v>0</v>
      </c>
      <c r="H29" s="71"/>
      <c r="I29" s="28">
        <f>F29-'Interest Reconciliation'!C69-'Interest Reconciliation'!D69-'Interest Reconciliation'!E69</f>
        <v>0</v>
      </c>
      <c r="J29" s="28">
        <f>G29-'Interest Reconciliation'!F69</f>
        <v>0</v>
      </c>
      <c r="K29" s="71"/>
    </row>
    <row r="30" spans="1:12">
      <c r="A30" s="44"/>
      <c r="B30" s="38" t="s">
        <v>89</v>
      </c>
      <c r="C30" s="46"/>
      <c r="D30" s="41" t="s">
        <v>194</v>
      </c>
      <c r="E30" s="42">
        <v>0</v>
      </c>
      <c r="F30" s="43">
        <v>0</v>
      </c>
      <c r="G30" s="42">
        <v>0</v>
      </c>
      <c r="H30" s="71"/>
      <c r="I30" s="28">
        <f>F30-'Interest Reconciliation'!C70-'Interest Reconciliation'!D70-'Interest Reconciliation'!E70</f>
        <v>0</v>
      </c>
      <c r="J30" s="28">
        <f>G30-'Interest Reconciliation'!F70</f>
        <v>0</v>
      </c>
      <c r="K30" s="71"/>
    </row>
    <row r="31" spans="1:12">
      <c r="A31" s="44"/>
      <c r="B31" s="79"/>
      <c r="C31" s="80"/>
      <c r="D31" s="79"/>
      <c r="E31" s="81"/>
      <c r="F31" s="82">
        <f>SUM(F28:F30)</f>
        <v>0</v>
      </c>
      <c r="G31" s="81"/>
      <c r="H31" s="71"/>
      <c r="I31" s="28"/>
      <c r="J31" s="28"/>
      <c r="K31" s="71"/>
    </row>
    <row r="32" spans="1:12" s="71" customFormat="1">
      <c r="A32" s="44"/>
      <c r="B32" s="38" t="s">
        <v>89</v>
      </c>
      <c r="C32" s="40" t="s">
        <v>53</v>
      </c>
      <c r="D32" s="41" t="s">
        <v>192</v>
      </c>
      <c r="E32" s="42">
        <v>0</v>
      </c>
      <c r="F32" s="43">
        <v>0</v>
      </c>
      <c r="G32" s="42">
        <v>0</v>
      </c>
      <c r="I32" s="28">
        <f>F32-'Interest Reconciliation'!L68-'Interest Reconciliation'!M68-'Interest Reconciliation'!N68</f>
        <v>0</v>
      </c>
      <c r="J32" s="28">
        <f>G32-'Interest Reconciliation'!O68</f>
        <v>0</v>
      </c>
      <c r="L32" s="28"/>
    </row>
    <row r="33" spans="1:12" s="71" customFormat="1">
      <c r="A33" s="44"/>
      <c r="B33" s="38" t="s">
        <v>89</v>
      </c>
      <c r="C33" s="45"/>
      <c r="D33" s="41" t="s">
        <v>193</v>
      </c>
      <c r="E33" s="42">
        <v>0</v>
      </c>
      <c r="F33" s="43">
        <v>0</v>
      </c>
      <c r="G33" s="42">
        <v>0</v>
      </c>
      <c r="I33" s="28">
        <f>F33-'Interest Reconciliation'!L69-'Interest Reconciliation'!M69-'Interest Reconciliation'!N69</f>
        <v>0</v>
      </c>
      <c r="J33" s="28">
        <f>G33-'Interest Reconciliation'!O69</f>
        <v>0</v>
      </c>
      <c r="L33" s="28"/>
    </row>
    <row r="34" spans="1:12" s="71" customFormat="1">
      <c r="A34" s="44"/>
      <c r="B34" s="38" t="s">
        <v>89</v>
      </c>
      <c r="C34" s="46"/>
      <c r="D34" s="41" t="s">
        <v>194</v>
      </c>
      <c r="E34" s="42">
        <v>0</v>
      </c>
      <c r="F34" s="43">
        <v>0</v>
      </c>
      <c r="G34" s="42">
        <v>0</v>
      </c>
      <c r="I34" s="28">
        <f>F34-'Interest Reconciliation'!L70-'Interest Reconciliation'!M70-'Interest Reconciliation'!N70</f>
        <v>0</v>
      </c>
      <c r="J34" s="28">
        <f>G34-'Interest Reconciliation'!O70</f>
        <v>0</v>
      </c>
      <c r="L34" s="28"/>
    </row>
    <row r="35" spans="1:12" s="71" customFormat="1">
      <c r="A35" s="47"/>
      <c r="B35" s="79"/>
      <c r="C35" s="80"/>
      <c r="D35" s="79"/>
      <c r="E35" s="81"/>
      <c r="F35" s="82">
        <f>SUM(F32:F34)</f>
        <v>0</v>
      </c>
      <c r="G35" s="81"/>
      <c r="I35" s="28"/>
      <c r="J35" s="28"/>
    </row>
    <row r="36" spans="1:12" s="71" customFormat="1">
      <c r="A36" s="83"/>
      <c r="B36" s="84"/>
      <c r="C36" s="83"/>
      <c r="D36" s="83"/>
      <c r="E36" s="85"/>
      <c r="F36" s="86">
        <f>F31+F35</f>
        <v>0</v>
      </c>
      <c r="G36" s="85"/>
      <c r="I36" s="28"/>
      <c r="J36" s="28"/>
    </row>
    <row r="37" spans="1:12" s="71" customFormat="1">
      <c r="A37" s="39" t="s">
        <v>90</v>
      </c>
      <c r="B37" s="38" t="s">
        <v>91</v>
      </c>
      <c r="C37" s="40" t="s">
        <v>52</v>
      </c>
      <c r="D37" s="41" t="s">
        <v>192</v>
      </c>
      <c r="E37" s="42">
        <v>0</v>
      </c>
      <c r="F37" s="43">
        <v>0</v>
      </c>
      <c r="G37" s="42">
        <v>0</v>
      </c>
      <c r="I37" s="28">
        <f>F37-'Interest Reconciliation'!C86-'Interest Reconciliation'!D86-'Interest Reconciliation'!E86</f>
        <v>0</v>
      </c>
      <c r="J37" s="28">
        <f>G37-'Interest Reconciliation'!F86</f>
        <v>0</v>
      </c>
    </row>
    <row r="38" spans="1:12" s="71" customFormat="1">
      <c r="A38" s="44"/>
      <c r="B38" s="38" t="s">
        <v>91</v>
      </c>
      <c r="C38" s="45"/>
      <c r="D38" s="41" t="s">
        <v>193</v>
      </c>
      <c r="E38" s="42">
        <v>0</v>
      </c>
      <c r="F38" s="43">
        <v>0</v>
      </c>
      <c r="G38" s="42">
        <v>0</v>
      </c>
      <c r="I38" s="28">
        <f>F38-'Interest Reconciliation'!C87-'Interest Reconciliation'!D87-'Interest Reconciliation'!E87</f>
        <v>0</v>
      </c>
      <c r="J38" s="28">
        <f>G38-'Interest Reconciliation'!F87</f>
        <v>0</v>
      </c>
    </row>
    <row r="39" spans="1:12" s="71" customFormat="1">
      <c r="A39" s="44"/>
      <c r="B39" s="38" t="s">
        <v>91</v>
      </c>
      <c r="C39" s="46"/>
      <c r="D39" s="41" t="s">
        <v>194</v>
      </c>
      <c r="E39" s="42">
        <v>0</v>
      </c>
      <c r="F39" s="43">
        <v>0</v>
      </c>
      <c r="G39" s="42">
        <v>0</v>
      </c>
      <c r="I39" s="28">
        <f>F39-'Interest Reconciliation'!C88-'Interest Reconciliation'!D88-'Interest Reconciliation'!E88</f>
        <v>0</v>
      </c>
      <c r="J39" s="28">
        <f>G39-'Interest Reconciliation'!F88</f>
        <v>0</v>
      </c>
    </row>
    <row r="40" spans="1:12" s="71" customFormat="1">
      <c r="A40" s="44"/>
      <c r="B40" s="79"/>
      <c r="C40" s="80"/>
      <c r="D40" s="79"/>
      <c r="E40" s="81"/>
      <c r="F40" s="82">
        <f>SUM(F37:F39)</f>
        <v>0</v>
      </c>
      <c r="G40" s="81"/>
      <c r="I40" s="28"/>
      <c r="J40" s="28"/>
    </row>
    <row r="41" spans="1:12" s="71" customFormat="1" ht="18" customHeight="1">
      <c r="A41" s="44"/>
      <c r="B41" s="38" t="s">
        <v>91</v>
      </c>
      <c r="C41" s="40" t="s">
        <v>53</v>
      </c>
      <c r="D41" s="41" t="s">
        <v>192</v>
      </c>
      <c r="E41" s="42">
        <v>0</v>
      </c>
      <c r="F41" s="43">
        <v>0</v>
      </c>
      <c r="G41" s="42">
        <v>0</v>
      </c>
      <c r="I41" s="28">
        <f>F41-'Interest Reconciliation'!L86-'Interest Reconciliation'!M86-'Interest Reconciliation'!N86</f>
        <v>0</v>
      </c>
      <c r="J41" s="28">
        <f>G41-'Interest Reconciliation'!O86</f>
        <v>0</v>
      </c>
      <c r="L41" s="28"/>
    </row>
    <row r="42" spans="1:12" s="71" customFormat="1">
      <c r="A42" s="44"/>
      <c r="B42" s="38" t="s">
        <v>91</v>
      </c>
      <c r="C42" s="45"/>
      <c r="D42" s="41" t="s">
        <v>193</v>
      </c>
      <c r="E42" s="42">
        <v>0</v>
      </c>
      <c r="F42" s="43">
        <v>0</v>
      </c>
      <c r="G42" s="42">
        <v>0</v>
      </c>
      <c r="I42" s="28">
        <f>F42-'Interest Reconciliation'!L87-'Interest Reconciliation'!M87-'Interest Reconciliation'!N87</f>
        <v>0</v>
      </c>
      <c r="J42" s="28">
        <f>G42-'Interest Reconciliation'!O87</f>
        <v>0</v>
      </c>
      <c r="L42" s="28"/>
    </row>
    <row r="43" spans="1:12" s="71" customFormat="1" ht="18" customHeight="1">
      <c r="A43" s="44"/>
      <c r="B43" s="38" t="s">
        <v>91</v>
      </c>
      <c r="C43" s="46"/>
      <c r="D43" s="41" t="s">
        <v>194</v>
      </c>
      <c r="E43" s="42">
        <v>0</v>
      </c>
      <c r="F43" s="43">
        <v>0</v>
      </c>
      <c r="G43" s="42">
        <v>0</v>
      </c>
      <c r="I43" s="28">
        <f>F43-'Interest Reconciliation'!L88-'Interest Reconciliation'!M88-'Interest Reconciliation'!N88</f>
        <v>0</v>
      </c>
      <c r="J43" s="28">
        <f>G43-'Interest Reconciliation'!O88</f>
        <v>0</v>
      </c>
      <c r="L43" s="28"/>
    </row>
    <row r="44" spans="1:12" s="71" customFormat="1" ht="18" customHeight="1">
      <c r="A44" s="47"/>
      <c r="B44" s="79"/>
      <c r="C44" s="80"/>
      <c r="D44" s="79"/>
      <c r="E44" s="81"/>
      <c r="F44" s="82">
        <f>SUM(F41:F43)</f>
        <v>0</v>
      </c>
      <c r="G44" s="81"/>
    </row>
    <row r="45" spans="1:12" s="71" customFormat="1" ht="18" customHeight="1">
      <c r="A45" s="83"/>
      <c r="B45" s="84"/>
      <c r="C45" s="83"/>
      <c r="D45" s="83"/>
      <c r="E45" s="85"/>
      <c r="F45" s="86">
        <f>F40+F44</f>
        <v>0</v>
      </c>
      <c r="G45" s="85"/>
    </row>
    <row r="46" spans="1:12" s="71" customFormat="1" ht="14.45" customHeight="1"/>
    <row r="47" spans="1:12" s="71" customFormat="1">
      <c r="A47" s="37" t="s">
        <v>42</v>
      </c>
      <c r="C47" s="159" t="s">
        <v>116</v>
      </c>
    </row>
    <row r="48" spans="1:12" s="71" customFormat="1">
      <c r="C48" s="160" t="s">
        <v>117</v>
      </c>
    </row>
    <row r="49" spans="1:12" s="71" customFormat="1" ht="25.5">
      <c r="A49" s="179" t="s">
        <v>43</v>
      </c>
      <c r="B49" s="154" t="s">
        <v>44</v>
      </c>
      <c r="C49" s="155" t="s">
        <v>45</v>
      </c>
      <c r="D49" s="156" t="s">
        <v>46</v>
      </c>
      <c r="E49" s="157" t="s">
        <v>47</v>
      </c>
      <c r="F49" s="156" t="s">
        <v>48</v>
      </c>
      <c r="G49" s="156" t="s">
        <v>49</v>
      </c>
    </row>
    <row r="50" spans="1:12" s="71" customFormat="1">
      <c r="A50" s="181" t="s">
        <v>56</v>
      </c>
      <c r="B50" s="38" t="s">
        <v>57</v>
      </c>
      <c r="C50" s="40" t="s">
        <v>52</v>
      </c>
      <c r="D50" s="41" t="s">
        <v>192</v>
      </c>
      <c r="E50" s="42">
        <v>4656761.5999999996</v>
      </c>
      <c r="F50" s="43">
        <v>-393300.3</v>
      </c>
      <c r="G50" s="42">
        <v>4263461.3</v>
      </c>
      <c r="I50" s="28">
        <f>F50-'Interest Reconciliation'!C103-'Interest Reconciliation'!D103-'Interest Reconciliation'!E103</f>
        <v>0</v>
      </c>
      <c r="J50" s="28">
        <f>G50-'Interest Reconciliation'!F103</f>
        <v>0</v>
      </c>
    </row>
    <row r="51" spans="1:12" s="71" customFormat="1">
      <c r="A51" s="182"/>
      <c r="B51" s="38" t="s">
        <v>57</v>
      </c>
      <c r="C51" s="45"/>
      <c r="D51" s="41" t="s">
        <v>193</v>
      </c>
      <c r="E51" s="42">
        <v>4263461.3</v>
      </c>
      <c r="F51" s="43">
        <v>-527075.96</v>
      </c>
      <c r="G51" s="42">
        <v>3736385.34</v>
      </c>
      <c r="I51" s="28">
        <f>F51-'Interest Reconciliation'!C104-'Interest Reconciliation'!D104-'Interest Reconciliation'!E104</f>
        <v>0</v>
      </c>
      <c r="J51" s="28">
        <f>G51-'Interest Reconciliation'!F104</f>
        <v>0</v>
      </c>
    </row>
    <row r="52" spans="1:12" s="71" customFormat="1">
      <c r="A52" s="182"/>
      <c r="B52" s="38" t="s">
        <v>57</v>
      </c>
      <c r="C52" s="46"/>
      <c r="D52" s="41" t="s">
        <v>194</v>
      </c>
      <c r="E52" s="42">
        <v>3736385.34</v>
      </c>
      <c r="F52" s="43">
        <v>-631814.23</v>
      </c>
      <c r="G52" s="42">
        <v>3104571.11</v>
      </c>
      <c r="I52" s="28">
        <f>F52-'Interest Reconciliation'!C105-'Interest Reconciliation'!D105-'Interest Reconciliation'!E105</f>
        <v>0</v>
      </c>
      <c r="J52" s="28">
        <f>G52-'Interest Reconciliation'!F105</f>
        <v>0</v>
      </c>
    </row>
    <row r="53" spans="1:12">
      <c r="A53" s="182"/>
      <c r="B53" s="79"/>
      <c r="C53" s="79"/>
      <c r="D53" s="79"/>
      <c r="E53" s="81"/>
      <c r="F53" s="82">
        <f>SUM(F50:F52)</f>
        <v>-1552190.49</v>
      </c>
      <c r="G53" s="81"/>
      <c r="H53" s="71"/>
      <c r="I53" s="71"/>
      <c r="J53" s="71"/>
      <c r="K53" s="71"/>
    </row>
    <row r="54" spans="1:12">
      <c r="A54" s="182"/>
      <c r="B54" s="38" t="s">
        <v>57</v>
      </c>
      <c r="C54" s="40" t="s">
        <v>53</v>
      </c>
      <c r="D54" s="41" t="s">
        <v>192</v>
      </c>
      <c r="E54" s="42">
        <v>0</v>
      </c>
      <c r="F54" s="43">
        <v>0</v>
      </c>
      <c r="G54" s="42">
        <v>0</v>
      </c>
      <c r="H54" s="71"/>
      <c r="I54" s="28">
        <f>F54-'Interest Reconciliation'!L103-'Interest Reconciliation'!M103-'Interest Reconciliation'!N103</f>
        <v>0</v>
      </c>
      <c r="J54" s="28">
        <f>G54-'Interest Reconciliation'!O103</f>
        <v>0</v>
      </c>
      <c r="K54" s="71"/>
      <c r="L54" s="28"/>
    </row>
    <row r="55" spans="1:12">
      <c r="A55" s="182"/>
      <c r="B55" s="38" t="s">
        <v>57</v>
      </c>
      <c r="C55" s="45"/>
      <c r="D55" s="41" t="s">
        <v>193</v>
      </c>
      <c r="E55" s="42">
        <v>0</v>
      </c>
      <c r="F55" s="43">
        <v>0</v>
      </c>
      <c r="G55" s="42">
        <v>0</v>
      </c>
      <c r="H55" s="71"/>
      <c r="I55" s="28">
        <f>F55-'Interest Reconciliation'!L104-'Interest Reconciliation'!M104-'Interest Reconciliation'!N104</f>
        <v>0</v>
      </c>
      <c r="J55" s="28">
        <f>G55-'Interest Reconciliation'!O104</f>
        <v>0</v>
      </c>
      <c r="K55" s="71"/>
      <c r="L55" s="28"/>
    </row>
    <row r="56" spans="1:12">
      <c r="A56" s="182"/>
      <c r="B56" s="38" t="s">
        <v>57</v>
      </c>
      <c r="C56" s="46"/>
      <c r="D56" s="41" t="s">
        <v>194</v>
      </c>
      <c r="E56" s="42">
        <v>0</v>
      </c>
      <c r="F56" s="43">
        <v>0</v>
      </c>
      <c r="G56" s="42">
        <v>0</v>
      </c>
      <c r="H56" s="71"/>
      <c r="I56" s="28">
        <f>F56-'Interest Reconciliation'!L105-'Interest Reconciliation'!M105-'Interest Reconciliation'!N105</f>
        <v>0</v>
      </c>
      <c r="J56" s="28">
        <f>G56-'Interest Reconciliation'!O105</f>
        <v>0</v>
      </c>
      <c r="K56" s="71"/>
      <c r="L56" s="28"/>
    </row>
    <row r="57" spans="1:12">
      <c r="A57" s="183"/>
      <c r="B57" s="79"/>
      <c r="C57" s="79"/>
      <c r="D57" s="79"/>
      <c r="E57" s="81"/>
      <c r="F57" s="82">
        <f>SUM(F54:F56)</f>
        <v>0</v>
      </c>
      <c r="G57" s="81"/>
      <c r="H57" s="71"/>
      <c r="I57" s="28"/>
      <c r="J57" s="28"/>
      <c r="K57" s="71"/>
    </row>
    <row r="58" spans="1:12">
      <c r="A58" s="180"/>
      <c r="B58" s="83"/>
      <c r="C58" s="166"/>
      <c r="D58" s="83"/>
      <c r="E58" s="85"/>
      <c r="F58" s="86">
        <f>F53+F57</f>
        <v>-1552190.49</v>
      </c>
      <c r="G58" s="85"/>
      <c r="H58" s="71"/>
      <c r="I58" s="28"/>
      <c r="J58" s="28"/>
      <c r="K58" s="71"/>
    </row>
    <row r="59" spans="1:12" s="71" customFormat="1">
      <c r="A59" s="208"/>
      <c r="B59" s="38" t="s">
        <v>57</v>
      </c>
      <c r="C59" s="185" t="s">
        <v>52</v>
      </c>
      <c r="D59" s="167" t="s">
        <v>192</v>
      </c>
      <c r="E59" s="42">
        <v>8236480.1500000004</v>
      </c>
      <c r="F59" s="43">
        <v>-629421.78</v>
      </c>
      <c r="G59" s="42">
        <v>7607058.3700000001</v>
      </c>
      <c r="I59" s="28">
        <f>F59-'Interest Reconciliation'!C120-'Interest Reconciliation'!D120-'Interest Reconciliation'!E120</f>
        <v>-0.5</v>
      </c>
      <c r="J59" s="28">
        <f>G59-'Interest Reconciliation'!F120</f>
        <v>-0.50000000093132257</v>
      </c>
    </row>
    <row r="60" spans="1:12" s="71" customFormat="1">
      <c r="A60" s="186"/>
      <c r="B60" s="38" t="s">
        <v>57</v>
      </c>
      <c r="C60" s="186"/>
      <c r="D60" s="168" t="s">
        <v>193</v>
      </c>
      <c r="E60" s="42">
        <v>7607058.3700000001</v>
      </c>
      <c r="F60" s="43">
        <v>-511377.6</v>
      </c>
      <c r="G60" s="42">
        <v>7095680.7699999996</v>
      </c>
      <c r="I60" s="28">
        <f>F60-'Interest Reconciliation'!C121-'Interest Reconciliation'!D121-'Interest Reconciliation'!E121</f>
        <v>0</v>
      </c>
      <c r="J60" s="28">
        <f>G60-'Interest Reconciliation'!F121</f>
        <v>-0.50000000186264515</v>
      </c>
    </row>
    <row r="61" spans="1:12" s="71" customFormat="1">
      <c r="A61" s="186"/>
      <c r="B61" s="38" t="s">
        <v>57</v>
      </c>
      <c r="C61" s="187"/>
      <c r="D61" s="168" t="s">
        <v>194</v>
      </c>
      <c r="E61" s="42">
        <v>7095680.7699999996</v>
      </c>
      <c r="F61" s="43">
        <v>-568907.02</v>
      </c>
      <c r="G61" s="42">
        <v>6526773.75</v>
      </c>
      <c r="I61" s="28">
        <f>F61-'Interest Reconciliation'!C122-'Interest Reconciliation'!D122-'Interest Reconciliation'!E122</f>
        <v>0.5</v>
      </c>
      <c r="J61" s="28">
        <f>G61-'Interest Reconciliation'!F122</f>
        <v>0</v>
      </c>
    </row>
    <row r="62" spans="1:12" s="71" customFormat="1">
      <c r="A62" s="186"/>
      <c r="B62" s="79"/>
      <c r="C62" s="184"/>
      <c r="D62" s="79"/>
      <c r="E62" s="81"/>
      <c r="F62" s="82">
        <f>SUM(F59:F61)</f>
        <v>-1709706.4</v>
      </c>
      <c r="G62" s="81"/>
      <c r="I62" s="28"/>
      <c r="J62" s="28"/>
    </row>
    <row r="63" spans="1:12" s="32" customFormat="1">
      <c r="A63" s="182" t="s">
        <v>109</v>
      </c>
      <c r="B63" s="38" t="s">
        <v>91</v>
      </c>
      <c r="C63" s="40" t="s">
        <v>53</v>
      </c>
      <c r="D63" s="41" t="s">
        <v>192</v>
      </c>
      <c r="E63" s="42">
        <v>215600.3</v>
      </c>
      <c r="F63" s="43">
        <v>-19422.189999999999</v>
      </c>
      <c r="G63" s="42">
        <v>196178.11</v>
      </c>
      <c r="H63" s="71"/>
      <c r="I63" s="28">
        <f>F63-'Interest Reconciliation'!L120-'Interest Reconciliation'!M120-'Interest Reconciliation'!N120</f>
        <v>0</v>
      </c>
      <c r="J63" s="28">
        <f>G63-'Interest Reconciliation'!O120</f>
        <v>0</v>
      </c>
      <c r="K63" s="71"/>
      <c r="L63" s="28"/>
    </row>
    <row r="64" spans="1:12" s="32" customFormat="1">
      <c r="A64" s="182"/>
      <c r="B64" s="38" t="s">
        <v>91</v>
      </c>
      <c r="C64" s="45"/>
      <c r="D64" s="41" t="s">
        <v>193</v>
      </c>
      <c r="E64" s="42">
        <v>196178.11</v>
      </c>
      <c r="F64" s="43">
        <v>-22841.26</v>
      </c>
      <c r="G64" s="42">
        <v>173336.85</v>
      </c>
      <c r="H64" s="71"/>
      <c r="I64" s="28">
        <f>F64-'Interest Reconciliation'!L121-'Interest Reconciliation'!M121-'Interest Reconciliation'!N121</f>
        <v>0</v>
      </c>
      <c r="J64" s="28">
        <f>G64-'Interest Reconciliation'!O121</f>
        <v>0</v>
      </c>
      <c r="K64" s="71"/>
      <c r="L64" s="28"/>
    </row>
    <row r="65" spans="1:13">
      <c r="A65" s="182"/>
      <c r="B65" s="38" t="s">
        <v>91</v>
      </c>
      <c r="C65" s="46"/>
      <c r="D65" s="41" t="s">
        <v>194</v>
      </c>
      <c r="E65" s="42">
        <v>173336.85</v>
      </c>
      <c r="F65" s="43">
        <v>-31043.11</v>
      </c>
      <c r="G65" s="42">
        <v>142293.74</v>
      </c>
      <c r="H65" s="71"/>
      <c r="I65" s="28">
        <f>F65-'Interest Reconciliation'!L122-'Interest Reconciliation'!M122-'Interest Reconciliation'!N122</f>
        <v>0</v>
      </c>
      <c r="J65" s="28">
        <f>G65-'Interest Reconciliation'!O122</f>
        <v>0</v>
      </c>
      <c r="K65" s="71"/>
      <c r="L65" s="28"/>
    </row>
    <row r="66" spans="1:13">
      <c r="A66" s="183"/>
      <c r="B66" s="79"/>
      <c r="C66" s="79"/>
      <c r="D66" s="79"/>
      <c r="E66" s="81"/>
      <c r="F66" s="82">
        <f>SUM(F63:F65)</f>
        <v>-73306.559999999998</v>
      </c>
      <c r="G66" s="81"/>
      <c r="H66" s="71"/>
      <c r="I66" s="71"/>
      <c r="J66" s="71"/>
      <c r="K66" s="71"/>
      <c r="L66" s="20"/>
      <c r="M66" s="20"/>
    </row>
    <row r="67" spans="1:13">
      <c r="A67" s="207"/>
      <c r="B67" s="83"/>
      <c r="C67" s="83"/>
      <c r="D67" s="83"/>
      <c r="E67" s="85"/>
      <c r="F67" s="86">
        <f>F62+F66</f>
        <v>-1783012.96</v>
      </c>
      <c r="G67" s="85"/>
      <c r="H67" s="71"/>
      <c r="I67" s="71"/>
      <c r="J67" s="71"/>
      <c r="K67" s="71"/>
      <c r="L67" s="20"/>
      <c r="M67" s="20"/>
    </row>
    <row r="68" spans="1:13">
      <c r="A68" s="37" t="s">
        <v>42</v>
      </c>
      <c r="B68" s="36"/>
      <c r="C68" s="48" t="s">
        <v>118</v>
      </c>
      <c r="D68" s="36"/>
      <c r="E68" s="36"/>
      <c r="F68" s="36"/>
      <c r="G68" s="36"/>
      <c r="H68" s="71"/>
      <c r="I68" s="71"/>
      <c r="J68" s="71"/>
      <c r="K68" s="71"/>
      <c r="L68" s="20"/>
      <c r="M68" s="20"/>
    </row>
    <row r="69" spans="1:13" ht="25.5">
      <c r="A69" s="153" t="s">
        <v>43</v>
      </c>
      <c r="B69" s="154" t="s">
        <v>44</v>
      </c>
      <c r="C69" s="155" t="s">
        <v>45</v>
      </c>
      <c r="D69" s="156" t="s">
        <v>46</v>
      </c>
      <c r="E69" s="157" t="s">
        <v>47</v>
      </c>
      <c r="F69" s="156" t="s">
        <v>48</v>
      </c>
      <c r="G69" s="156" t="s">
        <v>49</v>
      </c>
      <c r="H69" s="71"/>
      <c r="I69" s="71"/>
      <c r="J69" s="71"/>
      <c r="K69" s="71"/>
    </row>
    <row r="70" spans="1:13" s="71" customFormat="1">
      <c r="A70" s="39">
        <v>254328</v>
      </c>
      <c r="B70" s="38" t="s">
        <v>136</v>
      </c>
      <c r="C70" s="40" t="s">
        <v>52</v>
      </c>
      <c r="D70" s="41" t="s">
        <v>192</v>
      </c>
      <c r="E70" s="42">
        <v>0</v>
      </c>
      <c r="F70" s="43">
        <v>0</v>
      </c>
      <c r="G70" s="42">
        <v>0</v>
      </c>
      <c r="I70" s="28">
        <f>F70-'Interest Reconciliation'!C137-'Interest Reconciliation'!D137-'Interest Reconciliation'!E137</f>
        <v>0</v>
      </c>
      <c r="J70" s="28">
        <f>G70-'Interest Reconciliation'!F137</f>
        <v>0</v>
      </c>
    </row>
    <row r="71" spans="1:13" s="71" customFormat="1">
      <c r="A71" s="182"/>
      <c r="B71" s="38" t="s">
        <v>136</v>
      </c>
      <c r="C71" s="45"/>
      <c r="D71" s="41" t="s">
        <v>193</v>
      </c>
      <c r="E71" s="42">
        <v>0</v>
      </c>
      <c r="F71" s="43">
        <v>0</v>
      </c>
      <c r="G71" s="42">
        <v>0</v>
      </c>
      <c r="I71" s="28">
        <f>F71-'Interest Reconciliation'!C138-'Interest Reconciliation'!D138-'Interest Reconciliation'!E138</f>
        <v>0</v>
      </c>
      <c r="J71" s="28">
        <f>G71-'Interest Reconciliation'!F138</f>
        <v>0</v>
      </c>
    </row>
    <row r="72" spans="1:13" s="71" customFormat="1">
      <c r="A72" s="182"/>
      <c r="B72" s="38" t="s">
        <v>136</v>
      </c>
      <c r="C72" s="46"/>
      <c r="D72" s="41" t="s">
        <v>194</v>
      </c>
      <c r="E72" s="42">
        <v>0</v>
      </c>
      <c r="F72" s="43">
        <v>0</v>
      </c>
      <c r="G72" s="42">
        <v>0</v>
      </c>
      <c r="I72" s="28">
        <f>F72-'Interest Reconciliation'!C139-'Interest Reconciliation'!D139-'Interest Reconciliation'!E139</f>
        <v>0</v>
      </c>
      <c r="J72" s="28">
        <f>G72-'Interest Reconciliation'!F139</f>
        <v>0</v>
      </c>
    </row>
    <row r="73" spans="1:13" s="71" customFormat="1">
      <c r="A73" s="182"/>
      <c r="B73" s="79"/>
      <c r="C73" s="79"/>
      <c r="D73" s="79"/>
      <c r="E73" s="81"/>
      <c r="F73" s="82">
        <f>SUM(F70:F72)</f>
        <v>0</v>
      </c>
      <c r="G73" s="81"/>
      <c r="I73" s="205"/>
    </row>
    <row r="74" spans="1:13" s="71" customFormat="1">
      <c r="A74" s="182"/>
      <c r="B74" s="38" t="s">
        <v>136</v>
      </c>
      <c r="C74" s="40" t="s">
        <v>53</v>
      </c>
      <c r="D74" s="41" t="s">
        <v>192</v>
      </c>
      <c r="E74" s="42">
        <v>-812585.45</v>
      </c>
      <c r="F74" s="43">
        <v>56749.62</v>
      </c>
      <c r="G74" s="42">
        <v>-755835.83</v>
      </c>
      <c r="I74" s="28">
        <f>F74-'Interest Reconciliation'!L137-'Interest Reconciliation'!M137-'Interest Reconciliation'!N137</f>
        <v>0</v>
      </c>
      <c r="J74" s="28">
        <f>G74-'Interest Reconciliation'!O137</f>
        <v>0</v>
      </c>
      <c r="L74" s="28"/>
    </row>
    <row r="75" spans="1:13" s="71" customFormat="1">
      <c r="A75" s="182"/>
      <c r="B75" s="38" t="s">
        <v>136</v>
      </c>
      <c r="C75" s="45"/>
      <c r="D75" s="41" t="s">
        <v>193</v>
      </c>
      <c r="E75" s="42">
        <v>-755835.83</v>
      </c>
      <c r="F75" s="43">
        <v>110525.36</v>
      </c>
      <c r="G75" s="42">
        <v>-645310.47</v>
      </c>
      <c r="I75" s="28">
        <f>F75-'Interest Reconciliation'!L138-'Interest Reconciliation'!M138-'Interest Reconciliation'!N138</f>
        <v>0</v>
      </c>
      <c r="J75" s="28">
        <f>G75-'Interest Reconciliation'!O138</f>
        <v>0</v>
      </c>
      <c r="L75" s="28"/>
    </row>
    <row r="76" spans="1:13" s="71" customFormat="1">
      <c r="A76" s="182"/>
      <c r="B76" s="38" t="s">
        <v>136</v>
      </c>
      <c r="C76" s="46"/>
      <c r="D76" s="41" t="s">
        <v>194</v>
      </c>
      <c r="E76" s="42">
        <v>-645310.47</v>
      </c>
      <c r="F76" s="43">
        <v>139531.13</v>
      </c>
      <c r="G76" s="42">
        <v>-505779.34</v>
      </c>
      <c r="I76" s="28">
        <f>F76-'Interest Reconciliation'!L139-'Interest Reconciliation'!M139-'Interest Reconciliation'!N139</f>
        <v>0</v>
      </c>
      <c r="J76" s="28">
        <f>G76-'Interest Reconciliation'!O139</f>
        <v>0</v>
      </c>
      <c r="L76" s="28"/>
    </row>
    <row r="77" spans="1:13" s="71" customFormat="1">
      <c r="A77" s="183"/>
      <c r="B77" s="79"/>
      <c r="C77" s="79"/>
      <c r="D77" s="79"/>
      <c r="E77" s="81"/>
      <c r="F77" s="82">
        <f>SUM(F74:F76)</f>
        <v>306806.11</v>
      </c>
      <c r="G77" s="81"/>
      <c r="I77" s="28"/>
      <c r="J77" s="28"/>
    </row>
    <row r="78" spans="1:13" s="71" customFormat="1">
      <c r="A78" s="180"/>
      <c r="B78" s="83"/>
      <c r="C78" s="166"/>
      <c r="D78" s="83"/>
      <c r="E78" s="85"/>
      <c r="F78" s="86">
        <f>F73+F77</f>
        <v>306806.11</v>
      </c>
      <c r="G78" s="85"/>
      <c r="I78" s="28"/>
      <c r="J78" s="28"/>
    </row>
    <row r="79" spans="1:13">
      <c r="A79" s="181" t="s">
        <v>114</v>
      </c>
      <c r="B79" s="38" t="s">
        <v>115</v>
      </c>
      <c r="C79" s="40" t="s">
        <v>52</v>
      </c>
      <c r="D79" s="41" t="s">
        <v>192</v>
      </c>
      <c r="E79" s="42">
        <v>0</v>
      </c>
      <c r="F79" s="42">
        <v>0</v>
      </c>
      <c r="G79" s="42">
        <v>0</v>
      </c>
      <c r="H79" s="71"/>
      <c r="I79" s="28">
        <f>F79-'Interest Reconciliation'!C154-'Interest Reconciliation'!D154-'Interest Reconciliation'!E154</f>
        <v>0</v>
      </c>
      <c r="J79" s="28">
        <f>G79-'Interest Reconciliation'!F154</f>
        <v>0</v>
      </c>
      <c r="K79" s="71"/>
    </row>
    <row r="80" spans="1:13" ht="15.75">
      <c r="A80" s="182"/>
      <c r="B80" s="38" t="s">
        <v>115</v>
      </c>
      <c r="C80" s="45"/>
      <c r="D80" s="41" t="s">
        <v>193</v>
      </c>
      <c r="E80" s="42">
        <v>0</v>
      </c>
      <c r="F80" s="42">
        <v>0</v>
      </c>
      <c r="G80" s="42">
        <v>0</v>
      </c>
      <c r="H80" s="158"/>
      <c r="I80" s="28">
        <f>F80-'Interest Reconciliation'!C155-'Interest Reconciliation'!D155-'Interest Reconciliation'!E155</f>
        <v>0</v>
      </c>
      <c r="J80" s="28">
        <f>G80-'Interest Reconciliation'!F155</f>
        <v>0</v>
      </c>
      <c r="K80" s="71"/>
    </row>
    <row r="81" spans="1:15" s="32" customFormat="1" ht="15.75">
      <c r="A81" s="182"/>
      <c r="B81" s="38" t="s">
        <v>115</v>
      </c>
      <c r="C81" s="46"/>
      <c r="D81" s="41" t="s">
        <v>194</v>
      </c>
      <c r="E81" s="42">
        <v>0</v>
      </c>
      <c r="F81" s="42">
        <v>0</v>
      </c>
      <c r="G81" s="42">
        <v>0</v>
      </c>
      <c r="H81" s="158"/>
      <c r="I81" s="28">
        <f>F81-'Interest Reconciliation'!C156-'Interest Reconciliation'!D156-'Interest Reconciliation'!E156</f>
        <v>0</v>
      </c>
      <c r="J81" s="28">
        <f>G81-'Interest Reconciliation'!F156</f>
        <v>0</v>
      </c>
      <c r="K81" s="71"/>
    </row>
    <row r="82" spans="1:15">
      <c r="A82" s="182"/>
      <c r="B82" s="79"/>
      <c r="C82" s="79"/>
      <c r="D82" s="79"/>
      <c r="E82" s="81"/>
      <c r="F82" s="82">
        <f>SUM(F79:F81)</f>
        <v>0</v>
      </c>
      <c r="G82" s="81"/>
      <c r="H82" s="71"/>
      <c r="I82" s="28"/>
      <c r="J82" s="28"/>
      <c r="K82" s="71"/>
    </row>
    <row r="83" spans="1:15">
      <c r="A83" s="182"/>
      <c r="B83" s="38" t="s">
        <v>115</v>
      </c>
      <c r="C83" s="40" t="s">
        <v>53</v>
      </c>
      <c r="D83" s="41" t="s">
        <v>192</v>
      </c>
      <c r="E83" s="42">
        <v>0</v>
      </c>
      <c r="F83" s="42">
        <v>0</v>
      </c>
      <c r="G83" s="42">
        <v>0</v>
      </c>
      <c r="H83" s="71"/>
      <c r="I83" s="28">
        <f>F83-'Interest Reconciliation'!L154-'Interest Reconciliation'!M154-'Interest Reconciliation'!N154</f>
        <v>0</v>
      </c>
      <c r="J83" s="28">
        <f>G83-'Interest Reconciliation'!O154</f>
        <v>0</v>
      </c>
      <c r="K83" s="71"/>
      <c r="L83" s="28"/>
    </row>
    <row r="84" spans="1:15" s="71" customFormat="1">
      <c r="A84" s="182"/>
      <c r="B84" s="38" t="s">
        <v>115</v>
      </c>
      <c r="C84" s="45"/>
      <c r="D84" s="41" t="s">
        <v>193</v>
      </c>
      <c r="E84" s="42">
        <v>0</v>
      </c>
      <c r="F84" s="42">
        <v>0</v>
      </c>
      <c r="G84" s="42">
        <v>0</v>
      </c>
      <c r="I84" s="28">
        <f>F84-'Interest Reconciliation'!L155-'Interest Reconciliation'!M155-'Interest Reconciliation'!N155</f>
        <v>0</v>
      </c>
      <c r="J84" s="28">
        <f>G84-'Interest Reconciliation'!O155</f>
        <v>0</v>
      </c>
      <c r="L84" s="28"/>
    </row>
    <row r="85" spans="1:15" s="71" customFormat="1">
      <c r="A85" s="182"/>
      <c r="B85" s="38" t="s">
        <v>115</v>
      </c>
      <c r="C85" s="46"/>
      <c r="D85" s="41" t="s">
        <v>194</v>
      </c>
      <c r="E85" s="42">
        <v>0</v>
      </c>
      <c r="F85" s="42">
        <v>0</v>
      </c>
      <c r="G85" s="42">
        <v>0</v>
      </c>
      <c r="I85" s="28">
        <f>F85-'Interest Reconciliation'!L156-'Interest Reconciliation'!M156-'Interest Reconciliation'!N156</f>
        <v>0</v>
      </c>
      <c r="J85" s="28">
        <f>G85-'Interest Reconciliation'!O156</f>
        <v>0</v>
      </c>
      <c r="L85" s="28"/>
    </row>
    <row r="86" spans="1:15" s="71" customFormat="1">
      <c r="A86" s="183"/>
      <c r="B86" s="79"/>
      <c r="C86" s="79"/>
      <c r="D86" s="79"/>
      <c r="E86" s="81"/>
      <c r="F86" s="82">
        <f>SUM(F83:F85)</f>
        <v>0</v>
      </c>
      <c r="G86" s="81"/>
    </row>
    <row r="87" spans="1:15" s="71" customFormat="1">
      <c r="A87" s="180"/>
      <c r="B87" s="83"/>
      <c r="C87" s="166"/>
      <c r="D87" s="83"/>
      <c r="E87" s="85"/>
      <c r="F87" s="86">
        <f>F82+F86</f>
        <v>0</v>
      </c>
      <c r="G87" s="85"/>
    </row>
    <row r="88" spans="1:15">
      <c r="A88" s="71"/>
      <c r="B88" s="71"/>
      <c r="C88" s="71"/>
      <c r="D88" s="71"/>
      <c r="E88" s="71"/>
      <c r="F88" s="71"/>
      <c r="G88" s="71"/>
      <c r="H88" s="71"/>
      <c r="I88" s="71"/>
      <c r="J88" s="71"/>
      <c r="K88" s="71"/>
    </row>
    <row r="89" spans="1:15">
      <c r="A89" s="37" t="s">
        <v>42</v>
      </c>
      <c r="B89" s="36"/>
      <c r="C89" s="159" t="s">
        <v>112</v>
      </c>
      <c r="D89" s="36"/>
      <c r="E89" s="36"/>
      <c r="F89" s="36"/>
      <c r="G89" s="36"/>
      <c r="H89" s="71"/>
      <c r="I89" s="71"/>
      <c r="J89" s="71"/>
      <c r="K89" s="71"/>
    </row>
    <row r="90" spans="1:15">
      <c r="A90" s="36"/>
      <c r="B90" s="36"/>
      <c r="C90" s="36"/>
      <c r="D90" s="36"/>
      <c r="E90" s="36"/>
      <c r="F90" s="36"/>
      <c r="G90" s="36"/>
      <c r="H90" s="71"/>
      <c r="I90" s="71"/>
      <c r="J90" s="71"/>
      <c r="K90" s="71"/>
    </row>
    <row r="91" spans="1:15" s="71" customFormat="1" ht="31.15" customHeight="1">
      <c r="A91" s="87" t="s">
        <v>43</v>
      </c>
      <c r="B91" s="88" t="s">
        <v>44</v>
      </c>
      <c r="C91" s="89" t="s">
        <v>45</v>
      </c>
      <c r="D91" s="87" t="s">
        <v>46</v>
      </c>
      <c r="E91" s="87" t="s">
        <v>47</v>
      </c>
      <c r="F91" s="87" t="s">
        <v>48</v>
      </c>
      <c r="G91" s="87" t="s">
        <v>49</v>
      </c>
      <c r="J91" s="303" t="s">
        <v>135</v>
      </c>
      <c r="K91" s="303"/>
    </row>
    <row r="92" spans="1:15">
      <c r="A92" s="39" t="s">
        <v>58</v>
      </c>
      <c r="B92" s="38" t="s">
        <v>59</v>
      </c>
      <c r="C92" s="40" t="s">
        <v>52</v>
      </c>
      <c r="D92" s="41" t="s">
        <v>192</v>
      </c>
      <c r="E92" s="42">
        <v>-4684276.8</v>
      </c>
      <c r="F92" s="43">
        <v>209769.44</v>
      </c>
      <c r="G92" s="42">
        <v>-4474507.3600000003</v>
      </c>
      <c r="H92" s="71"/>
      <c r="I92" s="20"/>
      <c r="J92" s="172">
        <f>(G6+G15+G28+G37+G50+G59+G70+G79+G172+G181)*-0.21</f>
        <v>-4474507.3947000001</v>
      </c>
      <c r="K92" s="172">
        <f>J92-G92</f>
        <v>-3.469999972730875E-2</v>
      </c>
      <c r="O92" s="20"/>
    </row>
    <row r="93" spans="1:15">
      <c r="A93" s="44"/>
      <c r="B93" s="38" t="s">
        <v>59</v>
      </c>
      <c r="C93" s="45"/>
      <c r="D93" s="41" t="s">
        <v>193</v>
      </c>
      <c r="E93" s="42">
        <v>-4474507.3600000003</v>
      </c>
      <c r="F93" s="43">
        <v>48964.43</v>
      </c>
      <c r="G93" s="42">
        <v>-4425542.93</v>
      </c>
      <c r="H93" s="71"/>
      <c r="I93" s="20"/>
      <c r="J93" s="172">
        <f>(G7+G16+G29+G38+G51+G60+G71+G80+G173+G182)*-0.21</f>
        <v>-4425542.9567999998</v>
      </c>
      <c r="K93" s="172">
        <f>J93-G93</f>
        <v>-2.6800000108778477E-2</v>
      </c>
    </row>
    <row r="94" spans="1:15">
      <c r="A94" s="44"/>
      <c r="B94" s="38" t="s">
        <v>59</v>
      </c>
      <c r="C94" s="46"/>
      <c r="D94" s="41" t="s">
        <v>194</v>
      </c>
      <c r="E94" s="42">
        <v>-4425542.93</v>
      </c>
      <c r="F94" s="43">
        <v>207940.76</v>
      </c>
      <c r="G94" s="42">
        <v>-4217602.17</v>
      </c>
      <c r="H94" s="169"/>
      <c r="I94" s="20"/>
      <c r="J94" s="172">
        <f>(G8+G17+G30+G39+G52+G61+G72+G81+G174+G183)*-0.21</f>
        <v>-4217602.1957999999</v>
      </c>
      <c r="K94" s="172">
        <f>J94-G94</f>
        <v>-2.5799999944865704E-2</v>
      </c>
    </row>
    <row r="95" spans="1:15" s="71" customFormat="1">
      <c r="A95" s="44"/>
      <c r="B95" s="79"/>
      <c r="C95" s="80"/>
      <c r="D95" s="79"/>
      <c r="E95" s="81"/>
      <c r="F95" s="82">
        <f>SUM(F92:F94)</f>
        <v>466674.63</v>
      </c>
      <c r="G95" s="81"/>
    </row>
    <row r="96" spans="1:15">
      <c r="A96" s="44"/>
      <c r="B96" s="38" t="s">
        <v>59</v>
      </c>
      <c r="C96" s="40" t="s">
        <v>53</v>
      </c>
      <c r="D96" s="41" t="s">
        <v>192</v>
      </c>
      <c r="E96" s="42">
        <v>-115482.48</v>
      </c>
      <c r="F96" s="43">
        <v>-19024.16</v>
      </c>
      <c r="G96" s="42">
        <v>-134506.64000000001</v>
      </c>
      <c r="H96" s="71"/>
      <c r="I96" s="71"/>
      <c r="J96" s="172">
        <f>(G10+G19+G32+G41+G54+G63+G74+G83+G176+G185)*-0.21</f>
        <v>-134506.4889</v>
      </c>
      <c r="K96" s="172">
        <f>J96-G96</f>
        <v>0.1511000000173226</v>
      </c>
    </row>
    <row r="97" spans="1:12">
      <c r="A97" s="44"/>
      <c r="B97" s="38" t="s">
        <v>59</v>
      </c>
      <c r="C97" s="45"/>
      <c r="D97" s="41" t="s">
        <v>193</v>
      </c>
      <c r="E97" s="42">
        <v>-134506.64000000001</v>
      </c>
      <c r="F97" s="43">
        <v>-1027.1500000000001</v>
      </c>
      <c r="G97" s="42">
        <v>-135533.79</v>
      </c>
      <c r="H97" s="71"/>
      <c r="I97" s="71"/>
      <c r="J97" s="172">
        <f>(G11+G20+G33+G42+G55+G64+G75+G84+G177+G186)*-0.21</f>
        <v>-135533.63459999999</v>
      </c>
      <c r="K97" s="172">
        <f>J97-G97</f>
        <v>0.15540000001783483</v>
      </c>
    </row>
    <row r="98" spans="1:12">
      <c r="A98" s="44"/>
      <c r="B98" s="38" t="s">
        <v>59</v>
      </c>
      <c r="C98" s="46"/>
      <c r="D98" s="41" t="s">
        <v>194</v>
      </c>
      <c r="E98" s="42">
        <v>-135533.79</v>
      </c>
      <c r="F98" s="43">
        <v>-128216.53</v>
      </c>
      <c r="G98" s="42">
        <v>-263750.32</v>
      </c>
      <c r="H98" s="169"/>
      <c r="I98" s="71"/>
      <c r="J98" s="172">
        <f>(G12+G21+G34+G43+G56+G65+G76+G85+G178+G187)*-0.21</f>
        <v>-263750.16989999992</v>
      </c>
      <c r="K98" s="172">
        <f>J98-G98</f>
        <v>0.15010000008624047</v>
      </c>
    </row>
    <row r="99" spans="1:12" s="71" customFormat="1">
      <c r="A99" s="47"/>
      <c r="B99" s="79"/>
      <c r="C99" s="80"/>
      <c r="D99" s="79"/>
      <c r="E99" s="81"/>
      <c r="F99" s="82">
        <f>SUM(F96:F98)</f>
        <v>-148267.84</v>
      </c>
      <c r="G99" s="81"/>
    </row>
    <row r="100" spans="1:12">
      <c r="A100" s="83"/>
      <c r="B100" s="84"/>
      <c r="C100" s="83"/>
      <c r="D100" s="83"/>
      <c r="E100" s="85"/>
      <c r="F100" s="86">
        <f>F95+F99</f>
        <v>318406.79000000004</v>
      </c>
      <c r="G100" s="85"/>
      <c r="H100" s="71"/>
      <c r="I100" s="71"/>
      <c r="J100" s="71"/>
      <c r="K100" s="71"/>
    </row>
    <row r="101" spans="1:12" s="71" customFormat="1">
      <c r="A101" s="149"/>
      <c r="B101" s="152"/>
      <c r="C101" s="149"/>
      <c r="D101" s="149"/>
      <c r="E101" s="150"/>
      <c r="F101" s="151"/>
      <c r="G101" s="150"/>
    </row>
    <row r="102" spans="1:12" s="71" customFormat="1" ht="15.75">
      <c r="A102" s="302" t="s">
        <v>60</v>
      </c>
      <c r="B102" s="302"/>
      <c r="C102" s="302"/>
      <c r="D102" s="302"/>
      <c r="E102" s="302"/>
      <c r="F102" s="302"/>
      <c r="G102" s="302"/>
    </row>
    <row r="103" spans="1:12" s="71" customFormat="1" ht="15.75">
      <c r="A103" s="158"/>
      <c r="B103" s="158"/>
      <c r="C103" s="158"/>
      <c r="D103" s="158"/>
      <c r="E103" s="158"/>
      <c r="F103" s="158"/>
      <c r="G103" s="158"/>
    </row>
    <row r="104" spans="1:12" s="71" customFormat="1">
      <c r="A104" s="37" t="s">
        <v>42</v>
      </c>
      <c r="B104" s="36"/>
      <c r="C104" s="16" t="s">
        <v>111</v>
      </c>
      <c r="D104" s="36"/>
      <c r="E104" s="36"/>
      <c r="F104" s="36"/>
      <c r="G104" s="36"/>
    </row>
    <row r="105" spans="1:12" s="71" customFormat="1">
      <c r="A105" s="36"/>
      <c r="B105" s="36"/>
      <c r="C105" s="36"/>
      <c r="D105" s="36"/>
      <c r="E105" s="36"/>
      <c r="F105" s="36"/>
      <c r="G105" s="36"/>
    </row>
    <row r="106" spans="1:12" s="71" customFormat="1" ht="26.25">
      <c r="A106" s="87" t="s">
        <v>43</v>
      </c>
      <c r="B106" s="88" t="s">
        <v>44</v>
      </c>
      <c r="C106" s="89" t="s">
        <v>45</v>
      </c>
      <c r="D106" s="87" t="s">
        <v>46</v>
      </c>
      <c r="E106" s="87" t="s">
        <v>47</v>
      </c>
      <c r="F106" s="87" t="s">
        <v>48</v>
      </c>
      <c r="G106" s="87" t="s">
        <v>49</v>
      </c>
      <c r="K106" s="173"/>
    </row>
    <row r="107" spans="1:12" s="71" customFormat="1">
      <c r="A107" s="39" t="s">
        <v>62</v>
      </c>
      <c r="B107" s="38" t="s">
        <v>63</v>
      </c>
      <c r="C107" s="40" t="s">
        <v>52</v>
      </c>
      <c r="D107" s="41" t="s">
        <v>192</v>
      </c>
      <c r="E107" s="42">
        <v>-400183.45</v>
      </c>
      <c r="F107" s="43">
        <v>61568.07</v>
      </c>
      <c r="G107" s="42">
        <v>-338615.38</v>
      </c>
      <c r="I107" s="48"/>
      <c r="K107" s="172"/>
    </row>
    <row r="108" spans="1:12" s="71" customFormat="1">
      <c r="A108" s="44"/>
      <c r="B108" s="38" t="s">
        <v>63</v>
      </c>
      <c r="C108" s="45"/>
      <c r="D108" s="41" t="s">
        <v>193</v>
      </c>
      <c r="E108" s="42">
        <v>-338615.38</v>
      </c>
      <c r="F108" s="43">
        <v>736260.28</v>
      </c>
      <c r="G108" s="42">
        <v>397644.9</v>
      </c>
    </row>
    <row r="109" spans="1:12" s="71" customFormat="1">
      <c r="A109" s="44"/>
      <c r="B109" s="38" t="s">
        <v>63</v>
      </c>
      <c r="C109" s="46"/>
      <c r="D109" s="41" t="s">
        <v>194</v>
      </c>
      <c r="E109" s="42">
        <v>397644.9</v>
      </c>
      <c r="F109" s="43">
        <v>477532.76</v>
      </c>
      <c r="G109" s="42">
        <v>875177.66</v>
      </c>
    </row>
    <row r="110" spans="1:12" s="71" customFormat="1">
      <c r="A110" s="47"/>
      <c r="B110" s="83"/>
      <c r="C110" s="90"/>
      <c r="D110" s="83"/>
      <c r="E110" s="85"/>
      <c r="F110" s="86">
        <f>SUM(F107:F109)</f>
        <v>1275361.1099999999</v>
      </c>
      <c r="G110" s="85"/>
    </row>
    <row r="111" spans="1:12">
      <c r="A111" s="39" t="s">
        <v>64</v>
      </c>
      <c r="B111" s="38" t="s">
        <v>65</v>
      </c>
      <c r="C111" s="40" t="s">
        <v>52</v>
      </c>
      <c r="D111" s="41" t="s">
        <v>192</v>
      </c>
      <c r="E111" s="42">
        <v>-8822734.4100000001</v>
      </c>
      <c r="F111" s="43">
        <v>-59897.21</v>
      </c>
      <c r="G111" s="42">
        <v>-8882631.6199999992</v>
      </c>
      <c r="H111" s="71"/>
      <c r="I111" s="71"/>
      <c r="J111" s="71"/>
      <c r="K111" s="172"/>
      <c r="L111" s="172"/>
    </row>
    <row r="112" spans="1:12">
      <c r="A112" s="44"/>
      <c r="B112" s="38" t="s">
        <v>65</v>
      </c>
      <c r="C112" s="45"/>
      <c r="D112" s="41" t="s">
        <v>193</v>
      </c>
      <c r="E112" s="42">
        <v>-8882631.6199999992</v>
      </c>
      <c r="F112" s="43">
        <v>-1514937.77</v>
      </c>
      <c r="G112" s="42">
        <v>-10397569.390000001</v>
      </c>
      <c r="H112" s="71"/>
      <c r="I112" s="71"/>
      <c r="J112" s="71"/>
      <c r="K112" s="71"/>
    </row>
    <row r="113" spans="1:11" s="71" customFormat="1">
      <c r="A113" s="44"/>
      <c r="B113" s="38" t="s">
        <v>65</v>
      </c>
      <c r="C113" s="46"/>
      <c r="D113" s="41" t="s">
        <v>194</v>
      </c>
      <c r="E113" s="42">
        <v>-10397569.390000001</v>
      </c>
      <c r="F113" s="43">
        <v>-660074.11</v>
      </c>
      <c r="G113" s="42">
        <v>-11057643.5</v>
      </c>
    </row>
    <row r="114" spans="1:11">
      <c r="A114" s="47"/>
      <c r="B114" s="83"/>
      <c r="C114" s="90"/>
      <c r="D114" s="83"/>
      <c r="E114" s="85"/>
      <c r="F114" s="86">
        <f>SUM(F111:F113)</f>
        <v>-2234909.09</v>
      </c>
      <c r="G114" s="85"/>
      <c r="H114" s="71"/>
      <c r="I114" s="71"/>
      <c r="J114" s="71"/>
      <c r="K114" s="71"/>
    </row>
    <row r="115" spans="1:11">
      <c r="A115" s="39" t="s">
        <v>66</v>
      </c>
      <c r="B115" s="38" t="s">
        <v>63</v>
      </c>
      <c r="C115" s="40" t="s">
        <v>53</v>
      </c>
      <c r="D115" s="41" t="s">
        <v>192</v>
      </c>
      <c r="E115" s="42">
        <v>-727928.83</v>
      </c>
      <c r="F115" s="43">
        <v>-202281.69</v>
      </c>
      <c r="G115" s="42">
        <v>-930210.52</v>
      </c>
      <c r="H115" s="71"/>
      <c r="I115" s="71"/>
      <c r="J115" s="71"/>
      <c r="K115" s="71"/>
    </row>
    <row r="116" spans="1:11">
      <c r="A116" s="44"/>
      <c r="B116" s="38" t="s">
        <v>63</v>
      </c>
      <c r="C116" s="45"/>
      <c r="D116" s="41" t="s">
        <v>193</v>
      </c>
      <c r="E116" s="42">
        <v>-930210.52</v>
      </c>
      <c r="F116" s="43">
        <v>251406.99</v>
      </c>
      <c r="G116" s="42">
        <v>-678803.53</v>
      </c>
      <c r="H116" s="71"/>
      <c r="I116" s="71"/>
      <c r="J116" s="71"/>
      <c r="K116" s="71"/>
    </row>
    <row r="117" spans="1:11">
      <c r="A117" s="44"/>
      <c r="B117" s="38" t="s">
        <v>63</v>
      </c>
      <c r="C117" s="46"/>
      <c r="D117" s="41" t="s">
        <v>194</v>
      </c>
      <c r="E117" s="42">
        <v>-678803.53</v>
      </c>
      <c r="F117" s="43">
        <v>-488421.07</v>
      </c>
      <c r="G117" s="42">
        <v>-1167224.6000000001</v>
      </c>
      <c r="H117" s="71"/>
      <c r="I117" s="71"/>
      <c r="J117" s="71"/>
      <c r="K117" s="71"/>
    </row>
    <row r="118" spans="1:11">
      <c r="A118" s="47"/>
      <c r="B118" s="83"/>
      <c r="C118" s="90"/>
      <c r="D118" s="83"/>
      <c r="E118" s="85"/>
      <c r="F118" s="86">
        <f>SUM(F115:F117)</f>
        <v>-439295.77</v>
      </c>
      <c r="G118" s="85"/>
      <c r="H118" s="71"/>
      <c r="I118" s="71"/>
      <c r="J118" s="71"/>
      <c r="K118" s="71"/>
    </row>
    <row r="119" spans="1:11">
      <c r="A119" s="39" t="s">
        <v>67</v>
      </c>
      <c r="B119" s="38" t="s">
        <v>65</v>
      </c>
      <c r="C119" s="40" t="s">
        <v>53</v>
      </c>
      <c r="D119" s="41" t="s">
        <v>192</v>
      </c>
      <c r="E119" s="42">
        <v>-423185.73</v>
      </c>
      <c r="F119" s="43">
        <v>152191.91</v>
      </c>
      <c r="G119" s="42">
        <v>-270993.82</v>
      </c>
      <c r="H119" s="71"/>
      <c r="I119" s="71"/>
      <c r="J119" s="71"/>
      <c r="K119" s="71"/>
    </row>
    <row r="120" spans="1:11">
      <c r="A120" s="44"/>
      <c r="B120" s="38" t="s">
        <v>65</v>
      </c>
      <c r="C120" s="45"/>
      <c r="D120" s="41" t="s">
        <v>193</v>
      </c>
      <c r="E120" s="42">
        <v>-270993.82</v>
      </c>
      <c r="F120" s="43">
        <v>-165479.97</v>
      </c>
      <c r="G120" s="42">
        <v>-436473.79</v>
      </c>
      <c r="H120" s="71"/>
      <c r="I120" s="71"/>
      <c r="J120" s="71"/>
      <c r="K120" s="71"/>
    </row>
    <row r="121" spans="1:11">
      <c r="A121" s="44"/>
      <c r="B121" s="38" t="s">
        <v>65</v>
      </c>
      <c r="C121" s="46"/>
      <c r="D121" s="41" t="s">
        <v>194</v>
      </c>
      <c r="E121" s="42">
        <v>-436473.79</v>
      </c>
      <c r="F121" s="43">
        <v>-9944.76</v>
      </c>
      <c r="G121" s="42">
        <v>-446418.55</v>
      </c>
      <c r="H121" s="71"/>
      <c r="I121" s="71"/>
      <c r="J121" s="71"/>
      <c r="K121" s="71"/>
    </row>
    <row r="122" spans="1:11">
      <c r="A122" s="47"/>
      <c r="B122" s="83"/>
      <c r="C122" s="90"/>
      <c r="D122" s="83"/>
      <c r="E122" s="85"/>
      <c r="F122" s="86">
        <f>SUM(F119:F121)</f>
        <v>-23232.82</v>
      </c>
      <c r="G122" s="85"/>
      <c r="H122" s="71"/>
      <c r="I122" s="71"/>
      <c r="J122" s="71"/>
      <c r="K122" s="71"/>
    </row>
    <row r="123" spans="1:11">
      <c r="A123" s="71"/>
      <c r="B123" s="71"/>
      <c r="C123" s="71"/>
      <c r="D123" s="71"/>
      <c r="E123" s="71"/>
      <c r="F123" s="71"/>
      <c r="G123" s="71"/>
      <c r="H123" s="71"/>
      <c r="I123" s="71"/>
      <c r="J123" s="71"/>
      <c r="K123" s="71"/>
    </row>
    <row r="124" spans="1:11">
      <c r="A124" s="37" t="s">
        <v>42</v>
      </c>
      <c r="B124" s="71"/>
      <c r="C124" s="161" t="s">
        <v>119</v>
      </c>
      <c r="D124" s="71"/>
      <c r="E124" s="71"/>
      <c r="F124" s="71"/>
      <c r="G124" s="71"/>
      <c r="H124" s="71"/>
      <c r="I124" s="71"/>
      <c r="J124" s="71"/>
      <c r="K124" s="71"/>
    </row>
    <row r="125" spans="1:11">
      <c r="A125" s="71"/>
      <c r="B125" s="71"/>
      <c r="C125" s="71"/>
      <c r="D125" s="71"/>
      <c r="E125" s="71"/>
      <c r="F125" s="71"/>
      <c r="G125" s="71"/>
      <c r="H125" s="71"/>
      <c r="I125" s="71"/>
      <c r="J125" s="71"/>
      <c r="K125" s="71"/>
    </row>
    <row r="126" spans="1:11" ht="26.25">
      <c r="A126" s="188" t="s">
        <v>43</v>
      </c>
      <c r="B126" s="88" t="s">
        <v>44</v>
      </c>
      <c r="C126" s="89" t="s">
        <v>45</v>
      </c>
      <c r="D126" s="87" t="s">
        <v>46</v>
      </c>
      <c r="E126" s="87" t="s">
        <v>47</v>
      </c>
      <c r="F126" s="87" t="s">
        <v>48</v>
      </c>
      <c r="G126" s="87" t="s">
        <v>49</v>
      </c>
      <c r="H126" s="71"/>
      <c r="I126" s="71"/>
      <c r="J126" s="71"/>
      <c r="K126" s="71"/>
    </row>
    <row r="127" spans="1:11">
      <c r="A127" s="181" t="s">
        <v>120</v>
      </c>
      <c r="B127" s="163" t="s">
        <v>121</v>
      </c>
      <c r="C127" s="40" t="s">
        <v>52</v>
      </c>
      <c r="D127" s="41" t="s">
        <v>192</v>
      </c>
      <c r="E127" s="42">
        <v>4589820.2300000004</v>
      </c>
      <c r="F127" s="43">
        <v>405363.43</v>
      </c>
      <c r="G127" s="42">
        <v>4995183.66</v>
      </c>
      <c r="H127" s="71"/>
      <c r="I127" s="71"/>
      <c r="J127" s="71"/>
      <c r="K127" s="71"/>
    </row>
    <row r="128" spans="1:11">
      <c r="A128" s="182"/>
      <c r="B128" s="163" t="s">
        <v>121</v>
      </c>
      <c r="C128" s="45"/>
      <c r="D128" s="41" t="s">
        <v>193</v>
      </c>
      <c r="E128" s="42">
        <v>4995183.66</v>
      </c>
      <c r="F128" s="43">
        <v>537894.43999999994</v>
      </c>
      <c r="G128" s="42">
        <v>5533078.0999999996</v>
      </c>
      <c r="H128" s="71"/>
      <c r="I128" s="71"/>
      <c r="J128" s="71"/>
      <c r="K128" s="71"/>
    </row>
    <row r="129" spans="1:11" s="71" customFormat="1">
      <c r="A129" s="182"/>
      <c r="B129" s="163" t="s">
        <v>121</v>
      </c>
      <c r="C129" s="46"/>
      <c r="D129" s="41" t="s">
        <v>194</v>
      </c>
      <c r="E129" s="42">
        <v>5533078.0999999996</v>
      </c>
      <c r="F129" s="43">
        <v>641065.5</v>
      </c>
      <c r="G129" s="42">
        <v>6174143.5999999996</v>
      </c>
    </row>
    <row r="130" spans="1:11">
      <c r="A130" s="183"/>
      <c r="B130" s="83"/>
      <c r="C130" s="90"/>
      <c r="D130" s="83"/>
      <c r="E130" s="85"/>
      <c r="F130" s="86">
        <f>SUM(F127:F129)</f>
        <v>1584323.3699999999</v>
      </c>
      <c r="G130" s="85"/>
      <c r="H130" s="71"/>
      <c r="I130" s="71"/>
      <c r="J130" s="71"/>
      <c r="K130" s="71"/>
    </row>
    <row r="131" spans="1:11">
      <c r="A131" s="181" t="s">
        <v>122</v>
      </c>
      <c r="B131" s="163" t="s">
        <v>123</v>
      </c>
      <c r="C131" s="40" t="s">
        <v>52</v>
      </c>
      <c r="D131" s="41" t="s">
        <v>192</v>
      </c>
      <c r="E131" s="42">
        <v>5257554.09</v>
      </c>
      <c r="F131" s="43">
        <v>650847.56000000006</v>
      </c>
      <c r="G131" s="42">
        <v>5908401.6500000004</v>
      </c>
      <c r="H131" s="71"/>
      <c r="I131" s="71"/>
      <c r="J131" s="71"/>
      <c r="K131" s="71"/>
    </row>
    <row r="132" spans="1:11">
      <c r="A132" s="182"/>
      <c r="B132" s="163" t="s">
        <v>123</v>
      </c>
      <c r="C132" s="45"/>
      <c r="D132" s="41" t="s">
        <v>193</v>
      </c>
      <c r="E132" s="42">
        <v>5908401.6500000004</v>
      </c>
      <c r="F132" s="43">
        <v>531260.64</v>
      </c>
      <c r="G132" s="42">
        <v>6439662.29</v>
      </c>
      <c r="H132" s="71"/>
      <c r="I132" s="71"/>
      <c r="J132" s="71"/>
      <c r="K132" s="71"/>
    </row>
    <row r="133" spans="1:11" s="71" customFormat="1">
      <c r="A133" s="182"/>
      <c r="B133" s="163" t="s">
        <v>123</v>
      </c>
      <c r="C133" s="46"/>
      <c r="D133" s="41" t="s">
        <v>194</v>
      </c>
      <c r="E133" s="42">
        <v>6439662.29</v>
      </c>
      <c r="F133" s="43">
        <v>587329.15</v>
      </c>
      <c r="G133" s="42">
        <v>7026991.4400000004</v>
      </c>
    </row>
    <row r="134" spans="1:11">
      <c r="A134" s="183"/>
      <c r="B134" s="83"/>
      <c r="C134" s="90"/>
      <c r="D134" s="83"/>
      <c r="E134" s="85"/>
      <c r="F134" s="86">
        <f>SUM(F131:F133)</f>
        <v>1769437.35</v>
      </c>
      <c r="G134" s="85"/>
      <c r="H134" s="71"/>
      <c r="I134" s="71"/>
      <c r="J134" s="71"/>
      <c r="K134" s="71"/>
    </row>
    <row r="135" spans="1:11">
      <c r="A135" s="181" t="s">
        <v>124</v>
      </c>
      <c r="B135" s="163" t="s">
        <v>121</v>
      </c>
      <c r="C135" s="40" t="s">
        <v>53</v>
      </c>
      <c r="D135" s="41" t="s">
        <v>192</v>
      </c>
      <c r="E135" s="42">
        <v>265206.03000000003</v>
      </c>
      <c r="F135" s="43">
        <v>-58870.65</v>
      </c>
      <c r="G135" s="42">
        <v>206335.38</v>
      </c>
      <c r="H135" s="71"/>
      <c r="I135" s="71"/>
      <c r="J135" s="71"/>
      <c r="K135" s="71"/>
    </row>
    <row r="136" spans="1:11">
      <c r="A136" s="182"/>
      <c r="B136" s="163" t="s">
        <v>121</v>
      </c>
      <c r="C136" s="45"/>
      <c r="D136" s="41" t="s">
        <v>193</v>
      </c>
      <c r="E136" s="42">
        <v>206335.38</v>
      </c>
      <c r="F136" s="43">
        <v>-112420.18</v>
      </c>
      <c r="G136" s="42">
        <v>93915.199999999997</v>
      </c>
      <c r="H136" s="71"/>
      <c r="I136" s="71"/>
      <c r="J136" s="71"/>
      <c r="K136" s="71"/>
    </row>
    <row r="137" spans="1:11" s="71" customFormat="1">
      <c r="A137" s="182"/>
      <c r="B137" s="163" t="s">
        <v>121</v>
      </c>
      <c r="C137" s="46"/>
      <c r="D137" s="41" t="s">
        <v>194</v>
      </c>
      <c r="E137" s="42">
        <v>93915.199999999997</v>
      </c>
      <c r="F137" s="43">
        <v>-141087.79</v>
      </c>
      <c r="G137" s="42">
        <v>-47172.59</v>
      </c>
    </row>
    <row r="138" spans="1:11">
      <c r="A138" s="183"/>
      <c r="B138" s="83"/>
      <c r="C138" s="90"/>
      <c r="D138" s="83"/>
      <c r="E138" s="85"/>
      <c r="F138" s="86">
        <f>SUM(F135:F137)</f>
        <v>-312378.62</v>
      </c>
      <c r="G138" s="85"/>
      <c r="H138" s="71"/>
      <c r="I138" s="71"/>
      <c r="J138" s="71"/>
      <c r="K138" s="71"/>
    </row>
    <row r="139" spans="1:11">
      <c r="A139" s="181" t="s">
        <v>125</v>
      </c>
      <c r="B139" s="163" t="s">
        <v>123</v>
      </c>
      <c r="C139" s="40" t="s">
        <v>53</v>
      </c>
      <c r="D139" s="41" t="s">
        <v>192</v>
      </c>
      <c r="E139" s="42">
        <v>601820.75</v>
      </c>
      <c r="F139" s="43">
        <v>19979.05</v>
      </c>
      <c r="G139" s="42">
        <v>621799.80000000005</v>
      </c>
      <c r="H139" s="71"/>
      <c r="I139" s="71"/>
      <c r="J139" s="71"/>
      <c r="K139" s="71"/>
    </row>
    <row r="140" spans="1:11">
      <c r="A140" s="182"/>
      <c r="B140" s="163" t="s">
        <v>123</v>
      </c>
      <c r="C140" s="45"/>
      <c r="D140" s="41" t="s">
        <v>193</v>
      </c>
      <c r="E140" s="42">
        <v>621799.80000000005</v>
      </c>
      <c r="F140" s="43">
        <v>23340.97</v>
      </c>
      <c r="G140" s="42">
        <v>645140.77</v>
      </c>
      <c r="H140" s="71"/>
      <c r="I140" s="71"/>
      <c r="J140" s="71"/>
      <c r="K140" s="71"/>
    </row>
    <row r="141" spans="1:11" s="71" customFormat="1">
      <c r="A141" s="182"/>
      <c r="B141" s="163" t="s">
        <v>123</v>
      </c>
      <c r="C141" s="46"/>
      <c r="D141" s="41" t="s">
        <v>194</v>
      </c>
      <c r="E141" s="42">
        <v>645140.77</v>
      </c>
      <c r="F141" s="43">
        <v>31469.95</v>
      </c>
      <c r="G141" s="42">
        <v>676610.72</v>
      </c>
    </row>
    <row r="142" spans="1:11">
      <c r="A142" s="183"/>
      <c r="B142" s="83"/>
      <c r="C142" s="90"/>
      <c r="D142" s="83"/>
      <c r="E142" s="85"/>
      <c r="F142" s="86">
        <f>SUM(F139:F141)</f>
        <v>74789.97</v>
      </c>
      <c r="G142" s="85"/>
      <c r="H142" s="71"/>
      <c r="I142" s="71"/>
      <c r="J142" s="71"/>
      <c r="K142" s="71"/>
    </row>
    <row r="143" spans="1:11">
      <c r="H143" s="71"/>
      <c r="I143" s="71"/>
      <c r="J143" s="71"/>
      <c r="K143" s="71"/>
    </row>
    <row r="144" spans="1:11">
      <c r="A144" s="71"/>
      <c r="B144" s="71"/>
      <c r="C144" s="71"/>
      <c r="D144" s="71"/>
      <c r="E144" s="71"/>
      <c r="F144" s="71"/>
      <c r="G144" s="71"/>
      <c r="H144" s="71"/>
      <c r="I144" s="71"/>
      <c r="J144" s="71"/>
      <c r="K144" s="71"/>
    </row>
    <row r="145" spans="1:11" s="71" customFormat="1">
      <c r="A145" s="37" t="s">
        <v>42</v>
      </c>
      <c r="B145" s="36"/>
      <c r="C145" s="162" t="s">
        <v>113</v>
      </c>
      <c r="D145" s="36"/>
      <c r="E145" s="36"/>
      <c r="F145" s="36"/>
      <c r="G145" s="36"/>
    </row>
    <row r="146" spans="1:11" s="71" customFormat="1">
      <c r="A146" s="36"/>
      <c r="B146" s="36"/>
      <c r="C146" s="36"/>
      <c r="D146" s="36"/>
      <c r="E146" s="36"/>
      <c r="F146" s="36"/>
      <c r="G146" s="36"/>
    </row>
    <row r="147" spans="1:11" s="71" customFormat="1" ht="26.25">
      <c r="A147" s="87" t="s">
        <v>43</v>
      </c>
      <c r="B147" s="88" t="s">
        <v>44</v>
      </c>
      <c r="C147" s="89" t="s">
        <v>45</v>
      </c>
      <c r="D147" s="87" t="s">
        <v>46</v>
      </c>
      <c r="E147" s="87" t="s">
        <v>47</v>
      </c>
      <c r="F147" s="87" t="s">
        <v>48</v>
      </c>
      <c r="G147" s="87" t="s">
        <v>49</v>
      </c>
    </row>
    <row r="148" spans="1:11" s="71" customFormat="1" ht="15.75">
      <c r="A148" s="39">
        <v>419328</v>
      </c>
      <c r="B148" s="38" t="s">
        <v>133</v>
      </c>
      <c r="C148" s="40" t="s">
        <v>52</v>
      </c>
      <c r="D148" s="41" t="s">
        <v>192</v>
      </c>
      <c r="E148" s="42">
        <v>-772031.35</v>
      </c>
      <c r="F148" s="43">
        <v>-58979.75</v>
      </c>
      <c r="G148" s="42">
        <v>-831011.1</v>
      </c>
      <c r="H148" s="158"/>
    </row>
    <row r="149" spans="1:11">
      <c r="A149" s="44"/>
      <c r="B149" s="38" t="s">
        <v>133</v>
      </c>
      <c r="C149" s="45"/>
      <c r="D149" s="41" t="s">
        <v>193</v>
      </c>
      <c r="E149" s="42">
        <v>-831011.1</v>
      </c>
      <c r="F149" s="43">
        <v>-57313.599999999999</v>
      </c>
      <c r="G149" s="42">
        <v>-888324.7</v>
      </c>
      <c r="H149" s="71"/>
      <c r="I149" s="71"/>
      <c r="J149" s="71"/>
      <c r="K149" s="71"/>
    </row>
    <row r="150" spans="1:11">
      <c r="A150" s="44"/>
      <c r="B150" s="38" t="s">
        <v>133</v>
      </c>
      <c r="C150" s="46"/>
      <c r="D150" s="41" t="s">
        <v>194</v>
      </c>
      <c r="E150" s="42">
        <v>-888324.7</v>
      </c>
      <c r="F150" s="43">
        <v>-57204.1</v>
      </c>
      <c r="G150" s="42">
        <v>-945528.8</v>
      </c>
      <c r="H150" s="71"/>
      <c r="I150" s="71"/>
      <c r="J150" s="71"/>
      <c r="K150" s="71"/>
    </row>
    <row r="151" spans="1:11">
      <c r="A151" s="44"/>
      <c r="B151" s="79"/>
      <c r="C151" s="80"/>
      <c r="D151" s="79"/>
      <c r="E151" s="81"/>
      <c r="F151" s="82">
        <f>SUM(F148:F150)</f>
        <v>-173497.45</v>
      </c>
      <c r="G151" s="81"/>
      <c r="H151" s="71"/>
      <c r="I151" s="71"/>
      <c r="J151" s="71"/>
      <c r="K151" s="71"/>
    </row>
    <row r="152" spans="1:11">
      <c r="A152" s="44"/>
      <c r="B152" s="38" t="s">
        <v>133</v>
      </c>
      <c r="C152" s="40" t="s">
        <v>53</v>
      </c>
      <c r="D152" s="41" t="s">
        <v>192</v>
      </c>
      <c r="E152" s="42">
        <v>-31069.119999999999</v>
      </c>
      <c r="F152" s="43">
        <v>-3730.88</v>
      </c>
      <c r="G152" s="42">
        <v>-34800</v>
      </c>
      <c r="H152" s="71"/>
      <c r="I152" s="71"/>
      <c r="J152" s="71"/>
      <c r="K152" s="71"/>
    </row>
    <row r="153" spans="1:11">
      <c r="A153" s="44"/>
      <c r="B153" s="38" t="s">
        <v>133</v>
      </c>
      <c r="C153" s="45"/>
      <c r="D153" s="41" t="s">
        <v>193</v>
      </c>
      <c r="E153" s="42">
        <v>-34800</v>
      </c>
      <c r="F153" s="43">
        <v>-3633.8</v>
      </c>
      <c r="G153" s="42">
        <v>-38433.800000000003</v>
      </c>
      <c r="H153" s="71"/>
      <c r="I153" s="71"/>
      <c r="J153" s="71"/>
      <c r="K153" s="71"/>
    </row>
    <row r="154" spans="1:11" s="71" customFormat="1">
      <c r="A154" s="44"/>
      <c r="B154" s="38" t="s">
        <v>133</v>
      </c>
      <c r="C154" s="46"/>
      <c r="D154" s="41" t="s">
        <v>194</v>
      </c>
      <c r="E154" s="42">
        <v>-38433.800000000003</v>
      </c>
      <c r="F154" s="43">
        <v>-4127.92</v>
      </c>
      <c r="G154" s="42">
        <v>-42561.72</v>
      </c>
    </row>
    <row r="155" spans="1:11" s="71" customFormat="1">
      <c r="A155" s="47"/>
      <c r="B155" s="79"/>
      <c r="C155" s="80"/>
      <c r="D155" s="79"/>
      <c r="E155" s="81"/>
      <c r="F155" s="82">
        <f>SUM(F152:F154)</f>
        <v>-11492.6</v>
      </c>
      <c r="G155" s="81"/>
    </row>
    <row r="156" spans="1:11">
      <c r="A156" s="83"/>
      <c r="B156" s="90"/>
      <c r="C156" s="83"/>
      <c r="D156" s="83"/>
      <c r="E156" s="85"/>
      <c r="F156" s="86">
        <f>F151+F155</f>
        <v>-184990.05000000002</v>
      </c>
      <c r="G156" s="85"/>
      <c r="H156" s="71"/>
      <c r="I156" s="71"/>
      <c r="J156" s="71"/>
      <c r="K156" s="71"/>
    </row>
    <row r="157" spans="1:11" ht="16.5" customHeight="1">
      <c r="A157" s="39">
        <v>431328</v>
      </c>
      <c r="B157" s="38" t="s">
        <v>134</v>
      </c>
      <c r="C157" s="40" t="s">
        <v>52</v>
      </c>
      <c r="D157" s="41" t="s">
        <v>192</v>
      </c>
      <c r="E157" s="42">
        <v>0</v>
      </c>
      <c r="F157" s="43">
        <v>0</v>
      </c>
      <c r="G157" s="42">
        <v>0</v>
      </c>
      <c r="H157" s="71"/>
      <c r="I157" s="71"/>
      <c r="J157" s="71"/>
      <c r="K157" s="71"/>
    </row>
    <row r="158" spans="1:11" ht="16.5" customHeight="1">
      <c r="A158" s="44"/>
      <c r="B158" s="38" t="s">
        <v>134</v>
      </c>
      <c r="C158" s="45"/>
      <c r="D158" s="41" t="s">
        <v>193</v>
      </c>
      <c r="E158" s="42">
        <v>0</v>
      </c>
      <c r="F158" s="43">
        <v>0</v>
      </c>
      <c r="G158" s="42">
        <v>0</v>
      </c>
      <c r="H158" s="71"/>
      <c r="I158" s="71"/>
      <c r="J158" s="71"/>
      <c r="K158" s="71"/>
    </row>
    <row r="159" spans="1:11" s="71" customFormat="1" ht="16.5" customHeight="1">
      <c r="A159" s="44"/>
      <c r="B159" s="38" t="s">
        <v>134</v>
      </c>
      <c r="C159" s="46"/>
      <c r="D159" s="41" t="s">
        <v>194</v>
      </c>
      <c r="E159" s="42">
        <v>0</v>
      </c>
      <c r="F159" s="43">
        <v>1544.9</v>
      </c>
      <c r="G159" s="42">
        <v>1544.9</v>
      </c>
    </row>
    <row r="160" spans="1:11" s="71" customFormat="1" ht="16.5" customHeight="1">
      <c r="A160" s="44"/>
      <c r="B160" s="79"/>
      <c r="C160" s="80"/>
      <c r="D160" s="79"/>
      <c r="E160" s="81"/>
      <c r="F160" s="82">
        <f>SUM(F157:F159)</f>
        <v>1544.9</v>
      </c>
      <c r="G160" s="81"/>
    </row>
    <row r="161" spans="1:11" s="71" customFormat="1" ht="16.5" customHeight="1">
      <c r="A161" s="44"/>
      <c r="B161" s="38" t="s">
        <v>134</v>
      </c>
      <c r="C161" s="40" t="s">
        <v>53</v>
      </c>
      <c r="D161" s="41" t="s">
        <v>192</v>
      </c>
      <c r="E161" s="42">
        <v>46551.24</v>
      </c>
      <c r="F161" s="43">
        <v>2121.0300000000002</v>
      </c>
      <c r="G161" s="42">
        <v>48672.27</v>
      </c>
    </row>
    <row r="162" spans="1:11" s="71" customFormat="1" ht="16.5" customHeight="1">
      <c r="A162" s="44"/>
      <c r="B162" s="38" t="s">
        <v>134</v>
      </c>
      <c r="C162" s="45"/>
      <c r="D162" s="41" t="s">
        <v>193</v>
      </c>
      <c r="E162" s="42">
        <v>48672.27</v>
      </c>
      <c r="F162" s="43">
        <v>1894.82</v>
      </c>
      <c r="G162" s="42">
        <v>50567.09</v>
      </c>
    </row>
    <row r="163" spans="1:11" s="71" customFormat="1" ht="16.5" customHeight="1">
      <c r="A163" s="44"/>
      <c r="B163" s="38" t="s">
        <v>134</v>
      </c>
      <c r="C163" s="46"/>
      <c r="D163" s="41" t="s">
        <v>194</v>
      </c>
      <c r="E163" s="42">
        <v>50567.09</v>
      </c>
      <c r="F163" s="43">
        <v>1556.66</v>
      </c>
      <c r="G163" s="42">
        <v>52123.75</v>
      </c>
    </row>
    <row r="164" spans="1:11" s="71" customFormat="1" ht="16.5" customHeight="1">
      <c r="A164" s="47"/>
      <c r="B164" s="79"/>
      <c r="C164" s="80"/>
      <c r="D164" s="79"/>
      <c r="E164" s="81"/>
      <c r="F164" s="82">
        <f>SUM(F161:F163)</f>
        <v>5572.51</v>
      </c>
      <c r="G164" s="81"/>
    </row>
    <row r="165" spans="1:11" s="71" customFormat="1" ht="16.5" customHeight="1">
      <c r="A165" s="83"/>
      <c r="B165" s="90"/>
      <c r="C165" s="83"/>
      <c r="D165" s="83"/>
      <c r="E165" s="85"/>
      <c r="F165" s="86">
        <f>F160+F164</f>
        <v>7117.41</v>
      </c>
      <c r="G165" s="85"/>
    </row>
    <row r="166" spans="1:11" s="71" customFormat="1">
      <c r="A166" s="91"/>
      <c r="B166" s="91"/>
      <c r="C166" s="91"/>
      <c r="D166" s="91"/>
      <c r="E166" s="92"/>
      <c r="F166" s="93">
        <f>F156+F165</f>
        <v>-177872.64000000001</v>
      </c>
      <c r="G166" s="92"/>
    </row>
    <row r="167" spans="1:11" s="71" customFormat="1">
      <c r="A167" s="149"/>
      <c r="B167" s="149"/>
      <c r="C167" s="149"/>
      <c r="D167" s="149"/>
      <c r="E167" s="150"/>
      <c r="F167" s="151"/>
      <c r="G167" s="150"/>
    </row>
    <row r="168" spans="1:11" ht="14.45" customHeight="1">
      <c r="A168" s="302" t="s">
        <v>138</v>
      </c>
      <c r="B168" s="302"/>
      <c r="C168" s="302"/>
      <c r="D168" s="302"/>
      <c r="E168" s="302"/>
      <c r="F168" s="302"/>
      <c r="G168" s="302"/>
      <c r="H168" s="71"/>
      <c r="I168" s="71"/>
      <c r="J168" s="71"/>
      <c r="K168" s="71"/>
    </row>
    <row r="169" spans="1:11">
      <c r="A169" s="37" t="s">
        <v>42</v>
      </c>
      <c r="B169" s="71"/>
      <c r="C169" s="71"/>
      <c r="D169" s="71"/>
      <c r="E169" s="71"/>
      <c r="F169" s="71"/>
      <c r="G169" s="71"/>
      <c r="H169" s="71"/>
      <c r="I169" s="71"/>
      <c r="J169" s="71"/>
      <c r="K169" s="71"/>
    </row>
    <row r="170" spans="1:11">
      <c r="A170" s="71"/>
      <c r="B170" s="71"/>
      <c r="C170" s="71"/>
      <c r="D170" s="71"/>
      <c r="E170" s="71"/>
      <c r="F170" s="71"/>
      <c r="G170" s="71"/>
      <c r="H170" s="71"/>
      <c r="I170" s="71"/>
      <c r="J170" s="71"/>
      <c r="K170" s="71"/>
    </row>
    <row r="171" spans="1:11" ht="26.25">
      <c r="A171" s="87" t="s">
        <v>43</v>
      </c>
      <c r="B171" s="88" t="s">
        <v>44</v>
      </c>
      <c r="C171" s="89" t="s">
        <v>45</v>
      </c>
      <c r="D171" s="87" t="s">
        <v>46</v>
      </c>
      <c r="E171" s="87" t="s">
        <v>47</v>
      </c>
      <c r="F171" s="87" t="s">
        <v>48</v>
      </c>
      <c r="G171" s="87" t="s">
        <v>49</v>
      </c>
      <c r="H171" s="71"/>
      <c r="I171" s="71"/>
      <c r="J171" s="71"/>
      <c r="K171" s="71"/>
    </row>
    <row r="172" spans="1:11">
      <c r="A172" s="39" t="s">
        <v>81</v>
      </c>
      <c r="B172" s="38" t="s">
        <v>82</v>
      </c>
      <c r="C172" s="40" t="s">
        <v>52</v>
      </c>
      <c r="D172" s="41" t="s">
        <v>192</v>
      </c>
      <c r="E172" s="42">
        <v>0</v>
      </c>
      <c r="F172" s="43">
        <v>0</v>
      </c>
      <c r="G172" s="42">
        <v>0</v>
      </c>
      <c r="H172" s="71"/>
      <c r="I172" s="71"/>
      <c r="J172" s="71"/>
      <c r="K172" s="71"/>
    </row>
    <row r="173" spans="1:11">
      <c r="A173" s="44"/>
      <c r="B173" s="38" t="s">
        <v>82</v>
      </c>
      <c r="C173" s="45"/>
      <c r="D173" s="41" t="s">
        <v>193</v>
      </c>
      <c r="E173" s="42">
        <v>0</v>
      </c>
      <c r="F173" s="43">
        <v>0</v>
      </c>
      <c r="G173" s="42">
        <v>0</v>
      </c>
      <c r="H173" s="71"/>
      <c r="I173" s="71"/>
      <c r="J173" s="71"/>
      <c r="K173" s="71"/>
    </row>
    <row r="174" spans="1:11">
      <c r="A174" s="44"/>
      <c r="B174" s="38" t="s">
        <v>82</v>
      </c>
      <c r="C174" s="46"/>
      <c r="D174" s="41" t="s">
        <v>194</v>
      </c>
      <c r="E174" s="42">
        <v>0</v>
      </c>
      <c r="F174" s="43">
        <v>0</v>
      </c>
      <c r="G174" s="42">
        <v>0</v>
      </c>
      <c r="H174" s="71"/>
      <c r="I174" s="71"/>
      <c r="J174" s="71"/>
      <c r="K174" s="71"/>
    </row>
    <row r="175" spans="1:11">
      <c r="A175" s="44"/>
      <c r="B175" s="79"/>
      <c r="C175" s="80"/>
      <c r="D175" s="79"/>
      <c r="E175" s="81"/>
      <c r="F175" s="82">
        <f>SUM(F172:F174)</f>
        <v>0</v>
      </c>
      <c r="G175" s="81"/>
      <c r="H175" s="71"/>
      <c r="I175" s="71"/>
      <c r="J175" s="71"/>
      <c r="K175" s="71"/>
    </row>
    <row r="176" spans="1:11">
      <c r="A176" s="44"/>
      <c r="B176" s="38" t="s">
        <v>82</v>
      </c>
      <c r="C176" s="40" t="s">
        <v>53</v>
      </c>
      <c r="D176" s="41" t="s">
        <v>192</v>
      </c>
      <c r="E176" s="42">
        <v>0</v>
      </c>
      <c r="F176" s="43">
        <v>0</v>
      </c>
      <c r="G176" s="42">
        <v>0</v>
      </c>
      <c r="H176" s="71"/>
      <c r="I176" s="71"/>
      <c r="J176" s="71"/>
      <c r="K176" s="71"/>
    </row>
    <row r="177" spans="1:11">
      <c r="A177" s="44"/>
      <c r="B177" s="38" t="s">
        <v>82</v>
      </c>
      <c r="C177" s="45"/>
      <c r="D177" s="41" t="s">
        <v>193</v>
      </c>
      <c r="E177" s="42">
        <v>0</v>
      </c>
      <c r="F177" s="43">
        <v>0</v>
      </c>
      <c r="G177" s="42">
        <v>0</v>
      </c>
      <c r="H177" s="71"/>
      <c r="I177" s="71"/>
      <c r="J177" s="71"/>
      <c r="K177" s="71"/>
    </row>
    <row r="178" spans="1:11">
      <c r="A178" s="44"/>
      <c r="B178" s="38" t="s">
        <v>82</v>
      </c>
      <c r="C178" s="46"/>
      <c r="D178" s="41" t="s">
        <v>194</v>
      </c>
      <c r="E178" s="42">
        <v>0</v>
      </c>
      <c r="F178" s="43">
        <v>0</v>
      </c>
      <c r="G178" s="42">
        <v>0</v>
      </c>
      <c r="H178" s="71"/>
      <c r="I178" s="71"/>
      <c r="J178" s="71"/>
      <c r="K178" s="71"/>
    </row>
    <row r="179" spans="1:11">
      <c r="A179" s="47"/>
      <c r="B179" s="79"/>
      <c r="C179" s="80"/>
      <c r="D179" s="79"/>
      <c r="E179" s="81"/>
      <c r="F179" s="82">
        <f>SUM(F176:F178)</f>
        <v>0</v>
      </c>
      <c r="G179" s="81"/>
      <c r="H179" s="71"/>
      <c r="I179" s="71"/>
      <c r="J179" s="71"/>
      <c r="K179" s="71"/>
    </row>
    <row r="180" spans="1:11">
      <c r="A180" s="166"/>
      <c r="B180" s="90" t="s">
        <v>130</v>
      </c>
      <c r="C180" s="83"/>
      <c r="D180" s="83"/>
      <c r="E180" s="85"/>
      <c r="F180" s="86">
        <f>F175+F179</f>
        <v>0</v>
      </c>
      <c r="G180" s="85"/>
      <c r="H180" s="71"/>
      <c r="I180" s="71"/>
      <c r="J180" s="71"/>
      <c r="K180" s="71"/>
    </row>
    <row r="181" spans="1:11">
      <c r="A181" s="181" t="s">
        <v>127</v>
      </c>
      <c r="B181" s="38" t="s">
        <v>128</v>
      </c>
      <c r="C181" s="40" t="s">
        <v>52</v>
      </c>
      <c r="D181" s="41" t="s">
        <v>192</v>
      </c>
      <c r="E181" s="42">
        <v>0</v>
      </c>
      <c r="F181" s="43">
        <v>0</v>
      </c>
      <c r="G181" s="42">
        <v>0</v>
      </c>
      <c r="H181" s="71"/>
      <c r="I181" s="71"/>
      <c r="J181" s="71"/>
      <c r="K181" s="71"/>
    </row>
    <row r="182" spans="1:11">
      <c r="A182" s="182"/>
      <c r="B182" s="38" t="s">
        <v>128</v>
      </c>
      <c r="C182" s="45"/>
      <c r="D182" s="41" t="s">
        <v>193</v>
      </c>
      <c r="E182" s="42">
        <v>0</v>
      </c>
      <c r="F182" s="43">
        <v>0</v>
      </c>
      <c r="G182" s="42">
        <v>0</v>
      </c>
      <c r="H182" s="71"/>
      <c r="I182" s="71"/>
      <c r="J182" s="71"/>
      <c r="K182" s="71"/>
    </row>
    <row r="183" spans="1:11">
      <c r="A183" s="182"/>
      <c r="B183" s="38" t="s">
        <v>128</v>
      </c>
      <c r="C183" s="46"/>
      <c r="D183" s="41" t="s">
        <v>194</v>
      </c>
      <c r="E183" s="42">
        <v>0</v>
      </c>
      <c r="F183" s="43">
        <v>0</v>
      </c>
      <c r="G183" s="42">
        <v>0</v>
      </c>
      <c r="H183" s="71"/>
      <c r="I183" s="71"/>
      <c r="J183" s="71"/>
      <c r="K183" s="71"/>
    </row>
    <row r="184" spans="1:11">
      <c r="A184" s="182"/>
      <c r="B184" s="79"/>
      <c r="C184" s="80"/>
      <c r="D184" s="79"/>
      <c r="E184" s="81"/>
      <c r="F184" s="82">
        <f>SUM(F181:F183)</f>
        <v>0</v>
      </c>
      <c r="G184" s="81"/>
      <c r="H184" s="71"/>
      <c r="I184" s="71"/>
      <c r="J184" s="71"/>
      <c r="K184" s="71"/>
    </row>
    <row r="185" spans="1:11" s="71" customFormat="1">
      <c r="A185" s="182"/>
      <c r="B185" s="38" t="s">
        <v>128</v>
      </c>
      <c r="C185" s="40" t="s">
        <v>53</v>
      </c>
      <c r="D185" s="41" t="s">
        <v>192</v>
      </c>
      <c r="E185" s="42">
        <v>0</v>
      </c>
      <c r="F185" s="43">
        <v>0</v>
      </c>
      <c r="G185" s="42">
        <v>0</v>
      </c>
    </row>
    <row r="186" spans="1:11" s="71" customFormat="1">
      <c r="A186" s="182"/>
      <c r="B186" s="38" t="s">
        <v>128</v>
      </c>
      <c r="C186" s="45"/>
      <c r="D186" s="41" t="s">
        <v>193</v>
      </c>
      <c r="E186" s="42">
        <v>0</v>
      </c>
      <c r="F186" s="43">
        <v>0</v>
      </c>
      <c r="G186" s="42">
        <v>0</v>
      </c>
    </row>
    <row r="187" spans="1:11" s="71" customFormat="1">
      <c r="A187" s="182"/>
      <c r="B187" s="38" t="s">
        <v>128</v>
      </c>
      <c r="C187" s="46"/>
      <c r="D187" s="41" t="s">
        <v>194</v>
      </c>
      <c r="E187" s="42">
        <v>0</v>
      </c>
      <c r="F187" s="43">
        <v>0</v>
      </c>
      <c r="G187" s="42">
        <v>0</v>
      </c>
    </row>
    <row r="188" spans="1:11" s="71" customFormat="1">
      <c r="A188" s="183"/>
      <c r="B188" s="79"/>
      <c r="C188" s="80"/>
      <c r="D188" s="79"/>
      <c r="E188" s="81"/>
      <c r="F188" s="82">
        <f>SUM(F185:F187)</f>
        <v>0</v>
      </c>
      <c r="G188" s="81"/>
    </row>
    <row r="189" spans="1:11">
      <c r="A189" s="180"/>
      <c r="B189" s="90" t="s">
        <v>131</v>
      </c>
      <c r="C189" s="83"/>
      <c r="D189" s="83"/>
      <c r="E189" s="85"/>
      <c r="F189" s="86">
        <f>F184</f>
        <v>0</v>
      </c>
      <c r="G189" s="85"/>
      <c r="H189" s="71"/>
      <c r="I189" s="71"/>
      <c r="J189" s="71"/>
      <c r="K189" s="71"/>
    </row>
    <row r="190" spans="1:11">
      <c r="A190" s="181" t="s">
        <v>129</v>
      </c>
      <c r="B190" s="38" t="s">
        <v>84</v>
      </c>
      <c r="C190" s="40" t="s">
        <v>52</v>
      </c>
      <c r="D190" s="41" t="s">
        <v>192</v>
      </c>
      <c r="E190" s="42">
        <v>0</v>
      </c>
      <c r="F190" s="43">
        <v>0</v>
      </c>
      <c r="G190" s="42">
        <v>0</v>
      </c>
      <c r="H190" s="71"/>
      <c r="I190" s="71"/>
      <c r="J190" s="71"/>
      <c r="K190" s="71"/>
    </row>
    <row r="191" spans="1:11">
      <c r="A191" s="182"/>
      <c r="B191" s="38" t="s">
        <v>84</v>
      </c>
      <c r="C191" s="45"/>
      <c r="D191" s="41" t="s">
        <v>193</v>
      </c>
      <c r="E191" s="42">
        <v>0</v>
      </c>
      <c r="F191" s="43">
        <v>0</v>
      </c>
      <c r="G191" s="42">
        <v>0</v>
      </c>
      <c r="H191" s="71"/>
      <c r="I191" s="71"/>
      <c r="J191" s="71"/>
      <c r="K191" s="71"/>
    </row>
    <row r="192" spans="1:11">
      <c r="A192" s="182"/>
      <c r="B192" s="38" t="s">
        <v>84</v>
      </c>
      <c r="C192" s="46"/>
      <c r="D192" s="41" t="s">
        <v>194</v>
      </c>
      <c r="E192" s="42">
        <v>0</v>
      </c>
      <c r="F192" s="43">
        <v>0</v>
      </c>
      <c r="G192" s="42">
        <v>0</v>
      </c>
    </row>
    <row r="193" spans="1:7">
      <c r="A193" s="183"/>
      <c r="B193" s="79"/>
      <c r="C193" s="80"/>
      <c r="D193" s="79"/>
      <c r="E193" s="81"/>
      <c r="F193" s="82">
        <f>SUM(F190:F192)</f>
        <v>0</v>
      </c>
      <c r="G193" s="81"/>
    </row>
    <row r="194" spans="1:7">
      <c r="A194" s="181" t="s">
        <v>83</v>
      </c>
      <c r="B194" s="38" t="s">
        <v>84</v>
      </c>
      <c r="C194" s="40" t="s">
        <v>53</v>
      </c>
      <c r="D194" s="41" t="s">
        <v>192</v>
      </c>
      <c r="E194" s="42">
        <v>0</v>
      </c>
      <c r="F194" s="43">
        <v>0</v>
      </c>
      <c r="G194" s="42">
        <v>0</v>
      </c>
    </row>
    <row r="195" spans="1:7">
      <c r="A195" s="182"/>
      <c r="B195" s="38" t="s">
        <v>84</v>
      </c>
      <c r="C195" s="45"/>
      <c r="D195" s="41" t="s">
        <v>193</v>
      </c>
      <c r="E195" s="42">
        <v>0</v>
      </c>
      <c r="F195" s="43">
        <v>0</v>
      </c>
      <c r="G195" s="42">
        <v>0</v>
      </c>
    </row>
    <row r="196" spans="1:7">
      <c r="A196" s="182"/>
      <c r="B196" s="38" t="s">
        <v>84</v>
      </c>
      <c r="C196" s="46"/>
      <c r="D196" s="41" t="s">
        <v>194</v>
      </c>
      <c r="E196" s="42">
        <v>0</v>
      </c>
      <c r="F196" s="43">
        <v>0</v>
      </c>
      <c r="G196" s="42">
        <v>0</v>
      </c>
    </row>
    <row r="197" spans="1:7">
      <c r="A197" s="183"/>
      <c r="B197" s="79"/>
      <c r="C197" s="80"/>
      <c r="D197" s="79"/>
      <c r="E197" s="81"/>
      <c r="F197" s="82">
        <f>SUM(F194:F196)</f>
        <v>0</v>
      </c>
      <c r="G197" s="81"/>
    </row>
  </sheetData>
  <mergeCells count="5">
    <mergeCell ref="A1:H1"/>
    <mergeCell ref="A102:G102"/>
    <mergeCell ref="A168:G168"/>
    <mergeCell ref="J91:K91"/>
    <mergeCell ref="I5:J5"/>
  </mergeCells>
  <printOptions horizontalCentered="1"/>
  <pageMargins left="0.7" right="0.71" top="1.0900000000000001" bottom="0.75" header="0.5" footer="0.5"/>
  <pageSetup scale="79" firstPageNumber="5" fitToHeight="4" orientation="portrait" useFirstPageNumber="1" r:id="rId1"/>
  <headerFooter scaleWithDoc="0">
    <oddHeader>&amp;CAvista Corporation Decoupling Mechanism
Washington Jurisdiction
Quarterly Report for 4th Quarter 2020</oddHeader>
    <oddFooter>&amp;Cfile: &amp;F / &amp;A&amp;RPage &amp;P of 21</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9"/>
  <sheetViews>
    <sheetView topLeftCell="A29" zoomScaleNormal="100" workbookViewId="0">
      <selection activeCell="B29" sqref="B29"/>
    </sheetView>
  </sheetViews>
  <sheetFormatPr defaultColWidth="8.85546875" defaultRowHeight="15"/>
  <cols>
    <col min="1" max="1" width="25.5703125" style="71" customWidth="1"/>
    <col min="2" max="2" width="3.85546875" style="71" customWidth="1"/>
    <col min="3" max="3" width="15.42578125" style="216" bestFit="1" customWidth="1"/>
    <col min="4" max="4" width="12.7109375" style="216" customWidth="1"/>
    <col min="5" max="5" width="15.5703125" style="216" bestFit="1" customWidth="1"/>
    <col min="6" max="6" width="14.5703125" style="216" customWidth="1"/>
    <col min="7" max="7" width="3.42578125" style="71" customWidth="1"/>
    <col min="8" max="8" width="15.85546875" style="71" bestFit="1" customWidth="1"/>
    <col min="9" max="9" width="3.85546875" style="71" customWidth="1"/>
    <col min="10" max="10" width="24.85546875" style="71" customWidth="1"/>
    <col min="11" max="11" width="4.42578125" style="71" customWidth="1"/>
    <col min="12" max="12" width="14" style="216" customWidth="1"/>
    <col min="13" max="13" width="12.28515625" style="216" customWidth="1"/>
    <col min="14" max="14" width="13.140625" style="216" customWidth="1"/>
    <col min="15" max="15" width="14.5703125" style="216" customWidth="1"/>
    <col min="16" max="16" width="3.7109375" style="71" customWidth="1"/>
    <col min="17" max="17" width="12.7109375" style="71" customWidth="1"/>
    <col min="18" max="18" width="3.140625" style="71" customWidth="1"/>
    <col min="19" max="16384" width="8.85546875" style="71"/>
  </cols>
  <sheetData>
    <row r="1" spans="1:18" ht="28.15" customHeight="1">
      <c r="A1" s="306" t="s">
        <v>100</v>
      </c>
      <c r="B1" s="306"/>
      <c r="C1" s="306"/>
      <c r="D1" s="306"/>
      <c r="E1" s="306"/>
      <c r="F1" s="306"/>
      <c r="G1" s="306"/>
      <c r="H1" s="306"/>
      <c r="I1" s="306"/>
      <c r="J1" s="306" t="s">
        <v>100</v>
      </c>
      <c r="K1" s="306"/>
      <c r="L1" s="306"/>
      <c r="M1" s="306"/>
      <c r="N1" s="306"/>
      <c r="O1" s="306"/>
      <c r="P1" s="306"/>
      <c r="Q1" s="306"/>
      <c r="R1" s="306"/>
    </row>
    <row r="2" spans="1:18">
      <c r="C2" s="215" t="s">
        <v>105</v>
      </c>
      <c r="L2" s="215" t="s">
        <v>104</v>
      </c>
    </row>
    <row r="3" spans="1:18">
      <c r="A3" s="144"/>
      <c r="C3" s="217"/>
      <c r="H3" s="214"/>
      <c r="L3" s="217"/>
      <c r="Q3" s="214"/>
    </row>
    <row r="4" spans="1:18" s="220" customFormat="1">
      <c r="A4" s="218"/>
      <c r="B4" s="219" t="s">
        <v>139</v>
      </c>
      <c r="C4" s="218" t="s">
        <v>103</v>
      </c>
      <c r="D4" s="218">
        <v>419328</v>
      </c>
      <c r="E4" s="218">
        <v>431328</v>
      </c>
      <c r="F4" s="218" t="s">
        <v>102</v>
      </c>
      <c r="H4" s="218" t="s">
        <v>132</v>
      </c>
      <c r="K4" s="219" t="s">
        <v>140</v>
      </c>
      <c r="L4" s="218" t="s">
        <v>103</v>
      </c>
      <c r="M4" s="218">
        <v>419328</v>
      </c>
      <c r="N4" s="218">
        <v>431328</v>
      </c>
      <c r="O4" s="218" t="s">
        <v>102</v>
      </c>
      <c r="P4" s="221"/>
      <c r="Q4" s="221" t="str">
        <f>H4</f>
        <v>Recon Check</v>
      </c>
    </row>
    <row r="5" spans="1:18" ht="14.45" customHeight="1">
      <c r="A5" s="144">
        <v>43831</v>
      </c>
      <c r="C5" s="216">
        <f t="shared" ref="C5:C16" si="0">D26+D42+D59+D77+D94+D111+D128+D145</f>
        <v>93755.23000000001</v>
      </c>
      <c r="D5" s="222">
        <v>-93755.23</v>
      </c>
      <c r="E5" s="222">
        <v>0</v>
      </c>
      <c r="F5" s="216">
        <f>D5+E5</f>
        <v>-93755.23</v>
      </c>
      <c r="H5" s="216">
        <f>C5+F5</f>
        <v>0</v>
      </c>
      <c r="J5" s="144">
        <f>A5</f>
        <v>43831</v>
      </c>
      <c r="L5" s="216">
        <f t="shared" ref="L5:L16" si="1">M26+M42+M59+M77+M94+M111+M128+M145</f>
        <v>-106.37999999999874</v>
      </c>
      <c r="M5" s="222">
        <v>-5645.64</v>
      </c>
      <c r="N5" s="222">
        <v>5166.63</v>
      </c>
      <c r="O5" s="216">
        <f>M5+N5</f>
        <v>-479.01000000000022</v>
      </c>
      <c r="P5" s="216"/>
      <c r="Q5" s="216">
        <f>L5+O5</f>
        <v>-585.38999999999896</v>
      </c>
    </row>
    <row r="6" spans="1:18" ht="14.45" customHeight="1">
      <c r="A6" s="144">
        <f>A5+31</f>
        <v>43862</v>
      </c>
      <c r="C6" s="216">
        <f t="shared" si="0"/>
        <v>95472.01999999999</v>
      </c>
      <c r="D6" s="222">
        <v>-95472.02</v>
      </c>
      <c r="E6" s="222">
        <v>0</v>
      </c>
      <c r="F6" s="216">
        <f t="shared" ref="F6:F16" si="2">D6+E6</f>
        <v>-95472.02</v>
      </c>
      <c r="H6" s="216">
        <f t="shared" ref="H6:H16" si="3">C6+F6</f>
        <v>0</v>
      </c>
      <c r="I6" s="223"/>
      <c r="J6" s="144">
        <f t="shared" ref="J6:J16" si="4">A6</f>
        <v>43862</v>
      </c>
      <c r="L6" s="216">
        <f t="shared" si="1"/>
        <v>-2469.2899999999991</v>
      </c>
      <c r="M6" s="222">
        <v>-3600.43</v>
      </c>
      <c r="N6" s="222">
        <v>6655.11</v>
      </c>
      <c r="O6" s="216">
        <f t="shared" ref="O6:O16" si="5">M6+N6</f>
        <v>3054.68</v>
      </c>
      <c r="P6" s="216"/>
      <c r="Q6" s="216">
        <f t="shared" ref="Q6:Q16" si="6">L6+O6</f>
        <v>585.39000000000078</v>
      </c>
      <c r="R6" s="223"/>
    </row>
    <row r="7" spans="1:18" ht="14.45" customHeight="1">
      <c r="A7" s="144">
        <f t="shared" ref="A7:A16" si="7">A6+31</f>
        <v>43893</v>
      </c>
      <c r="C7" s="216">
        <f t="shared" si="0"/>
        <v>93636.87</v>
      </c>
      <c r="D7" s="222">
        <v>-93636.87</v>
      </c>
      <c r="E7" s="222">
        <v>0</v>
      </c>
      <c r="F7" s="216">
        <f t="shared" si="2"/>
        <v>-93636.87</v>
      </c>
      <c r="H7" s="216">
        <f t="shared" si="3"/>
        <v>0</v>
      </c>
      <c r="I7" s="223"/>
      <c r="J7" s="144">
        <f t="shared" si="4"/>
        <v>43893</v>
      </c>
      <c r="L7" s="216">
        <f t="shared" si="1"/>
        <v>-5929.9999999999991</v>
      </c>
      <c r="M7" s="222">
        <v>-3365.89</v>
      </c>
      <c r="N7" s="222">
        <v>9295.89</v>
      </c>
      <c r="O7" s="216">
        <f t="shared" si="5"/>
        <v>5930</v>
      </c>
      <c r="P7" s="216"/>
      <c r="Q7" s="216">
        <f t="shared" si="6"/>
        <v>0</v>
      </c>
      <c r="R7" s="223"/>
    </row>
    <row r="8" spans="1:18" ht="14.45" customHeight="1">
      <c r="A8" s="144">
        <f t="shared" si="7"/>
        <v>43924</v>
      </c>
      <c r="C8" s="216">
        <f t="shared" si="0"/>
        <v>89169.08</v>
      </c>
      <c r="D8" s="222">
        <v>-89169.08</v>
      </c>
      <c r="E8" s="222">
        <v>0</v>
      </c>
      <c r="F8" s="216">
        <f t="shared" si="2"/>
        <v>-89169.08</v>
      </c>
      <c r="H8" s="216">
        <f t="shared" si="3"/>
        <v>0</v>
      </c>
      <c r="J8" s="144">
        <f t="shared" si="4"/>
        <v>43924</v>
      </c>
      <c r="L8" s="216">
        <f t="shared" si="1"/>
        <v>-5672.6500000000005</v>
      </c>
      <c r="M8" s="222">
        <v>-2658.52</v>
      </c>
      <c r="N8" s="222">
        <v>8331.17</v>
      </c>
      <c r="O8" s="216">
        <f t="shared" si="5"/>
        <v>5672.65</v>
      </c>
      <c r="P8" s="216"/>
      <c r="Q8" s="216">
        <f t="shared" si="6"/>
        <v>0</v>
      </c>
    </row>
    <row r="9" spans="1:18" ht="14.45" customHeight="1">
      <c r="A9" s="144">
        <f t="shared" si="7"/>
        <v>43955</v>
      </c>
      <c r="C9" s="216">
        <f t="shared" si="0"/>
        <v>93455.69</v>
      </c>
      <c r="D9" s="222">
        <v>-93455.69</v>
      </c>
      <c r="E9" s="222">
        <v>0</v>
      </c>
      <c r="F9" s="216">
        <f t="shared" si="2"/>
        <v>-93455.69</v>
      </c>
      <c r="H9" s="216">
        <f t="shared" si="3"/>
        <v>0</v>
      </c>
      <c r="J9" s="144">
        <f t="shared" si="4"/>
        <v>43955</v>
      </c>
      <c r="L9" s="216">
        <f t="shared" si="1"/>
        <v>-2168.98</v>
      </c>
      <c r="M9" s="222">
        <v>-2864.04</v>
      </c>
      <c r="N9" s="222">
        <v>5033.0200000000004</v>
      </c>
      <c r="O9" s="216">
        <f t="shared" si="5"/>
        <v>2168.9800000000005</v>
      </c>
      <c r="P9" s="216"/>
      <c r="Q9" s="216">
        <f t="shared" si="6"/>
        <v>0</v>
      </c>
    </row>
    <row r="10" spans="1:18" ht="14.45" customHeight="1">
      <c r="A10" s="144">
        <f t="shared" si="7"/>
        <v>43986</v>
      </c>
      <c r="C10" s="216">
        <f t="shared" si="0"/>
        <v>98993.94</v>
      </c>
      <c r="D10" s="222">
        <v>-98993.94</v>
      </c>
      <c r="E10" s="224">
        <v>0</v>
      </c>
      <c r="F10" s="216">
        <f t="shared" si="2"/>
        <v>-98993.94</v>
      </c>
      <c r="H10" s="216">
        <f t="shared" si="3"/>
        <v>0</v>
      </c>
      <c r="J10" s="144">
        <f t="shared" si="4"/>
        <v>43986</v>
      </c>
      <c r="L10" s="216">
        <f t="shared" si="1"/>
        <v>-410.34000000000015</v>
      </c>
      <c r="M10" s="222">
        <v>-3845.88</v>
      </c>
      <c r="N10" s="224">
        <v>4256.22</v>
      </c>
      <c r="O10" s="216">
        <f>M10+N10</f>
        <v>410.34000000000015</v>
      </c>
      <c r="P10" s="216"/>
      <c r="Q10" s="216">
        <f t="shared" si="6"/>
        <v>0</v>
      </c>
    </row>
    <row r="11" spans="1:18" ht="14.45" customHeight="1">
      <c r="A11" s="144">
        <f t="shared" si="7"/>
        <v>44017</v>
      </c>
      <c r="C11" s="216">
        <f t="shared" si="0"/>
        <v>71831.5</v>
      </c>
      <c r="D11" s="222">
        <v>-71831.5</v>
      </c>
      <c r="E11" s="222">
        <v>0</v>
      </c>
      <c r="F11" s="216">
        <f t="shared" si="2"/>
        <v>-71831.5</v>
      </c>
      <c r="H11" s="216">
        <f t="shared" si="3"/>
        <v>0</v>
      </c>
      <c r="J11" s="144">
        <f t="shared" si="4"/>
        <v>44017</v>
      </c>
      <c r="L11" s="216">
        <f t="shared" si="1"/>
        <v>39.689999999999714</v>
      </c>
      <c r="M11" s="222">
        <v>-3125.3</v>
      </c>
      <c r="N11" s="222">
        <v>3085.61</v>
      </c>
      <c r="O11" s="216">
        <f t="shared" si="5"/>
        <v>-39.690000000000055</v>
      </c>
      <c r="P11" s="216"/>
      <c r="Q11" s="216">
        <f t="shared" si="6"/>
        <v>-3.4106051316484809E-13</v>
      </c>
    </row>
    <row r="12" spans="1:18" ht="14.45" customHeight="1">
      <c r="A12" s="144">
        <f t="shared" si="7"/>
        <v>44048</v>
      </c>
      <c r="C12" s="216">
        <f t="shared" si="0"/>
        <v>69635.94</v>
      </c>
      <c r="D12" s="222">
        <v>-69635.94</v>
      </c>
      <c r="E12" s="222">
        <v>0</v>
      </c>
      <c r="F12" s="216">
        <f t="shared" si="2"/>
        <v>-69635.94</v>
      </c>
      <c r="H12" s="216">
        <f t="shared" si="3"/>
        <v>0</v>
      </c>
      <c r="J12" s="144">
        <f t="shared" si="4"/>
        <v>44048</v>
      </c>
      <c r="L12" s="216">
        <f t="shared" si="1"/>
        <v>224.40000000000009</v>
      </c>
      <c r="M12" s="222">
        <v>-2609.38</v>
      </c>
      <c r="N12" s="222">
        <v>0</v>
      </c>
      <c r="O12" s="216">
        <f>M12+N12</f>
        <v>-2609.38</v>
      </c>
      <c r="P12" s="216"/>
      <c r="Q12" s="216">
        <f t="shared" si="6"/>
        <v>-2384.98</v>
      </c>
    </row>
    <row r="13" spans="1:18" ht="14.45" customHeight="1">
      <c r="A13" s="144">
        <f t="shared" si="7"/>
        <v>44079</v>
      </c>
      <c r="C13" s="216">
        <f t="shared" si="0"/>
        <v>66081.08</v>
      </c>
      <c r="D13" s="222">
        <v>-66081.08</v>
      </c>
      <c r="E13" s="222">
        <v>0</v>
      </c>
      <c r="F13" s="216">
        <f t="shared" si="2"/>
        <v>-66081.08</v>
      </c>
      <c r="H13" s="216">
        <f t="shared" si="3"/>
        <v>0</v>
      </c>
      <c r="I13" s="169"/>
      <c r="J13" s="144">
        <f t="shared" si="4"/>
        <v>44079</v>
      </c>
      <c r="L13" s="216">
        <f t="shared" si="1"/>
        <v>1011.4299999999998</v>
      </c>
      <c r="M13" s="222">
        <v>-3354.04</v>
      </c>
      <c r="N13" s="222">
        <v>4727.59</v>
      </c>
      <c r="O13" s="216">
        <f t="shared" si="5"/>
        <v>1373.5500000000002</v>
      </c>
      <c r="P13" s="216"/>
      <c r="Q13" s="216">
        <f t="shared" si="6"/>
        <v>2384.98</v>
      </c>
    </row>
    <row r="14" spans="1:18">
      <c r="A14" s="144">
        <f t="shared" si="7"/>
        <v>44110</v>
      </c>
      <c r="C14" s="216">
        <f t="shared" si="0"/>
        <v>58979.75</v>
      </c>
      <c r="D14" s="222">
        <v>-58979.75</v>
      </c>
      <c r="E14" s="222">
        <v>0</v>
      </c>
      <c r="F14" s="216">
        <f t="shared" si="2"/>
        <v>-58979.75</v>
      </c>
      <c r="H14" s="216">
        <f t="shared" si="3"/>
        <v>0</v>
      </c>
      <c r="J14" s="144">
        <f t="shared" si="4"/>
        <v>44110</v>
      </c>
      <c r="L14" s="216">
        <f t="shared" si="1"/>
        <v>1609.85</v>
      </c>
      <c r="M14" s="222">
        <v>-3730.88</v>
      </c>
      <c r="N14" s="222">
        <v>2121.0300000000002</v>
      </c>
      <c r="O14" s="216">
        <f t="shared" si="5"/>
        <v>-1609.85</v>
      </c>
      <c r="P14" s="216"/>
      <c r="Q14" s="216">
        <f t="shared" si="6"/>
        <v>0</v>
      </c>
    </row>
    <row r="15" spans="1:18">
      <c r="A15" s="144">
        <f t="shared" si="7"/>
        <v>44141</v>
      </c>
      <c r="C15" s="216">
        <f t="shared" si="0"/>
        <v>57313.599999999999</v>
      </c>
      <c r="D15" s="222">
        <v>-57313.599999999999</v>
      </c>
      <c r="E15" s="222">
        <v>0</v>
      </c>
      <c r="F15" s="216">
        <f t="shared" si="2"/>
        <v>-57313.599999999999</v>
      </c>
      <c r="H15" s="216">
        <f t="shared" si="3"/>
        <v>0</v>
      </c>
      <c r="J15" s="144">
        <f t="shared" si="4"/>
        <v>44141</v>
      </c>
      <c r="L15" s="216">
        <f t="shared" si="1"/>
        <v>1738.9800000000002</v>
      </c>
      <c r="M15" s="222">
        <v>-3633.8</v>
      </c>
      <c r="N15" s="222">
        <v>1894.82</v>
      </c>
      <c r="O15" s="216">
        <f>M15+N15</f>
        <v>-1738.9800000000002</v>
      </c>
      <c r="P15" s="216"/>
      <c r="Q15" s="216">
        <f t="shared" si="6"/>
        <v>0</v>
      </c>
    </row>
    <row r="16" spans="1:18">
      <c r="A16" s="144">
        <f t="shared" si="7"/>
        <v>44172</v>
      </c>
      <c r="C16" s="216">
        <f t="shared" si="0"/>
        <v>55659.199999999997</v>
      </c>
      <c r="D16" s="222">
        <v>-57204.1</v>
      </c>
      <c r="E16" s="222">
        <v>1544.9</v>
      </c>
      <c r="F16" s="216">
        <f t="shared" si="2"/>
        <v>-55659.199999999997</v>
      </c>
      <c r="H16" s="216">
        <f t="shared" si="3"/>
        <v>0</v>
      </c>
      <c r="J16" s="144">
        <f t="shared" si="4"/>
        <v>44172</v>
      </c>
      <c r="L16" s="216">
        <f t="shared" si="1"/>
        <v>2571.2600000000002</v>
      </c>
      <c r="M16" s="222">
        <v>-4127.92</v>
      </c>
      <c r="N16" s="222">
        <v>1556.66</v>
      </c>
      <c r="O16" s="216">
        <f t="shared" si="5"/>
        <v>-2571.2600000000002</v>
      </c>
      <c r="P16" s="216"/>
      <c r="Q16" s="216">
        <f t="shared" si="6"/>
        <v>0</v>
      </c>
    </row>
    <row r="17" spans="1:17" ht="14.45" customHeight="1">
      <c r="A17" s="165" t="s">
        <v>101</v>
      </c>
      <c r="B17" s="160"/>
      <c r="C17" s="225">
        <f>SUM(C5:C7)</f>
        <v>282864.12</v>
      </c>
      <c r="D17" s="225">
        <f>SUM(D5:D7)</f>
        <v>-282864.12</v>
      </c>
      <c r="E17" s="225">
        <f t="shared" ref="E17:F17" si="8">SUM(E5:E7)</f>
        <v>0</v>
      </c>
      <c r="F17" s="225">
        <f t="shared" si="8"/>
        <v>-282864.12</v>
      </c>
      <c r="G17" s="160"/>
      <c r="H17" s="225">
        <f>C17+F17</f>
        <v>0</v>
      </c>
      <c r="I17" s="160"/>
      <c r="J17" s="165" t="s">
        <v>101</v>
      </c>
      <c r="K17" s="160"/>
      <c r="L17" s="225">
        <f>SUM(L5:L7)</f>
        <v>-8505.6699999999964</v>
      </c>
      <c r="M17" s="225">
        <f t="shared" ref="M17:O17" si="9">SUM(M5:M7)</f>
        <v>-12611.96</v>
      </c>
      <c r="N17" s="225">
        <f t="shared" si="9"/>
        <v>21117.629999999997</v>
      </c>
      <c r="O17" s="225">
        <f t="shared" si="9"/>
        <v>8505.67</v>
      </c>
      <c r="P17" s="225"/>
      <c r="Q17" s="225">
        <f>L17+O17</f>
        <v>0</v>
      </c>
    </row>
    <row r="18" spans="1:17" ht="14.45" customHeight="1">
      <c r="A18" s="165" t="s">
        <v>106</v>
      </c>
      <c r="B18" s="160"/>
      <c r="C18" s="225">
        <f>SUM(C8:C10)</f>
        <v>281618.71000000002</v>
      </c>
      <c r="D18" s="225">
        <f>SUM(D8:D10)</f>
        <v>-281618.71000000002</v>
      </c>
      <c r="E18" s="225">
        <f t="shared" ref="E18:F18" si="10">SUM(E8:E10)</f>
        <v>0</v>
      </c>
      <c r="F18" s="225">
        <f t="shared" si="10"/>
        <v>-281618.71000000002</v>
      </c>
      <c r="G18" s="160"/>
      <c r="H18" s="225">
        <f t="shared" ref="H18:H21" si="11">C18+F18</f>
        <v>0</v>
      </c>
      <c r="I18" s="160"/>
      <c r="J18" s="165" t="s">
        <v>106</v>
      </c>
      <c r="K18" s="160"/>
      <c r="L18" s="225">
        <f>SUM(L8:L10)</f>
        <v>-8251.9700000000012</v>
      </c>
      <c r="M18" s="225">
        <f t="shared" ref="M18:O18" si="12">SUM(M8:M10)</f>
        <v>-9368.4399999999987</v>
      </c>
      <c r="N18" s="225">
        <f t="shared" si="12"/>
        <v>17620.41</v>
      </c>
      <c r="O18" s="225">
        <f t="shared" si="12"/>
        <v>8251.9700000000012</v>
      </c>
      <c r="P18" s="225"/>
      <c r="Q18" s="225">
        <f t="shared" ref="Q18:Q21" si="13">L18+O18</f>
        <v>0</v>
      </c>
    </row>
    <row r="19" spans="1:17" ht="14.45" customHeight="1">
      <c r="A19" s="165" t="s">
        <v>107</v>
      </c>
      <c r="B19" s="160"/>
      <c r="C19" s="225">
        <f>SUM(C11:C13)</f>
        <v>207548.52000000002</v>
      </c>
      <c r="D19" s="225">
        <f t="shared" ref="D19:E19" si="14">SUM(D11:D13)</f>
        <v>-207548.52000000002</v>
      </c>
      <c r="E19" s="225">
        <f t="shared" si="14"/>
        <v>0</v>
      </c>
      <c r="F19" s="225">
        <f>SUM(F11:F13)</f>
        <v>-207548.52000000002</v>
      </c>
      <c r="G19" s="160"/>
      <c r="H19" s="225">
        <f t="shared" si="11"/>
        <v>0</v>
      </c>
      <c r="I19" s="160"/>
      <c r="J19" s="165" t="s">
        <v>108</v>
      </c>
      <c r="K19" s="160"/>
      <c r="L19" s="225">
        <f>SUM(L11:L13)</f>
        <v>1275.5199999999995</v>
      </c>
      <c r="M19" s="225">
        <f>SUM(M11:M13)</f>
        <v>-9088.7200000000012</v>
      </c>
      <c r="N19" s="225">
        <f t="shared" ref="N19:O19" si="15">SUM(N11:N13)</f>
        <v>7813.2000000000007</v>
      </c>
      <c r="O19" s="225">
        <f t="shared" si="15"/>
        <v>-1275.52</v>
      </c>
      <c r="P19" s="225"/>
      <c r="Q19" s="225">
        <f t="shared" si="13"/>
        <v>0</v>
      </c>
    </row>
    <row r="20" spans="1:17" s="160" customFormat="1">
      <c r="A20" s="165" t="s">
        <v>110</v>
      </c>
      <c r="C20" s="225">
        <f>SUM(C14:C16)</f>
        <v>171952.55</v>
      </c>
      <c r="D20" s="225">
        <f t="shared" ref="D20:F20" si="16">SUM(D14:D16)</f>
        <v>-173497.45</v>
      </c>
      <c r="E20" s="225">
        <f t="shared" si="16"/>
        <v>1544.9</v>
      </c>
      <c r="F20" s="225">
        <f t="shared" si="16"/>
        <v>-171952.55</v>
      </c>
      <c r="H20" s="225">
        <f t="shared" si="11"/>
        <v>0</v>
      </c>
      <c r="J20" s="165" t="s">
        <v>110</v>
      </c>
      <c r="L20" s="225">
        <f>SUM(L14:L16)</f>
        <v>5920.09</v>
      </c>
      <c r="M20" s="225">
        <f t="shared" ref="M20:O20" si="17">SUM(M14:M16)</f>
        <v>-11492.6</v>
      </c>
      <c r="N20" s="225">
        <f t="shared" si="17"/>
        <v>5572.51</v>
      </c>
      <c r="O20" s="225">
        <f t="shared" si="17"/>
        <v>-5920.09</v>
      </c>
      <c r="P20" s="225"/>
      <c r="Q20" s="225">
        <f t="shared" si="13"/>
        <v>0</v>
      </c>
    </row>
    <row r="21" spans="1:17" s="160" customFormat="1">
      <c r="A21" s="165" t="s">
        <v>137</v>
      </c>
      <c r="C21" s="225">
        <f>SUM(C5:C16)</f>
        <v>943983.89999999991</v>
      </c>
      <c r="D21" s="225">
        <f t="shared" ref="D21:F21" si="18">SUM(D5:D16)</f>
        <v>-945528.79999999993</v>
      </c>
      <c r="E21" s="225">
        <f t="shared" si="18"/>
        <v>1544.9</v>
      </c>
      <c r="F21" s="225">
        <f t="shared" si="18"/>
        <v>-943983.89999999991</v>
      </c>
      <c r="H21" s="225">
        <f t="shared" si="11"/>
        <v>0</v>
      </c>
      <c r="J21" s="165" t="s">
        <v>137</v>
      </c>
      <c r="L21" s="225">
        <f>SUM(L5:L16)</f>
        <v>-9562.0299999999952</v>
      </c>
      <c r="M21" s="225">
        <f t="shared" ref="M21:O21" si="19">SUM(M5:M16)</f>
        <v>-42561.72</v>
      </c>
      <c r="N21" s="225">
        <f t="shared" si="19"/>
        <v>52123.749999999993</v>
      </c>
      <c r="O21" s="225">
        <f t="shared" si="19"/>
        <v>9562.0299999999988</v>
      </c>
      <c r="P21" s="225"/>
      <c r="Q21" s="225">
        <f t="shared" si="13"/>
        <v>0</v>
      </c>
    </row>
    <row r="23" spans="1:17">
      <c r="A23" s="213">
        <v>186328</v>
      </c>
      <c r="B23" s="213" t="s">
        <v>52</v>
      </c>
      <c r="C23" s="217" t="s">
        <v>92</v>
      </c>
      <c r="D23" s="217" t="s">
        <v>93</v>
      </c>
      <c r="E23" s="217"/>
      <c r="F23" s="217" t="s">
        <v>95</v>
      </c>
      <c r="H23" s="214" t="s">
        <v>93</v>
      </c>
      <c r="J23" s="213">
        <f>A23</f>
        <v>186328</v>
      </c>
      <c r="K23" s="213" t="s">
        <v>53</v>
      </c>
      <c r="L23" s="217" t="s">
        <v>92</v>
      </c>
      <c r="M23" s="217" t="s">
        <v>93</v>
      </c>
      <c r="N23" s="217"/>
      <c r="O23" s="217" t="s">
        <v>95</v>
      </c>
      <c r="Q23" s="214" t="s">
        <v>93</v>
      </c>
    </row>
    <row r="24" spans="1:17">
      <c r="A24" s="209" t="s">
        <v>141</v>
      </c>
      <c r="B24" s="160" t="s">
        <v>142</v>
      </c>
      <c r="C24" s="217" t="s">
        <v>96</v>
      </c>
      <c r="D24" s="217" t="s">
        <v>97</v>
      </c>
      <c r="E24" s="217" t="s">
        <v>98</v>
      </c>
      <c r="F24" s="217" t="s">
        <v>94</v>
      </c>
      <c r="H24" s="214" t="s">
        <v>99</v>
      </c>
      <c r="J24" s="210" t="str">
        <f>A24</f>
        <v>Deferral - Residential</v>
      </c>
      <c r="K24" s="160" t="s">
        <v>142</v>
      </c>
      <c r="L24" s="217" t="s">
        <v>96</v>
      </c>
      <c r="M24" s="217" t="s">
        <v>97</v>
      </c>
      <c r="N24" s="217" t="s">
        <v>98</v>
      </c>
      <c r="O24" s="217" t="s">
        <v>94</v>
      </c>
      <c r="Q24" s="214" t="s">
        <v>99</v>
      </c>
    </row>
    <row r="25" spans="1:17" ht="14.45" customHeight="1">
      <c r="A25" s="144">
        <v>43800</v>
      </c>
      <c r="B25" s="145"/>
      <c r="F25" s="216">
        <v>0</v>
      </c>
      <c r="J25" s="144">
        <f>A25</f>
        <v>43800</v>
      </c>
      <c r="K25" s="145"/>
      <c r="O25" s="216">
        <v>0</v>
      </c>
    </row>
    <row r="26" spans="1:17" ht="14.45" customHeight="1">
      <c r="A26" s="144">
        <f t="shared" ref="A26:A37" si="20">A5</f>
        <v>43831</v>
      </c>
      <c r="C26" s="222">
        <v>1783486.44</v>
      </c>
      <c r="D26" s="216">
        <f>ROUND((F25+(C26+E26)/2)*H26/12,2)</f>
        <v>3685.87</v>
      </c>
      <c r="F26" s="216">
        <f>F25+C26+D26+E26</f>
        <v>1787172.31</v>
      </c>
      <c r="H26" s="171">
        <v>4.9599999999999998E-2</v>
      </c>
      <c r="J26" s="144">
        <f t="shared" ref="J26:J37" si="21">A26</f>
        <v>43831</v>
      </c>
      <c r="L26" s="222">
        <v>-122195.97</v>
      </c>
      <c r="M26" s="216">
        <f>ROUND((O25+(L26+N26)/2)*Q26/12,2)</f>
        <v>-252.54</v>
      </c>
      <c r="O26" s="216">
        <f t="shared" ref="O26:O37" si="22">O25+L26+M26+N26</f>
        <v>-122448.51</v>
      </c>
      <c r="Q26" s="146">
        <f>H26</f>
        <v>4.9599999999999998E-2</v>
      </c>
    </row>
    <row r="27" spans="1:17" ht="14.45" customHeight="1">
      <c r="A27" s="144">
        <f t="shared" si="20"/>
        <v>43862</v>
      </c>
      <c r="C27" s="222">
        <v>591858.88</v>
      </c>
      <c r="D27" s="216">
        <f t="shared" ref="D27:D37" si="23">ROUND((F26+(C27+E27)/2)*H27/12,2)</f>
        <v>8610.15</v>
      </c>
      <c r="F27" s="216">
        <f t="shared" ref="F27:F37" si="24">F26+C27+D27+E27</f>
        <v>2387641.34</v>
      </c>
      <c r="G27" s="223"/>
      <c r="H27" s="146">
        <f>H26</f>
        <v>4.9599999999999998E-2</v>
      </c>
      <c r="J27" s="144">
        <f t="shared" si="21"/>
        <v>43862</v>
      </c>
      <c r="L27" s="222">
        <v>-173006.74</v>
      </c>
      <c r="M27" s="216">
        <f t="shared" ref="M27:M37" si="25">ROUND((O26+(L27+N27)/2)*Q27/12,2)</f>
        <v>-863.67</v>
      </c>
      <c r="O27" s="216">
        <f t="shared" si="22"/>
        <v>-296318.92</v>
      </c>
      <c r="P27" s="223"/>
      <c r="Q27" s="146">
        <f t="shared" ref="Q27:Q37" si="26">H27</f>
        <v>4.9599999999999998E-2</v>
      </c>
    </row>
    <row r="28" spans="1:17" ht="14.45" customHeight="1">
      <c r="A28" s="144">
        <f t="shared" si="20"/>
        <v>43893</v>
      </c>
      <c r="C28" s="222">
        <v>-190475.53</v>
      </c>
      <c r="D28" s="216">
        <f t="shared" si="23"/>
        <v>9475.27</v>
      </c>
      <c r="F28" s="216">
        <f>F27+C28+D28+E28</f>
        <v>2206641.08</v>
      </c>
      <c r="H28" s="146">
        <f t="shared" ref="H28:H37" si="27">H27</f>
        <v>4.9599999999999998E-2</v>
      </c>
      <c r="J28" s="144">
        <f t="shared" si="21"/>
        <v>43893</v>
      </c>
      <c r="L28" s="222">
        <v>-756412.94</v>
      </c>
      <c r="M28" s="216">
        <f t="shared" si="25"/>
        <v>-2788.04</v>
      </c>
      <c r="O28" s="216">
        <f t="shared" si="22"/>
        <v>-1055519.8999999999</v>
      </c>
      <c r="Q28" s="146">
        <f t="shared" si="26"/>
        <v>4.9599999999999998E-2</v>
      </c>
    </row>
    <row r="29" spans="1:17" ht="14.45" customHeight="1">
      <c r="A29" s="144">
        <f t="shared" si="20"/>
        <v>43924</v>
      </c>
      <c r="C29" s="222">
        <v>-257725.04</v>
      </c>
      <c r="D29" s="216">
        <f t="shared" si="23"/>
        <v>8224.5400000000009</v>
      </c>
      <c r="F29" s="216">
        <f>F28+C29+D29+E29</f>
        <v>1957140.58</v>
      </c>
      <c r="H29" s="171">
        <v>4.7500000000000001E-2</v>
      </c>
      <c r="J29" s="144">
        <f t="shared" si="21"/>
        <v>43924</v>
      </c>
      <c r="L29" s="222">
        <v>935910.01</v>
      </c>
      <c r="M29" s="216">
        <f t="shared" si="25"/>
        <v>-2325.7800000000002</v>
      </c>
      <c r="O29" s="216">
        <f t="shared" si="22"/>
        <v>-121935.6699999999</v>
      </c>
      <c r="Q29" s="146">
        <f t="shared" si="26"/>
        <v>4.7500000000000001E-2</v>
      </c>
    </row>
    <row r="30" spans="1:17" ht="14.45" customHeight="1">
      <c r="A30" s="144">
        <f t="shared" si="20"/>
        <v>43955</v>
      </c>
      <c r="C30" s="222">
        <v>724896.2</v>
      </c>
      <c r="D30" s="216">
        <f t="shared" si="23"/>
        <v>9181.7099999999991</v>
      </c>
      <c r="F30" s="216">
        <f t="shared" si="24"/>
        <v>2691218.49</v>
      </c>
      <c r="H30" s="146">
        <f t="shared" si="27"/>
        <v>4.7500000000000001E-2</v>
      </c>
      <c r="J30" s="144">
        <f t="shared" si="21"/>
        <v>43955</v>
      </c>
      <c r="L30" s="222">
        <v>513063.64</v>
      </c>
      <c r="M30" s="216">
        <f t="shared" si="25"/>
        <v>532.78</v>
      </c>
      <c r="O30" s="216">
        <f t="shared" si="22"/>
        <v>391660.75000000012</v>
      </c>
      <c r="Q30" s="146">
        <f t="shared" si="26"/>
        <v>4.7500000000000001E-2</v>
      </c>
    </row>
    <row r="31" spans="1:17" ht="14.45" customHeight="1">
      <c r="A31" s="144">
        <f t="shared" si="20"/>
        <v>43986</v>
      </c>
      <c r="C31" s="222">
        <v>288189.93</v>
      </c>
      <c r="D31" s="216">
        <f t="shared" si="23"/>
        <v>11223.12</v>
      </c>
      <c r="F31" s="216">
        <f t="shared" si="24"/>
        <v>2990631.5400000005</v>
      </c>
      <c r="H31" s="146">
        <f t="shared" si="27"/>
        <v>4.7500000000000001E-2</v>
      </c>
      <c r="J31" s="144">
        <f t="shared" si="21"/>
        <v>43986</v>
      </c>
      <c r="L31" s="222">
        <v>81423.990000000005</v>
      </c>
      <c r="M31" s="216">
        <f t="shared" si="25"/>
        <v>1711.48</v>
      </c>
      <c r="O31" s="216">
        <f t="shared" si="22"/>
        <v>474796.22000000009</v>
      </c>
      <c r="Q31" s="146">
        <f t="shared" si="26"/>
        <v>4.7500000000000001E-2</v>
      </c>
    </row>
    <row r="32" spans="1:17" ht="14.45" customHeight="1">
      <c r="A32" s="144">
        <f t="shared" si="20"/>
        <v>44017</v>
      </c>
      <c r="C32" s="222">
        <v>-1037518.65</v>
      </c>
      <c r="D32" s="216">
        <f t="shared" si="23"/>
        <v>7065.43</v>
      </c>
      <c r="F32" s="216">
        <f t="shared" si="24"/>
        <v>1960178.3200000005</v>
      </c>
      <c r="H32" s="171">
        <v>3.4299999999999997E-2</v>
      </c>
      <c r="J32" s="144">
        <f t="shared" si="21"/>
        <v>44017</v>
      </c>
      <c r="L32" s="222">
        <v>-54634.53</v>
      </c>
      <c r="M32" s="216">
        <f t="shared" si="25"/>
        <v>1279.04</v>
      </c>
      <c r="O32" s="216">
        <f t="shared" si="22"/>
        <v>421440.73000000004</v>
      </c>
      <c r="Q32" s="146">
        <f t="shared" si="26"/>
        <v>3.4299999999999997E-2</v>
      </c>
    </row>
    <row r="33" spans="1:17" ht="14.45" customHeight="1">
      <c r="A33" s="144">
        <f t="shared" si="20"/>
        <v>44048</v>
      </c>
      <c r="C33" s="222">
        <v>-638062.43999999994</v>
      </c>
      <c r="D33" s="216">
        <f t="shared" si="23"/>
        <v>4690.95</v>
      </c>
      <c r="F33" s="216">
        <f t="shared" si="24"/>
        <v>1326806.8300000005</v>
      </c>
      <c r="H33" s="146">
        <f t="shared" si="27"/>
        <v>3.4299999999999997E-2</v>
      </c>
      <c r="J33" s="144">
        <f t="shared" si="21"/>
        <v>44048</v>
      </c>
      <c r="L33" s="222">
        <v>45081.39</v>
      </c>
      <c r="M33" s="216">
        <f t="shared" si="25"/>
        <v>1269.05</v>
      </c>
      <c r="O33" s="216">
        <f t="shared" si="22"/>
        <v>467791.17000000004</v>
      </c>
      <c r="Q33" s="146">
        <f t="shared" si="26"/>
        <v>3.4299999999999997E-2</v>
      </c>
    </row>
    <row r="34" spans="1:17">
      <c r="A34" s="144">
        <f t="shared" si="20"/>
        <v>44079</v>
      </c>
      <c r="C34" s="222">
        <v>-864466.34</v>
      </c>
      <c r="D34" s="216">
        <f t="shared" si="23"/>
        <v>2556.9899999999998</v>
      </c>
      <c r="F34" s="216">
        <f t="shared" si="24"/>
        <v>464897.48000000056</v>
      </c>
      <c r="H34" s="146">
        <f t="shared" si="27"/>
        <v>3.4299999999999997E-2</v>
      </c>
      <c r="J34" s="144">
        <f t="shared" si="21"/>
        <v>44079</v>
      </c>
      <c r="L34" s="222">
        <v>258699.98</v>
      </c>
      <c r="M34" s="216">
        <f t="shared" si="25"/>
        <v>1706.83</v>
      </c>
      <c r="O34" s="216">
        <f t="shared" si="22"/>
        <v>728197.98</v>
      </c>
      <c r="Q34" s="146">
        <f t="shared" si="26"/>
        <v>3.4299999999999997E-2</v>
      </c>
    </row>
    <row r="35" spans="1:17">
      <c r="A35" s="144">
        <f t="shared" si="20"/>
        <v>44110</v>
      </c>
      <c r="C35" s="222">
        <v>-61568.07</v>
      </c>
      <c r="D35" s="216">
        <f t="shared" si="23"/>
        <v>1175.72</v>
      </c>
      <c r="F35" s="216">
        <f t="shared" si="24"/>
        <v>404505.13000000053</v>
      </c>
      <c r="H35" s="171">
        <v>3.2500000000000001E-2</v>
      </c>
      <c r="J35" s="144">
        <f t="shared" si="21"/>
        <v>44110</v>
      </c>
      <c r="L35" s="222">
        <v>202281.69</v>
      </c>
      <c r="M35" s="216">
        <f t="shared" si="25"/>
        <v>2246.13</v>
      </c>
      <c r="O35" s="216">
        <f t="shared" si="22"/>
        <v>932725.79999999993</v>
      </c>
      <c r="Q35" s="146">
        <f t="shared" si="26"/>
        <v>3.2500000000000001E-2</v>
      </c>
    </row>
    <row r="36" spans="1:17">
      <c r="A36" s="144">
        <f t="shared" si="20"/>
        <v>44141</v>
      </c>
      <c r="C36" s="222">
        <v>-736260.28</v>
      </c>
      <c r="D36" s="216">
        <f t="shared" si="23"/>
        <v>98.52</v>
      </c>
      <c r="F36" s="216">
        <f t="shared" si="24"/>
        <v>-331656.62999999948</v>
      </c>
      <c r="H36" s="146">
        <f t="shared" si="27"/>
        <v>3.2500000000000001E-2</v>
      </c>
      <c r="J36" s="144">
        <f t="shared" si="21"/>
        <v>44141</v>
      </c>
      <c r="L36" s="222">
        <v>-251406.99</v>
      </c>
      <c r="M36" s="216">
        <f t="shared" si="25"/>
        <v>2185.69</v>
      </c>
      <c r="O36" s="216">
        <f t="shared" si="22"/>
        <v>683504.49999999988</v>
      </c>
      <c r="Q36" s="146">
        <f t="shared" si="26"/>
        <v>3.2500000000000001E-2</v>
      </c>
    </row>
    <row r="37" spans="1:17">
      <c r="A37" s="144">
        <f t="shared" si="20"/>
        <v>44172</v>
      </c>
      <c r="B37" s="145"/>
      <c r="C37" s="222">
        <v>-477532.76</v>
      </c>
      <c r="D37" s="216">
        <f t="shared" si="23"/>
        <v>-1544.9</v>
      </c>
      <c r="F37" s="216">
        <f t="shared" si="24"/>
        <v>-810734.28999999946</v>
      </c>
      <c r="H37" s="146">
        <f t="shared" si="27"/>
        <v>3.2500000000000001E-2</v>
      </c>
      <c r="J37" s="144">
        <f t="shared" si="21"/>
        <v>44172</v>
      </c>
      <c r="K37" s="145"/>
      <c r="L37" s="222">
        <v>488421.07</v>
      </c>
      <c r="M37" s="216">
        <f t="shared" si="25"/>
        <v>2512.56</v>
      </c>
      <c r="O37" s="216">
        <f t="shared" si="22"/>
        <v>1174438.1299999999</v>
      </c>
      <c r="Q37" s="146">
        <f t="shared" si="26"/>
        <v>3.2500000000000001E-2</v>
      </c>
    </row>
    <row r="39" spans="1:17">
      <c r="A39" s="213">
        <v>186338</v>
      </c>
      <c r="B39" s="213" t="s">
        <v>52</v>
      </c>
      <c r="C39" s="217" t="s">
        <v>92</v>
      </c>
      <c r="D39" s="217" t="s">
        <v>93</v>
      </c>
      <c r="E39" s="217"/>
      <c r="F39" s="216" t="s">
        <v>95</v>
      </c>
      <c r="H39" s="214" t="s">
        <v>93</v>
      </c>
      <c r="J39" s="213">
        <f>A39</f>
        <v>186338</v>
      </c>
      <c r="K39" s="213" t="s">
        <v>53</v>
      </c>
      <c r="L39" s="217" t="s">
        <v>92</v>
      </c>
      <c r="M39" s="217" t="s">
        <v>93</v>
      </c>
      <c r="N39" s="217"/>
      <c r="O39" s="216" t="s">
        <v>95</v>
      </c>
      <c r="Q39" s="214" t="s">
        <v>93</v>
      </c>
    </row>
    <row r="40" spans="1:17">
      <c r="A40" s="209" t="s">
        <v>143</v>
      </c>
      <c r="B40" s="160" t="s">
        <v>142</v>
      </c>
      <c r="C40" s="217" t="s">
        <v>96</v>
      </c>
      <c r="D40" s="217" t="s">
        <v>97</v>
      </c>
      <c r="E40" s="217" t="s">
        <v>98</v>
      </c>
      <c r="F40" s="216" t="s">
        <v>94</v>
      </c>
      <c r="H40" s="214" t="s">
        <v>99</v>
      </c>
      <c r="J40" s="210" t="str">
        <f>A40</f>
        <v>Deferral - Non-Residential</v>
      </c>
      <c r="K40" s="160" t="s">
        <v>142</v>
      </c>
      <c r="L40" s="217" t="s">
        <v>96</v>
      </c>
      <c r="M40" s="217" t="s">
        <v>97</v>
      </c>
      <c r="N40" s="217" t="s">
        <v>98</v>
      </c>
      <c r="O40" s="216" t="s">
        <v>94</v>
      </c>
      <c r="Q40" s="214" t="s">
        <v>99</v>
      </c>
    </row>
    <row r="41" spans="1:17" ht="14.45" customHeight="1">
      <c r="A41" s="144">
        <f>$A$25</f>
        <v>43800</v>
      </c>
      <c r="B41" s="145"/>
      <c r="F41" s="216">
        <v>0</v>
      </c>
      <c r="J41" s="144">
        <f>A41</f>
        <v>43800</v>
      </c>
      <c r="K41" s="145"/>
      <c r="O41" s="216">
        <v>0</v>
      </c>
    </row>
    <row r="42" spans="1:17" ht="14.45" customHeight="1">
      <c r="A42" s="144">
        <f>A41+31</f>
        <v>43831</v>
      </c>
      <c r="C42" s="222">
        <v>573895.09</v>
      </c>
      <c r="D42" s="216">
        <f>ROUND((F41+(C42+E42)/2)*H42/12,2)</f>
        <v>1186.05</v>
      </c>
      <c r="F42" s="216">
        <f t="shared" ref="F42:F53" si="28">F41+C42+D42+E42</f>
        <v>575081.14</v>
      </c>
      <c r="H42" s="146">
        <f>H26</f>
        <v>4.9599999999999998E-2</v>
      </c>
      <c r="J42" s="144">
        <f t="shared" ref="J42:J53" si="29">A42</f>
        <v>43831</v>
      </c>
      <c r="L42" s="222">
        <v>-270436.83</v>
      </c>
      <c r="M42" s="216">
        <f>ROUND((O41+(L42+N42)/2)*Q42/12,2)</f>
        <v>-558.9</v>
      </c>
      <c r="O42" s="216">
        <f t="shared" ref="O42:O53" si="30">O41+L42+M42+N42</f>
        <v>-270995.73000000004</v>
      </c>
      <c r="Q42" s="146">
        <f t="shared" ref="Q42:Q53" si="31">H42</f>
        <v>4.9599999999999998E-2</v>
      </c>
    </row>
    <row r="43" spans="1:17" ht="14.45" customHeight="1">
      <c r="A43" s="144">
        <f t="shared" ref="A43:A53" si="32">A42+31</f>
        <v>43862</v>
      </c>
      <c r="C43" s="222">
        <v>187454.62</v>
      </c>
      <c r="D43" s="216">
        <f t="shared" ref="D43:D53" si="33">ROUND((F42+(C43+E43)/2)*H43/12,2)</f>
        <v>2764.41</v>
      </c>
      <c r="F43" s="216">
        <f t="shared" si="28"/>
        <v>765300.17</v>
      </c>
      <c r="G43" s="223"/>
      <c r="H43" s="146">
        <f t="shared" ref="H43:H53" si="34">H27</f>
        <v>4.9599999999999998E-2</v>
      </c>
      <c r="J43" s="144">
        <f t="shared" si="29"/>
        <v>43862</v>
      </c>
      <c r="L43" s="222">
        <v>-144257.85</v>
      </c>
      <c r="M43" s="216">
        <f t="shared" ref="M43:M53" si="35">ROUND((O42+(L43+N43)/2)*Q43/12,2)</f>
        <v>-1418.25</v>
      </c>
      <c r="O43" s="216">
        <f t="shared" si="30"/>
        <v>-416671.83000000007</v>
      </c>
      <c r="P43" s="223"/>
      <c r="Q43" s="146">
        <f t="shared" si="31"/>
        <v>4.9599999999999998E-2</v>
      </c>
    </row>
    <row r="44" spans="1:17" ht="14.45" customHeight="1">
      <c r="A44" s="144">
        <f t="shared" si="32"/>
        <v>43893</v>
      </c>
      <c r="C44" s="222">
        <v>684916.58</v>
      </c>
      <c r="D44" s="216">
        <f t="shared" si="33"/>
        <v>4578.7299999999996</v>
      </c>
      <c r="F44" s="216">
        <f t="shared" si="28"/>
        <v>1454795.48</v>
      </c>
      <c r="H44" s="146">
        <f t="shared" si="34"/>
        <v>4.9599999999999998E-2</v>
      </c>
      <c r="J44" s="144">
        <f t="shared" si="29"/>
        <v>43893</v>
      </c>
      <c r="L44" s="222">
        <v>-190814.69</v>
      </c>
      <c r="M44" s="216">
        <f t="shared" si="35"/>
        <v>-2116.59</v>
      </c>
      <c r="O44" s="216">
        <f t="shared" si="30"/>
        <v>-609603.11</v>
      </c>
      <c r="Q44" s="146">
        <f t="shared" si="31"/>
        <v>4.9599999999999998E-2</v>
      </c>
    </row>
    <row r="45" spans="1:17" ht="14.45" customHeight="1">
      <c r="A45" s="144">
        <f t="shared" si="32"/>
        <v>43924</v>
      </c>
      <c r="C45" s="222">
        <v>1480597.58</v>
      </c>
      <c r="D45" s="216">
        <f t="shared" si="33"/>
        <v>8688.91</v>
      </c>
      <c r="F45" s="216">
        <f t="shared" si="28"/>
        <v>2944081.97</v>
      </c>
      <c r="H45" s="146">
        <f t="shared" si="34"/>
        <v>4.7500000000000001E-2</v>
      </c>
      <c r="J45" s="144">
        <f t="shared" si="29"/>
        <v>43924</v>
      </c>
      <c r="L45" s="222">
        <v>318494.27</v>
      </c>
      <c r="M45" s="216">
        <f t="shared" si="35"/>
        <v>-1782.66</v>
      </c>
      <c r="O45" s="216">
        <f t="shared" si="30"/>
        <v>-292891.49999999994</v>
      </c>
      <c r="Q45" s="146">
        <f t="shared" si="31"/>
        <v>4.7500000000000001E-2</v>
      </c>
    </row>
    <row r="46" spans="1:17" ht="14.45" customHeight="1">
      <c r="A46" s="144">
        <f t="shared" si="32"/>
        <v>43955</v>
      </c>
      <c r="C46" s="222">
        <v>1976194.98</v>
      </c>
      <c r="D46" s="216">
        <f t="shared" si="33"/>
        <v>15564.88</v>
      </c>
      <c r="F46" s="216">
        <f t="shared" si="28"/>
        <v>4935841.83</v>
      </c>
      <c r="H46" s="146">
        <f t="shared" si="34"/>
        <v>4.7500000000000001E-2</v>
      </c>
      <c r="J46" s="144">
        <f t="shared" si="29"/>
        <v>43955</v>
      </c>
      <c r="L46" s="222">
        <v>184814.88</v>
      </c>
      <c r="M46" s="216">
        <f t="shared" si="35"/>
        <v>-793.58</v>
      </c>
      <c r="O46" s="216">
        <f t="shared" si="30"/>
        <v>-108870.19999999994</v>
      </c>
      <c r="Q46" s="146">
        <f t="shared" si="31"/>
        <v>4.7500000000000001E-2</v>
      </c>
    </row>
    <row r="47" spans="1:17" ht="14.45" customHeight="1">
      <c r="A47" s="144">
        <f t="shared" si="32"/>
        <v>43986</v>
      </c>
      <c r="C47" s="222">
        <v>1552357.59</v>
      </c>
      <c r="D47" s="216">
        <f t="shared" si="33"/>
        <v>22610.080000000002</v>
      </c>
      <c r="F47" s="216">
        <f t="shared" si="28"/>
        <v>6510809.5</v>
      </c>
      <c r="H47" s="146">
        <f t="shared" si="34"/>
        <v>4.7500000000000001E-2</v>
      </c>
      <c r="J47" s="144">
        <f t="shared" si="29"/>
        <v>43986</v>
      </c>
      <c r="L47" s="222">
        <v>231966.33</v>
      </c>
      <c r="M47" s="216">
        <f t="shared" si="35"/>
        <v>28.16</v>
      </c>
      <c r="O47" s="216">
        <f t="shared" si="30"/>
        <v>123124.29000000005</v>
      </c>
      <c r="Q47" s="146">
        <f t="shared" si="31"/>
        <v>4.7500000000000001E-2</v>
      </c>
    </row>
    <row r="48" spans="1:17" ht="14.45" customHeight="1">
      <c r="A48" s="144">
        <f t="shared" si="32"/>
        <v>44017</v>
      </c>
      <c r="C48" s="222">
        <v>1379628.01</v>
      </c>
      <c r="D48" s="216">
        <f t="shared" si="33"/>
        <v>20581.78</v>
      </c>
      <c r="F48" s="216">
        <f t="shared" si="28"/>
        <v>7911019.29</v>
      </c>
      <c r="H48" s="146">
        <f t="shared" si="34"/>
        <v>3.4299999999999997E-2</v>
      </c>
      <c r="J48" s="144">
        <f t="shared" si="29"/>
        <v>44017</v>
      </c>
      <c r="L48" s="222">
        <v>65553.78</v>
      </c>
      <c r="M48" s="216">
        <f t="shared" si="35"/>
        <v>445.62</v>
      </c>
      <c r="O48" s="216">
        <f t="shared" si="30"/>
        <v>189123.69000000006</v>
      </c>
      <c r="Q48" s="146">
        <f t="shared" si="31"/>
        <v>3.4299999999999997E-2</v>
      </c>
    </row>
    <row r="49" spans="1:18" ht="14.45" customHeight="1">
      <c r="A49" s="144">
        <f t="shared" si="32"/>
        <v>44048</v>
      </c>
      <c r="C49" s="222">
        <v>884155.68</v>
      </c>
      <c r="D49" s="216">
        <f t="shared" si="33"/>
        <v>23875.94</v>
      </c>
      <c r="F49" s="216">
        <f t="shared" si="28"/>
        <v>8819050.9100000001</v>
      </c>
      <c r="H49" s="146">
        <f t="shared" si="34"/>
        <v>3.4299999999999997E-2</v>
      </c>
      <c r="J49" s="144">
        <f t="shared" si="29"/>
        <v>44048</v>
      </c>
      <c r="L49" s="222">
        <v>106603.59</v>
      </c>
      <c r="M49" s="216">
        <f t="shared" si="35"/>
        <v>692.93</v>
      </c>
      <c r="O49" s="216">
        <f t="shared" si="30"/>
        <v>296420.21000000002</v>
      </c>
      <c r="Q49" s="146">
        <f t="shared" si="31"/>
        <v>3.4299999999999997E-2</v>
      </c>
    </row>
    <row r="50" spans="1:18">
      <c r="A50" s="144">
        <f t="shared" si="32"/>
        <v>44079</v>
      </c>
      <c r="C50" s="222">
        <v>103534.28</v>
      </c>
      <c r="D50" s="216">
        <f t="shared" si="33"/>
        <v>25355.75</v>
      </c>
      <c r="F50" s="216">
        <f>F49+C50+D50+E50</f>
        <v>8947940.9399999995</v>
      </c>
      <c r="H50" s="146">
        <f t="shared" si="34"/>
        <v>3.4299999999999997E-2</v>
      </c>
      <c r="J50" s="144">
        <f t="shared" si="29"/>
        <v>44079</v>
      </c>
      <c r="L50" s="222">
        <v>121262.25</v>
      </c>
      <c r="M50" s="216">
        <f t="shared" si="35"/>
        <v>1020.57</v>
      </c>
      <c r="O50" s="216">
        <f>O49+L50+M50+N50</f>
        <v>418703.03</v>
      </c>
      <c r="Q50" s="146">
        <f t="shared" si="31"/>
        <v>3.4299999999999997E-2</v>
      </c>
    </row>
    <row r="51" spans="1:18">
      <c r="A51" s="144">
        <f t="shared" si="32"/>
        <v>44110</v>
      </c>
      <c r="C51" s="222">
        <v>59897.21</v>
      </c>
      <c r="D51" s="216">
        <f t="shared" si="33"/>
        <v>24315.119999999999</v>
      </c>
      <c r="F51" s="216">
        <f t="shared" si="28"/>
        <v>9032153.2699999996</v>
      </c>
      <c r="H51" s="146">
        <f t="shared" si="34"/>
        <v>3.2500000000000001E-2</v>
      </c>
      <c r="J51" s="144">
        <f t="shared" si="29"/>
        <v>44110</v>
      </c>
      <c r="L51" s="222">
        <v>-152191.91</v>
      </c>
      <c r="M51" s="216">
        <f t="shared" si="35"/>
        <v>927.89</v>
      </c>
      <c r="O51" s="216">
        <f t="shared" si="30"/>
        <v>267439.01</v>
      </c>
      <c r="Q51" s="146">
        <f t="shared" si="31"/>
        <v>3.2500000000000001E-2</v>
      </c>
    </row>
    <row r="52" spans="1:18">
      <c r="A52" s="144">
        <f t="shared" si="32"/>
        <v>44141</v>
      </c>
      <c r="C52" s="222">
        <v>1514937.77</v>
      </c>
      <c r="D52" s="216">
        <f t="shared" si="33"/>
        <v>26513.56</v>
      </c>
      <c r="F52" s="216">
        <f t="shared" si="28"/>
        <v>10573604.6</v>
      </c>
      <c r="H52" s="146">
        <f t="shared" si="34"/>
        <v>3.2500000000000001E-2</v>
      </c>
      <c r="J52" s="144">
        <f t="shared" si="29"/>
        <v>44141</v>
      </c>
      <c r="L52" s="222">
        <v>165479.97</v>
      </c>
      <c r="M52" s="216">
        <f t="shared" si="35"/>
        <v>948.4</v>
      </c>
      <c r="O52" s="216">
        <f t="shared" si="30"/>
        <v>433867.38</v>
      </c>
      <c r="Q52" s="146">
        <f t="shared" si="31"/>
        <v>3.2500000000000001E-2</v>
      </c>
    </row>
    <row r="53" spans="1:18">
      <c r="A53" s="144">
        <f t="shared" si="32"/>
        <v>44172</v>
      </c>
      <c r="B53" s="145"/>
      <c r="C53" s="222">
        <v>660074.11</v>
      </c>
      <c r="D53" s="216">
        <f t="shared" si="33"/>
        <v>29530.7</v>
      </c>
      <c r="F53" s="216">
        <f t="shared" si="28"/>
        <v>11263209.409999998</v>
      </c>
      <c r="H53" s="146">
        <f t="shared" si="34"/>
        <v>3.2500000000000001E-2</v>
      </c>
      <c r="J53" s="144">
        <f t="shared" si="29"/>
        <v>44172</v>
      </c>
      <c r="K53" s="145"/>
      <c r="L53" s="222">
        <v>9944.76</v>
      </c>
      <c r="M53" s="216">
        <f t="shared" si="35"/>
        <v>1188.52</v>
      </c>
      <c r="O53" s="216">
        <f t="shared" si="30"/>
        <v>445000.66000000003</v>
      </c>
      <c r="Q53" s="146">
        <f t="shared" si="31"/>
        <v>3.2500000000000001E-2</v>
      </c>
    </row>
    <row r="55" spans="1:18">
      <c r="A55" s="213">
        <v>182329</v>
      </c>
      <c r="B55" s="213" t="s">
        <v>52</v>
      </c>
      <c r="C55" s="217" t="s">
        <v>92</v>
      </c>
      <c r="D55" s="217" t="s">
        <v>93</v>
      </c>
      <c r="E55" s="217"/>
      <c r="F55" s="216" t="s">
        <v>95</v>
      </c>
      <c r="H55" s="214" t="s">
        <v>93</v>
      </c>
      <c r="J55" s="213">
        <f>A55</f>
        <v>182329</v>
      </c>
      <c r="K55" s="213" t="s">
        <v>53</v>
      </c>
      <c r="L55" s="217" t="s">
        <v>92</v>
      </c>
      <c r="M55" s="217" t="s">
        <v>93</v>
      </c>
      <c r="N55" s="217"/>
      <c r="O55" s="216" t="s">
        <v>95</v>
      </c>
      <c r="Q55" s="214" t="s">
        <v>93</v>
      </c>
    </row>
    <row r="56" spans="1:18">
      <c r="A56" s="211" t="s">
        <v>144</v>
      </c>
      <c r="B56" s="160" t="s">
        <v>142</v>
      </c>
      <c r="C56" s="217" t="s">
        <v>96</v>
      </c>
      <c r="D56" s="217" t="s">
        <v>97</v>
      </c>
      <c r="E56" s="217" t="s">
        <v>98</v>
      </c>
      <c r="F56" s="216" t="s">
        <v>94</v>
      </c>
      <c r="H56" s="214" t="s">
        <v>99</v>
      </c>
      <c r="J56" s="160" t="str">
        <f>A56</f>
        <v>Res Prior Year Pending</v>
      </c>
      <c r="K56" s="160" t="s">
        <v>142</v>
      </c>
      <c r="L56" s="217" t="s">
        <v>96</v>
      </c>
      <c r="M56" s="217" t="s">
        <v>97</v>
      </c>
      <c r="N56" s="217" t="s">
        <v>98</v>
      </c>
      <c r="O56" s="216" t="s">
        <v>94</v>
      </c>
      <c r="Q56" s="214" t="s">
        <v>99</v>
      </c>
    </row>
    <row r="57" spans="1:18" ht="14.45" customHeight="1">
      <c r="A57" s="144">
        <f>$A$25</f>
        <v>43800</v>
      </c>
      <c r="B57" s="145"/>
      <c r="F57" s="222">
        <v>1182032.6599999999</v>
      </c>
      <c r="J57" s="144">
        <f>A57</f>
        <v>43800</v>
      </c>
      <c r="K57" s="145"/>
      <c r="O57" s="222">
        <v>-1053674.32</v>
      </c>
    </row>
    <row r="58" spans="1:18" ht="14.45" customHeight="1">
      <c r="A58" s="164" t="s">
        <v>159</v>
      </c>
      <c r="B58" s="145"/>
      <c r="F58" s="224">
        <v>0</v>
      </c>
      <c r="I58" s="169"/>
      <c r="J58" s="164" t="str">
        <f t="shared" ref="J58:J70" si="36">A58</f>
        <v>Provision for Rate Refund - December 2019 Estimate</v>
      </c>
      <c r="K58" s="145"/>
      <c r="O58" s="224">
        <v>0</v>
      </c>
      <c r="R58" s="169"/>
    </row>
    <row r="59" spans="1:18" ht="14.45" customHeight="1">
      <c r="A59" s="144">
        <f>A57+31</f>
        <v>43831</v>
      </c>
      <c r="D59" s="216">
        <f>ROUND((F57+F$58+(E59)/2)*H59/12,2)</f>
        <v>4885.7299999999996</v>
      </c>
      <c r="F59" s="216">
        <f>F57+C59+D59+E59</f>
        <v>1186918.3899999999</v>
      </c>
      <c r="H59" s="146">
        <f t="shared" ref="H59:H70" si="37">H26</f>
        <v>4.9599999999999998E-2</v>
      </c>
      <c r="J59" s="144">
        <f t="shared" si="36"/>
        <v>43831</v>
      </c>
      <c r="L59" s="222"/>
      <c r="M59" s="216">
        <f>ROUND((O57+O$58+(N59)/2)*Q59/12,2)</f>
        <v>-4355.1899999999996</v>
      </c>
      <c r="O59" s="216">
        <f>O57+L59+M59+N59</f>
        <v>-1058029.51</v>
      </c>
      <c r="Q59" s="146">
        <f t="shared" ref="Q59:Q70" si="38">H59</f>
        <v>4.9599999999999998E-2</v>
      </c>
    </row>
    <row r="60" spans="1:18" ht="14.45" customHeight="1">
      <c r="A60" s="144">
        <f t="shared" ref="A60:A70" si="39">A59+31</f>
        <v>43862</v>
      </c>
      <c r="D60" s="216">
        <f>ROUND((F59+F$58+(E60)/2)*H60/12,2)</f>
        <v>4905.93</v>
      </c>
      <c r="F60" s="216">
        <f>F59+C60+D60+E60</f>
        <v>1191824.3199999998</v>
      </c>
      <c r="G60" s="223"/>
      <c r="H60" s="146">
        <f t="shared" si="37"/>
        <v>4.9599999999999998E-2</v>
      </c>
      <c r="J60" s="144">
        <f t="shared" si="36"/>
        <v>43862</v>
      </c>
      <c r="L60" s="222"/>
      <c r="M60" s="216">
        <f>ROUND((O59+O$58+(N60)/2)*Q60/12,2)</f>
        <v>-4373.1899999999996</v>
      </c>
      <c r="O60" s="216">
        <f t="shared" ref="O60:O70" si="40">O59+L60+M60+N60</f>
        <v>-1062402.7</v>
      </c>
      <c r="P60" s="223"/>
      <c r="Q60" s="146">
        <f t="shared" si="38"/>
        <v>4.9599999999999998E-2</v>
      </c>
    </row>
    <row r="61" spans="1:18" ht="14.45" customHeight="1">
      <c r="A61" s="144">
        <f t="shared" si="39"/>
        <v>43893</v>
      </c>
      <c r="D61" s="216">
        <f t="shared" ref="D61:D67" si="41">ROUND((F60+F$58+(E61)/2)*H61/12,2)</f>
        <v>4926.21</v>
      </c>
      <c r="F61" s="216">
        <f t="shared" ref="F61:F70" si="42">F60+C61+D61+E61</f>
        <v>1196750.5299999998</v>
      </c>
      <c r="H61" s="146">
        <f t="shared" si="37"/>
        <v>4.9599999999999998E-2</v>
      </c>
      <c r="J61" s="144">
        <f t="shared" si="36"/>
        <v>43893</v>
      </c>
      <c r="L61" s="222"/>
      <c r="M61" s="216">
        <f t="shared" ref="M61:M67" si="43">ROUND((O60+O$58+(N61)/2)*Q61/12,2)</f>
        <v>-4391.26</v>
      </c>
      <c r="O61" s="216">
        <f t="shared" si="40"/>
        <v>-1066793.96</v>
      </c>
      <c r="Q61" s="146">
        <f t="shared" si="38"/>
        <v>4.9599999999999998E-2</v>
      </c>
    </row>
    <row r="62" spans="1:18" ht="14.45" customHeight="1">
      <c r="A62" s="144">
        <f t="shared" si="39"/>
        <v>43924</v>
      </c>
      <c r="D62" s="216">
        <f t="shared" si="41"/>
        <v>4737.1400000000003</v>
      </c>
      <c r="F62" s="216">
        <f t="shared" si="42"/>
        <v>1201487.6699999997</v>
      </c>
      <c r="H62" s="146">
        <f t="shared" si="37"/>
        <v>4.7500000000000001E-2</v>
      </c>
      <c r="J62" s="144">
        <f t="shared" si="36"/>
        <v>43924</v>
      </c>
      <c r="M62" s="216">
        <f t="shared" si="43"/>
        <v>-4222.7299999999996</v>
      </c>
      <c r="O62" s="216">
        <f t="shared" si="40"/>
        <v>-1071016.69</v>
      </c>
      <c r="Q62" s="146">
        <f t="shared" si="38"/>
        <v>4.7500000000000001E-2</v>
      </c>
    </row>
    <row r="63" spans="1:18" ht="14.45" customHeight="1">
      <c r="A63" s="144">
        <f t="shared" si="39"/>
        <v>43955</v>
      </c>
      <c r="D63" s="216">
        <f t="shared" si="41"/>
        <v>4755.8900000000003</v>
      </c>
      <c r="F63" s="216">
        <f t="shared" si="42"/>
        <v>1206243.5599999996</v>
      </c>
      <c r="H63" s="146">
        <f t="shared" si="37"/>
        <v>4.7500000000000001E-2</v>
      </c>
      <c r="J63" s="144">
        <f t="shared" si="36"/>
        <v>43955</v>
      </c>
      <c r="M63" s="216">
        <f t="shared" si="43"/>
        <v>-4239.4399999999996</v>
      </c>
      <c r="O63" s="216">
        <f t="shared" si="40"/>
        <v>-1075256.1299999999</v>
      </c>
      <c r="Q63" s="146">
        <f t="shared" si="38"/>
        <v>4.7500000000000001E-2</v>
      </c>
    </row>
    <row r="64" spans="1:18" ht="14.45" customHeight="1">
      <c r="A64" s="144">
        <f t="shared" si="39"/>
        <v>43986</v>
      </c>
      <c r="D64" s="216">
        <f t="shared" si="41"/>
        <v>4774.71</v>
      </c>
      <c r="F64" s="216">
        <f t="shared" si="42"/>
        <v>1211018.2699999996</v>
      </c>
      <c r="H64" s="146">
        <f t="shared" si="37"/>
        <v>4.7500000000000001E-2</v>
      </c>
      <c r="J64" s="144">
        <f t="shared" si="36"/>
        <v>43986</v>
      </c>
      <c r="M64" s="216">
        <f t="shared" si="43"/>
        <v>-4256.22</v>
      </c>
      <c r="O64" s="216">
        <f t="shared" si="40"/>
        <v>-1079512.3499999999</v>
      </c>
      <c r="Q64" s="146">
        <f t="shared" si="38"/>
        <v>4.7500000000000001E-2</v>
      </c>
    </row>
    <row r="65" spans="1:17" ht="14.45" customHeight="1">
      <c r="A65" s="144">
        <f t="shared" si="39"/>
        <v>44017</v>
      </c>
      <c r="D65" s="216">
        <f t="shared" si="41"/>
        <v>3461.49</v>
      </c>
      <c r="F65" s="216">
        <f>F64+C65+D65+E65</f>
        <v>1214479.7599999995</v>
      </c>
      <c r="H65" s="146">
        <f t="shared" si="37"/>
        <v>3.4299999999999997E-2</v>
      </c>
      <c r="J65" s="144">
        <f t="shared" si="36"/>
        <v>44017</v>
      </c>
      <c r="M65" s="216">
        <f t="shared" si="43"/>
        <v>-3085.61</v>
      </c>
      <c r="O65" s="216">
        <f t="shared" si="40"/>
        <v>-1082597.96</v>
      </c>
      <c r="Q65" s="146">
        <f t="shared" si="38"/>
        <v>3.4299999999999997E-2</v>
      </c>
    </row>
    <row r="66" spans="1:17" ht="14.45" customHeight="1">
      <c r="A66" s="144">
        <f>A65+31</f>
        <v>44048</v>
      </c>
      <c r="B66" s="71" t="s">
        <v>126</v>
      </c>
      <c r="C66" s="216">
        <f>-F65</f>
        <v>-1214479.7599999995</v>
      </c>
      <c r="D66" s="216">
        <f>ROUND((F65+C66+(E66)/2)*H66/12,2)</f>
        <v>0</v>
      </c>
      <c r="F66" s="216">
        <f>F65+C66+D66+E66</f>
        <v>0</v>
      </c>
      <c r="H66" s="146">
        <f t="shared" si="37"/>
        <v>3.4299999999999997E-2</v>
      </c>
      <c r="J66" s="144">
        <f t="shared" si="36"/>
        <v>44048</v>
      </c>
      <c r="K66" s="71" t="s">
        <v>126</v>
      </c>
      <c r="L66" s="216">
        <f>-O65</f>
        <v>1082597.96</v>
      </c>
      <c r="M66" s="216">
        <f>ROUND((O65+L66+(N66)/2)*Q66/12,2)</f>
        <v>0</v>
      </c>
      <c r="O66" s="216">
        <f>O65+L66+M66+N66</f>
        <v>0</v>
      </c>
      <c r="Q66" s="146">
        <f t="shared" si="38"/>
        <v>3.4299999999999997E-2</v>
      </c>
    </row>
    <row r="67" spans="1:17">
      <c r="A67" s="144">
        <f t="shared" si="39"/>
        <v>44079</v>
      </c>
      <c r="D67" s="216">
        <f t="shared" si="41"/>
        <v>0</v>
      </c>
      <c r="F67" s="216">
        <f>F66+C67+D67+E67</f>
        <v>0</v>
      </c>
      <c r="H67" s="146">
        <f t="shared" si="37"/>
        <v>3.4299999999999997E-2</v>
      </c>
      <c r="J67" s="144">
        <f t="shared" si="36"/>
        <v>44079</v>
      </c>
      <c r="M67" s="216">
        <f t="shared" si="43"/>
        <v>0</v>
      </c>
      <c r="O67" s="216">
        <f t="shared" si="40"/>
        <v>0</v>
      </c>
      <c r="Q67" s="146">
        <f t="shared" si="38"/>
        <v>3.4299999999999997E-2</v>
      </c>
    </row>
    <row r="68" spans="1:17">
      <c r="A68" s="144">
        <f t="shared" si="39"/>
        <v>44110</v>
      </c>
      <c r="D68" s="216">
        <f>ROUND((F67+(E68)/2)*H68/12,2)</f>
        <v>0</v>
      </c>
      <c r="F68" s="216">
        <f t="shared" si="42"/>
        <v>0</v>
      </c>
      <c r="H68" s="146">
        <f t="shared" si="37"/>
        <v>3.2500000000000001E-2</v>
      </c>
      <c r="J68" s="144">
        <f t="shared" si="36"/>
        <v>44110</v>
      </c>
      <c r="M68" s="216">
        <f>ROUND((O67+(N68)/2)*Q68/12,2)</f>
        <v>0</v>
      </c>
      <c r="O68" s="216">
        <f t="shared" si="40"/>
        <v>0</v>
      </c>
      <c r="Q68" s="146">
        <f t="shared" si="38"/>
        <v>3.2500000000000001E-2</v>
      </c>
    </row>
    <row r="69" spans="1:17">
      <c r="A69" s="144">
        <f t="shared" si="39"/>
        <v>44141</v>
      </c>
      <c r="D69" s="216">
        <f t="shared" ref="D69:D70" si="44">ROUND((F68+(E69)/2)*H69/12,2)</f>
        <v>0</v>
      </c>
      <c r="F69" s="216">
        <f t="shared" si="42"/>
        <v>0</v>
      </c>
      <c r="H69" s="146">
        <f t="shared" si="37"/>
        <v>3.2500000000000001E-2</v>
      </c>
      <c r="J69" s="144">
        <f t="shared" si="36"/>
        <v>44141</v>
      </c>
      <c r="M69" s="216">
        <f>ROUND((O68+(N69)/2)*Q69/12,2)</f>
        <v>0</v>
      </c>
      <c r="O69" s="216">
        <f>O68+L69+M69+N69</f>
        <v>0</v>
      </c>
      <c r="Q69" s="146">
        <f t="shared" si="38"/>
        <v>3.2500000000000001E-2</v>
      </c>
    </row>
    <row r="70" spans="1:17">
      <c r="A70" s="144">
        <f t="shared" si="39"/>
        <v>44172</v>
      </c>
      <c r="B70" s="145"/>
      <c r="D70" s="216">
        <f t="shared" si="44"/>
        <v>0</v>
      </c>
      <c r="F70" s="216">
        <f t="shared" si="42"/>
        <v>0</v>
      </c>
      <c r="H70" s="146">
        <f t="shared" si="37"/>
        <v>3.2500000000000001E-2</v>
      </c>
      <c r="J70" s="144">
        <f t="shared" si="36"/>
        <v>44172</v>
      </c>
      <c r="K70" s="145"/>
      <c r="M70" s="216">
        <f>ROUND((O69+(N70)/2)*Q70/12,2)</f>
        <v>0</v>
      </c>
      <c r="O70" s="216">
        <f t="shared" si="40"/>
        <v>0</v>
      </c>
      <c r="Q70" s="146">
        <f t="shared" si="38"/>
        <v>3.2500000000000001E-2</v>
      </c>
    </row>
    <row r="71" spans="1:17" ht="30.75" customHeight="1">
      <c r="B71" s="148" t="s">
        <v>126</v>
      </c>
      <c r="C71" s="305" t="s">
        <v>190</v>
      </c>
      <c r="D71" s="305"/>
      <c r="E71" s="305"/>
      <c r="F71" s="305"/>
      <c r="G71" s="305"/>
      <c r="H71" s="305"/>
      <c r="K71" s="148" t="s">
        <v>126</v>
      </c>
      <c r="L71" s="305" t="s">
        <v>190</v>
      </c>
      <c r="M71" s="305"/>
      <c r="N71" s="305"/>
      <c r="O71" s="305"/>
      <c r="P71" s="305"/>
      <c r="Q71" s="305"/>
    </row>
    <row r="72" spans="1:17" ht="14.45" customHeight="1">
      <c r="B72" s="148"/>
      <c r="C72" s="226"/>
      <c r="D72" s="226"/>
      <c r="E72" s="226"/>
      <c r="F72" s="226"/>
      <c r="G72" s="212"/>
      <c r="H72" s="212"/>
    </row>
    <row r="73" spans="1:17">
      <c r="A73" s="213">
        <v>182339</v>
      </c>
      <c r="B73" s="213" t="s">
        <v>52</v>
      </c>
      <c r="C73" s="217" t="s">
        <v>92</v>
      </c>
      <c r="D73" s="217" t="s">
        <v>93</v>
      </c>
      <c r="E73" s="217"/>
      <c r="F73" s="216" t="s">
        <v>95</v>
      </c>
      <c r="H73" s="214" t="s">
        <v>93</v>
      </c>
      <c r="J73" s="213">
        <f>A73</f>
        <v>182339</v>
      </c>
      <c r="K73" s="213" t="s">
        <v>53</v>
      </c>
      <c r="L73" s="217" t="s">
        <v>92</v>
      </c>
      <c r="M73" s="217" t="s">
        <v>93</v>
      </c>
      <c r="N73" s="217"/>
      <c r="O73" s="216" t="s">
        <v>95</v>
      </c>
      <c r="Q73" s="214" t="s">
        <v>93</v>
      </c>
    </row>
    <row r="74" spans="1:17">
      <c r="A74" s="211" t="s">
        <v>145</v>
      </c>
      <c r="B74" s="160" t="s">
        <v>142</v>
      </c>
      <c r="C74" s="217" t="s">
        <v>96</v>
      </c>
      <c r="D74" s="217" t="s">
        <v>97</v>
      </c>
      <c r="E74" s="217" t="s">
        <v>98</v>
      </c>
      <c r="F74" s="216" t="s">
        <v>94</v>
      </c>
      <c r="H74" s="214" t="s">
        <v>99</v>
      </c>
      <c r="J74" s="160" t="str">
        <f>A74</f>
        <v>Non-Res Prior Year Pending</v>
      </c>
      <c r="K74" s="160" t="s">
        <v>142</v>
      </c>
      <c r="L74" s="217" t="s">
        <v>96</v>
      </c>
      <c r="M74" s="217" t="s">
        <v>97</v>
      </c>
      <c r="N74" s="217" t="s">
        <v>98</v>
      </c>
      <c r="O74" s="216" t="s">
        <v>94</v>
      </c>
      <c r="Q74" s="214" t="s">
        <v>99</v>
      </c>
    </row>
    <row r="75" spans="1:17" ht="14.45" customHeight="1">
      <c r="A75" s="144">
        <f>$A$25</f>
        <v>43800</v>
      </c>
      <c r="B75" s="145"/>
      <c r="F75" s="222">
        <v>6859634.1100000003</v>
      </c>
      <c r="J75" s="144">
        <f>A75</f>
        <v>43800</v>
      </c>
      <c r="K75" s="145"/>
      <c r="O75" s="222">
        <v>63249</v>
      </c>
    </row>
    <row r="76" spans="1:17" ht="14.45" customHeight="1">
      <c r="A76" s="164" t="str">
        <f>A58</f>
        <v>Provision for Rate Refund - December 2019 Estimate</v>
      </c>
      <c r="B76" s="145"/>
      <c r="F76" s="224">
        <v>0</v>
      </c>
      <c r="J76" s="164" t="str">
        <f t="shared" ref="J76:J88" si="45">A76</f>
        <v>Provision for Rate Refund - December 2019 Estimate</v>
      </c>
      <c r="K76" s="145"/>
      <c r="O76" s="224">
        <v>0</v>
      </c>
    </row>
    <row r="77" spans="1:17" ht="14.45" customHeight="1">
      <c r="A77" s="144">
        <f>A75+31</f>
        <v>43831</v>
      </c>
      <c r="D77" s="216">
        <f>ROUND((F75+F$58+(E77)/2)*H77/12,2)</f>
        <v>28353.15</v>
      </c>
      <c r="F77" s="216">
        <f>F75+C77+D77+E77</f>
        <v>6887987.2600000007</v>
      </c>
      <c r="H77" s="146">
        <f t="shared" ref="H77:H88" si="46">H26</f>
        <v>4.9599999999999998E-2</v>
      </c>
      <c r="J77" s="144">
        <f t="shared" si="45"/>
        <v>43831</v>
      </c>
      <c r="M77" s="216">
        <f>ROUND((O75+O$58+(N77)/2)*Q77/12,2)</f>
        <v>261.43</v>
      </c>
      <c r="O77" s="216">
        <f>O75+L77+M77+N77</f>
        <v>63510.43</v>
      </c>
      <c r="Q77" s="146">
        <f t="shared" ref="Q77:Q88" si="47">H77</f>
        <v>4.9599999999999998E-2</v>
      </c>
    </row>
    <row r="78" spans="1:17" ht="14.45" customHeight="1">
      <c r="A78" s="144">
        <f t="shared" ref="A78:A88" si="48">A77+31</f>
        <v>43862</v>
      </c>
      <c r="D78" s="216">
        <f>ROUND((F77+F$58+(E78)/2)*H78/12,2)</f>
        <v>28470.35</v>
      </c>
      <c r="F78" s="216">
        <f>F77+C78+D78+E78</f>
        <v>6916457.6100000003</v>
      </c>
      <c r="G78" s="223"/>
      <c r="H78" s="146">
        <f t="shared" si="46"/>
        <v>4.9599999999999998E-2</v>
      </c>
      <c r="J78" s="144">
        <f t="shared" si="45"/>
        <v>43862</v>
      </c>
      <c r="M78" s="216">
        <f>ROUND((O77+O$58+(N78)/2)*Q78/12,2)</f>
        <v>262.51</v>
      </c>
      <c r="O78" s="216">
        <f>O77+L78+M78+N78</f>
        <v>63772.94</v>
      </c>
      <c r="P78" s="223"/>
      <c r="Q78" s="146">
        <f t="shared" si="47"/>
        <v>4.9599999999999998E-2</v>
      </c>
    </row>
    <row r="79" spans="1:17" ht="14.45" customHeight="1">
      <c r="A79" s="144">
        <f t="shared" si="48"/>
        <v>43893</v>
      </c>
      <c r="D79" s="216">
        <f t="shared" ref="D79:D85" si="49">ROUND((F78+F$58+(E79)/2)*H79/12,2)</f>
        <v>28588.02</v>
      </c>
      <c r="F79" s="216">
        <f>F78+C79+D79+E79</f>
        <v>6945045.6299999999</v>
      </c>
      <c r="H79" s="146">
        <f t="shared" si="46"/>
        <v>4.9599999999999998E-2</v>
      </c>
      <c r="J79" s="144">
        <f t="shared" si="45"/>
        <v>43893</v>
      </c>
      <c r="M79" s="216">
        <f t="shared" ref="M79:M85" si="50">ROUND((O78+O$58+(N79)/2)*Q79/12,2)</f>
        <v>263.58999999999997</v>
      </c>
      <c r="O79" s="216">
        <f>O78+L79+M79+N79</f>
        <v>64036.53</v>
      </c>
      <c r="Q79" s="146">
        <f t="shared" si="47"/>
        <v>4.9599999999999998E-2</v>
      </c>
    </row>
    <row r="80" spans="1:17" ht="14.45" customHeight="1">
      <c r="A80" s="144">
        <f t="shared" si="48"/>
        <v>43924</v>
      </c>
      <c r="D80" s="216">
        <f t="shared" si="49"/>
        <v>27490.81</v>
      </c>
      <c r="F80" s="216">
        <f t="shared" ref="F80:F88" si="51">F79+C80+D80+E80</f>
        <v>6972536.4399999995</v>
      </c>
      <c r="H80" s="146">
        <f t="shared" si="46"/>
        <v>4.7500000000000001E-2</v>
      </c>
      <c r="J80" s="144">
        <f t="shared" si="45"/>
        <v>43924</v>
      </c>
      <c r="M80" s="216">
        <f t="shared" si="50"/>
        <v>253.48</v>
      </c>
      <c r="O80" s="216">
        <f t="shared" ref="O80:O86" si="52">O79+L80+M80+N80</f>
        <v>64290.01</v>
      </c>
      <c r="Q80" s="146">
        <f t="shared" si="47"/>
        <v>4.7500000000000001E-2</v>
      </c>
    </row>
    <row r="81" spans="1:17" ht="14.45" customHeight="1">
      <c r="A81" s="144">
        <f t="shared" si="48"/>
        <v>43955</v>
      </c>
      <c r="D81" s="216">
        <f t="shared" si="49"/>
        <v>27599.62</v>
      </c>
      <c r="F81" s="216">
        <f t="shared" si="51"/>
        <v>7000136.0599999996</v>
      </c>
      <c r="H81" s="146">
        <f t="shared" si="46"/>
        <v>4.7500000000000001E-2</v>
      </c>
      <c r="J81" s="144">
        <f t="shared" si="45"/>
        <v>43955</v>
      </c>
      <c r="M81" s="216">
        <f t="shared" si="50"/>
        <v>254.48</v>
      </c>
      <c r="O81" s="216">
        <f t="shared" si="52"/>
        <v>64544.490000000005</v>
      </c>
      <c r="Q81" s="146">
        <f t="shared" si="47"/>
        <v>4.7500000000000001E-2</v>
      </c>
    </row>
    <row r="82" spans="1:17" ht="14.45" customHeight="1">
      <c r="A82" s="144">
        <f t="shared" si="48"/>
        <v>43986</v>
      </c>
      <c r="D82" s="216">
        <f t="shared" si="49"/>
        <v>27708.87</v>
      </c>
      <c r="F82" s="216">
        <f t="shared" si="51"/>
        <v>7027844.9299999997</v>
      </c>
      <c r="H82" s="146">
        <f t="shared" si="46"/>
        <v>4.7500000000000001E-2</v>
      </c>
      <c r="J82" s="144">
        <f t="shared" si="45"/>
        <v>43986</v>
      </c>
      <c r="M82" s="216">
        <f t="shared" si="50"/>
        <v>255.49</v>
      </c>
      <c r="O82" s="216">
        <f t="shared" si="52"/>
        <v>64799.98</v>
      </c>
      <c r="Q82" s="146">
        <f t="shared" si="47"/>
        <v>4.7500000000000001E-2</v>
      </c>
    </row>
    <row r="83" spans="1:17" ht="14.45" customHeight="1">
      <c r="A83" s="144">
        <f t="shared" si="48"/>
        <v>44017</v>
      </c>
      <c r="D83" s="216">
        <f t="shared" si="49"/>
        <v>20087.919999999998</v>
      </c>
      <c r="F83" s="216">
        <f>F82+C83+D83+E83</f>
        <v>7047932.8499999996</v>
      </c>
      <c r="H83" s="146">
        <f t="shared" si="46"/>
        <v>3.4299999999999997E-2</v>
      </c>
      <c r="J83" s="144">
        <f t="shared" si="45"/>
        <v>44017</v>
      </c>
      <c r="M83" s="216">
        <f t="shared" si="50"/>
        <v>185.22</v>
      </c>
      <c r="O83" s="216">
        <f t="shared" si="52"/>
        <v>64985.200000000004</v>
      </c>
      <c r="Q83" s="146">
        <f t="shared" si="47"/>
        <v>3.4299999999999997E-2</v>
      </c>
    </row>
    <row r="84" spans="1:17" ht="14.45" customHeight="1">
      <c r="A84" s="144">
        <f>A83+31</f>
        <v>44048</v>
      </c>
      <c r="B84" s="71" t="s">
        <v>126</v>
      </c>
      <c r="C84" s="216">
        <f>-F83</f>
        <v>-7047932.8499999996</v>
      </c>
      <c r="D84" s="216">
        <f>ROUND((F83+C84+(E84)/2)*H84/12,2)</f>
        <v>0</v>
      </c>
      <c r="F84" s="216">
        <f>F83+C84+D84+E84</f>
        <v>0</v>
      </c>
      <c r="H84" s="146">
        <f t="shared" si="46"/>
        <v>3.4299999999999997E-2</v>
      </c>
      <c r="J84" s="144">
        <f t="shared" si="45"/>
        <v>44048</v>
      </c>
      <c r="K84" s="71" t="s">
        <v>126</v>
      </c>
      <c r="L84" s="216">
        <f>-O83</f>
        <v>-64985.200000000004</v>
      </c>
      <c r="M84" s="216">
        <f>ROUND((O83+L84+(N84)/2)*Q84/12,2)</f>
        <v>0</v>
      </c>
      <c r="O84" s="216">
        <f>O83+L84+M84+N84</f>
        <v>0</v>
      </c>
      <c r="Q84" s="146">
        <f t="shared" si="47"/>
        <v>3.4299999999999997E-2</v>
      </c>
    </row>
    <row r="85" spans="1:17">
      <c r="A85" s="144">
        <f t="shared" si="48"/>
        <v>44079</v>
      </c>
      <c r="D85" s="216">
        <f t="shared" si="49"/>
        <v>0</v>
      </c>
      <c r="F85" s="216">
        <f>F84+C85+D85+E85</f>
        <v>0</v>
      </c>
      <c r="H85" s="146">
        <f t="shared" si="46"/>
        <v>3.4299999999999997E-2</v>
      </c>
      <c r="J85" s="144">
        <f t="shared" si="45"/>
        <v>44079</v>
      </c>
      <c r="M85" s="216">
        <f t="shared" si="50"/>
        <v>0</v>
      </c>
      <c r="O85" s="216">
        <f>O84+L85+M85+N85</f>
        <v>0</v>
      </c>
      <c r="Q85" s="146">
        <f t="shared" si="47"/>
        <v>3.4299999999999997E-2</v>
      </c>
    </row>
    <row r="86" spans="1:17">
      <c r="A86" s="144">
        <f t="shared" si="48"/>
        <v>44110</v>
      </c>
      <c r="D86" s="216">
        <f>ROUND((F85+(E86)/2)*H86/12,2)</f>
        <v>0</v>
      </c>
      <c r="F86" s="216">
        <f>F85+C86+D86+E86</f>
        <v>0</v>
      </c>
      <c r="H86" s="146">
        <f t="shared" si="46"/>
        <v>3.2500000000000001E-2</v>
      </c>
      <c r="J86" s="144">
        <f t="shared" si="45"/>
        <v>44110</v>
      </c>
      <c r="M86" s="216">
        <f>ROUND((O85+(N86)/2)*Q86/12,2)</f>
        <v>0</v>
      </c>
      <c r="O86" s="216">
        <f t="shared" si="52"/>
        <v>0</v>
      </c>
      <c r="Q86" s="146">
        <f t="shared" si="47"/>
        <v>3.2500000000000001E-2</v>
      </c>
    </row>
    <row r="87" spans="1:17">
      <c r="A87" s="144">
        <f t="shared" si="48"/>
        <v>44141</v>
      </c>
      <c r="D87" s="216">
        <f>ROUND((F86+(E87)/2)*H87/12,2)</f>
        <v>0</v>
      </c>
      <c r="E87" s="227"/>
      <c r="F87" s="216">
        <f t="shared" si="51"/>
        <v>0</v>
      </c>
      <c r="H87" s="146">
        <f t="shared" si="46"/>
        <v>3.2500000000000001E-2</v>
      </c>
      <c r="J87" s="144">
        <f t="shared" si="45"/>
        <v>44141</v>
      </c>
      <c r="M87" s="216">
        <f>ROUND((O86+(N87)/2)*Q87/12,2)</f>
        <v>0</v>
      </c>
      <c r="O87" s="216">
        <f>O86+L87+M87+N87</f>
        <v>0</v>
      </c>
      <c r="Q87" s="146">
        <f t="shared" si="47"/>
        <v>3.2500000000000001E-2</v>
      </c>
    </row>
    <row r="88" spans="1:17">
      <c r="A88" s="144">
        <f t="shared" si="48"/>
        <v>44172</v>
      </c>
      <c r="D88" s="216">
        <f>ROUND((F87+(E88)/2)*H88/12,2)</f>
        <v>0</v>
      </c>
      <c r="F88" s="216">
        <f t="shared" si="51"/>
        <v>0</v>
      </c>
      <c r="H88" s="146">
        <f t="shared" si="46"/>
        <v>3.2500000000000001E-2</v>
      </c>
      <c r="J88" s="144">
        <f t="shared" si="45"/>
        <v>44172</v>
      </c>
      <c r="M88" s="216">
        <f>ROUND((O87+(N88)/2)*Q88/12,2)</f>
        <v>0</v>
      </c>
      <c r="O88" s="216">
        <f t="shared" ref="O88" si="53">O87+L88+M88+N88</f>
        <v>0</v>
      </c>
      <c r="Q88" s="146">
        <f t="shared" si="47"/>
        <v>3.2500000000000001E-2</v>
      </c>
    </row>
    <row r="89" spans="1:17" ht="29.25" customHeight="1">
      <c r="A89" s="144"/>
      <c r="B89" s="148" t="s">
        <v>126</v>
      </c>
      <c r="C89" s="305" t="s">
        <v>190</v>
      </c>
      <c r="D89" s="305"/>
      <c r="E89" s="305"/>
      <c r="F89" s="305"/>
      <c r="G89" s="305"/>
      <c r="H89" s="305"/>
      <c r="J89" s="144"/>
      <c r="K89" s="148" t="s">
        <v>126</v>
      </c>
      <c r="L89" s="305" t="s">
        <v>190</v>
      </c>
      <c r="M89" s="305"/>
      <c r="N89" s="305"/>
      <c r="O89" s="305"/>
      <c r="P89" s="305"/>
      <c r="Q89" s="305"/>
    </row>
    <row r="90" spans="1:17" ht="14.45" customHeight="1">
      <c r="A90" s="144"/>
      <c r="B90" s="148"/>
      <c r="C90" s="226"/>
      <c r="D90" s="226"/>
      <c r="E90" s="226"/>
      <c r="F90" s="226"/>
      <c r="G90" s="212"/>
      <c r="H90" s="212"/>
      <c r="J90" s="144"/>
      <c r="Q90" s="146"/>
    </row>
    <row r="91" spans="1:17">
      <c r="A91" s="213">
        <v>182328</v>
      </c>
      <c r="B91" s="213" t="s">
        <v>52</v>
      </c>
      <c r="C91" s="217" t="s">
        <v>92</v>
      </c>
      <c r="D91" s="217" t="s">
        <v>93</v>
      </c>
      <c r="E91" s="217"/>
      <c r="F91" s="216" t="s">
        <v>95</v>
      </c>
      <c r="H91" s="214" t="s">
        <v>93</v>
      </c>
      <c r="J91" s="213">
        <f>A91</f>
        <v>182328</v>
      </c>
      <c r="K91" s="213" t="s">
        <v>53</v>
      </c>
      <c r="L91" s="217" t="s">
        <v>92</v>
      </c>
      <c r="M91" s="217" t="s">
        <v>93</v>
      </c>
      <c r="N91" s="217"/>
      <c r="O91" s="216" t="s">
        <v>95</v>
      </c>
      <c r="Q91" s="214" t="s">
        <v>93</v>
      </c>
    </row>
    <row r="92" spans="1:17">
      <c r="A92" s="160" t="s">
        <v>146</v>
      </c>
      <c r="B92" s="160" t="s">
        <v>142</v>
      </c>
      <c r="C92" s="217" t="s">
        <v>96</v>
      </c>
      <c r="D92" s="217" t="s">
        <v>97</v>
      </c>
      <c r="E92" s="217" t="s">
        <v>98</v>
      </c>
      <c r="F92" s="216" t="s">
        <v>94</v>
      </c>
      <c r="H92" s="214" t="s">
        <v>99</v>
      </c>
      <c r="J92" s="160" t="str">
        <f>A92</f>
        <v xml:space="preserve">Res Surcharge Approved </v>
      </c>
      <c r="K92" s="160" t="s">
        <v>142</v>
      </c>
      <c r="L92" s="217" t="s">
        <v>96</v>
      </c>
      <c r="M92" s="217" t="s">
        <v>97</v>
      </c>
      <c r="N92" s="217" t="s">
        <v>98</v>
      </c>
      <c r="O92" s="216" t="s">
        <v>94</v>
      </c>
      <c r="Q92" s="214" t="s">
        <v>99</v>
      </c>
    </row>
    <row r="93" spans="1:17" ht="14.45" customHeight="1">
      <c r="A93" s="144">
        <f>$A$25</f>
        <v>43800</v>
      </c>
      <c r="B93" s="145"/>
      <c r="F93" s="228">
        <v>7840793.6299999999</v>
      </c>
      <c r="J93" s="144">
        <f t="shared" ref="J93:J105" si="54">A93</f>
        <v>43800</v>
      </c>
      <c r="K93" s="145"/>
      <c r="O93" s="228">
        <v>530787.18000000005</v>
      </c>
    </row>
    <row r="94" spans="1:17" ht="14.45" customHeight="1">
      <c r="A94" s="144">
        <f>A93+31</f>
        <v>43831</v>
      </c>
      <c r="C94" s="229"/>
      <c r="D94" s="216">
        <f>ROUND((F93+(E94)/2)*H94/12,2)</f>
        <v>30989.94</v>
      </c>
      <c r="E94" s="224">
        <v>-686453.23</v>
      </c>
      <c r="F94" s="229">
        <f t="shared" ref="F94:F105" si="55">F93+C94+D94+E94</f>
        <v>7185330.3399999999</v>
      </c>
      <c r="G94" s="36"/>
      <c r="H94" s="175">
        <f t="shared" ref="H94:H103" si="56">H26</f>
        <v>4.9599999999999998E-2</v>
      </c>
      <c r="I94" s="36"/>
      <c r="J94" s="176">
        <f t="shared" si="54"/>
        <v>43831</v>
      </c>
      <c r="K94" s="36"/>
      <c r="L94" s="229"/>
      <c r="M94" s="216">
        <f>ROUND((O93+(N94)/2)*Q94/12,2)</f>
        <v>2028.93</v>
      </c>
      <c r="N94" s="224">
        <v>-79833.33</v>
      </c>
      <c r="O94" s="216">
        <f t="shared" ref="O94:O105" si="57">O93+L94+M94+N94</f>
        <v>452982.78000000009</v>
      </c>
      <c r="Q94" s="146">
        <f>H94</f>
        <v>4.9599999999999998E-2</v>
      </c>
    </row>
    <row r="95" spans="1:17" ht="14.45" customHeight="1">
      <c r="A95" s="144">
        <f t="shared" ref="A95:A105" si="58">A94+31</f>
        <v>43862</v>
      </c>
      <c r="C95" s="229"/>
      <c r="D95" s="216">
        <f t="shared" ref="D95:D105" si="59">ROUND((F94+(E95)/2)*H95/12,2)</f>
        <v>28457.84</v>
      </c>
      <c r="E95" s="224">
        <v>-600737.84</v>
      </c>
      <c r="F95" s="229">
        <f t="shared" si="55"/>
        <v>6613050.3399999999</v>
      </c>
      <c r="G95" s="223"/>
      <c r="H95" s="175">
        <f t="shared" si="56"/>
        <v>4.9599999999999998E-2</v>
      </c>
      <c r="I95" s="36"/>
      <c r="J95" s="176">
        <f t="shared" si="54"/>
        <v>43862</v>
      </c>
      <c r="K95" s="36"/>
      <c r="L95" s="229"/>
      <c r="M95" s="216">
        <f t="shared" ref="M95:M105" si="60">ROUND((O94+(N95)/2)*Q95/12,2)</f>
        <v>1721.31</v>
      </c>
      <c r="N95" s="224">
        <v>-73074.42</v>
      </c>
      <c r="O95" s="216">
        <f t="shared" si="57"/>
        <v>381629.6700000001</v>
      </c>
      <c r="P95" s="223"/>
      <c r="Q95" s="146">
        <f t="shared" ref="Q95:Q105" si="61">H95</f>
        <v>4.9599999999999998E-2</v>
      </c>
    </row>
    <row r="96" spans="1:17" ht="14.45" customHeight="1">
      <c r="A96" s="144">
        <f t="shared" si="58"/>
        <v>43893</v>
      </c>
      <c r="C96" s="229"/>
      <c r="D96" s="216">
        <f t="shared" si="59"/>
        <v>26132.29</v>
      </c>
      <c r="E96" s="224">
        <v>-581444.52</v>
      </c>
      <c r="F96" s="229">
        <f t="shared" si="55"/>
        <v>6057738.1099999994</v>
      </c>
      <c r="G96" s="36"/>
      <c r="H96" s="175">
        <f t="shared" si="56"/>
        <v>4.9599999999999998E-2</v>
      </c>
      <c r="I96" s="36"/>
      <c r="J96" s="176">
        <f t="shared" si="54"/>
        <v>43893</v>
      </c>
      <c r="K96" s="36"/>
      <c r="L96" s="229"/>
      <c r="M96" s="216">
        <f t="shared" si="60"/>
        <v>1438.54</v>
      </c>
      <c r="N96" s="224">
        <v>-67191.289999999994</v>
      </c>
      <c r="O96" s="216">
        <f t="shared" si="57"/>
        <v>315876.9200000001</v>
      </c>
      <c r="Q96" s="146">
        <f t="shared" si="61"/>
        <v>4.9599999999999998E-2</v>
      </c>
    </row>
    <row r="97" spans="1:20" ht="14.45" customHeight="1">
      <c r="A97" s="144">
        <f t="shared" si="58"/>
        <v>43924</v>
      </c>
      <c r="C97" s="229"/>
      <c r="D97" s="216">
        <f t="shared" si="59"/>
        <v>22987.42</v>
      </c>
      <c r="E97" s="224">
        <v>-500778.4</v>
      </c>
      <c r="F97" s="229">
        <f>F96+C97+D97+E97</f>
        <v>5579947.129999999</v>
      </c>
      <c r="G97" s="36"/>
      <c r="H97" s="175">
        <f t="shared" si="56"/>
        <v>4.7500000000000001E-2</v>
      </c>
      <c r="I97" s="36"/>
      <c r="J97" s="176">
        <f t="shared" si="54"/>
        <v>43924</v>
      </c>
      <c r="K97" s="36"/>
      <c r="L97" s="229"/>
      <c r="M97" s="216">
        <f t="shared" si="60"/>
        <v>1181.3699999999999</v>
      </c>
      <c r="N97" s="224">
        <v>-34849.949999999997</v>
      </c>
      <c r="O97" s="216">
        <f t="shared" si="57"/>
        <v>282208.34000000008</v>
      </c>
      <c r="Q97" s="146">
        <f t="shared" si="61"/>
        <v>4.7500000000000001E-2</v>
      </c>
    </row>
    <row r="98" spans="1:20" ht="14.45" customHeight="1">
      <c r="A98" s="144">
        <f t="shared" si="58"/>
        <v>43955</v>
      </c>
      <c r="C98" s="229"/>
      <c r="D98" s="216">
        <f t="shared" si="59"/>
        <v>21246.38</v>
      </c>
      <c r="E98" s="224">
        <v>-424883.73</v>
      </c>
      <c r="F98" s="229">
        <f>F97+C98+D98+E98</f>
        <v>5176309.7799999993</v>
      </c>
      <c r="G98" s="36"/>
      <c r="H98" s="175">
        <f t="shared" si="56"/>
        <v>4.7500000000000001E-2</v>
      </c>
      <c r="I98" s="36"/>
      <c r="J98" s="176">
        <f t="shared" si="54"/>
        <v>43955</v>
      </c>
      <c r="K98" s="36"/>
      <c r="L98" s="229"/>
      <c r="M98" s="216">
        <f t="shared" si="60"/>
        <v>1076.01</v>
      </c>
      <c r="N98" s="224">
        <v>-20748.09</v>
      </c>
      <c r="O98" s="216">
        <f t="shared" si="57"/>
        <v>262536.26000000007</v>
      </c>
      <c r="Q98" s="146">
        <f t="shared" si="61"/>
        <v>4.7500000000000001E-2</v>
      </c>
    </row>
    <row r="99" spans="1:20" ht="14.45" customHeight="1">
      <c r="A99" s="144">
        <f t="shared" si="58"/>
        <v>43986</v>
      </c>
      <c r="C99" s="229"/>
      <c r="D99" s="216">
        <f t="shared" si="59"/>
        <v>19670.580000000002</v>
      </c>
      <c r="E99" s="224">
        <v>-413802.23999999999</v>
      </c>
      <c r="F99" s="229">
        <f>F98+C99+D99+E99</f>
        <v>4782178.1199999992</v>
      </c>
      <c r="G99" s="36"/>
      <c r="H99" s="175">
        <f t="shared" si="56"/>
        <v>4.7500000000000001E-2</v>
      </c>
      <c r="I99" s="36"/>
      <c r="J99" s="176">
        <f t="shared" si="54"/>
        <v>43986</v>
      </c>
      <c r="K99" s="36"/>
      <c r="L99" s="229"/>
      <c r="M99" s="216">
        <f t="shared" si="60"/>
        <v>1012.76</v>
      </c>
      <c r="N99" s="224">
        <v>-13363.58</v>
      </c>
      <c r="O99" s="216">
        <f t="shared" si="57"/>
        <v>250185.44000000009</v>
      </c>
      <c r="Q99" s="146">
        <f t="shared" si="61"/>
        <v>4.7500000000000001E-2</v>
      </c>
    </row>
    <row r="100" spans="1:20" ht="14.45" customHeight="1">
      <c r="A100" s="144">
        <f t="shared" si="58"/>
        <v>44017</v>
      </c>
      <c r="B100" s="36" t="s">
        <v>126</v>
      </c>
      <c r="C100" s="229">
        <f>IF(C66&lt;0,-C66,0)</f>
        <v>1214479.7599999995</v>
      </c>
      <c r="D100" s="216">
        <f>ROUND((F99+(E100)/2)*H100/12,2)</f>
        <v>12946.33</v>
      </c>
      <c r="E100" s="224">
        <v>-505701.5</v>
      </c>
      <c r="F100" s="229">
        <f>F99+C100+D100+E100-IF(C66&lt;0,-C66,0)</f>
        <v>4289422.9499999993</v>
      </c>
      <c r="G100" s="36"/>
      <c r="H100" s="175">
        <f t="shared" si="56"/>
        <v>3.4299999999999997E-2</v>
      </c>
      <c r="I100" s="36"/>
      <c r="J100" s="176">
        <f t="shared" si="54"/>
        <v>44017</v>
      </c>
      <c r="K100" s="36" t="s">
        <v>126</v>
      </c>
      <c r="L100" s="229">
        <f>IF(L66&lt;0,-L66,0)</f>
        <v>0</v>
      </c>
      <c r="M100" s="229">
        <f>ROUND((O99+(N100)/2)*Q100/12,2)</f>
        <v>700.03</v>
      </c>
      <c r="N100" s="224">
        <v>-10555.81</v>
      </c>
      <c r="O100" s="216">
        <f>O99+L100+M100+N100</f>
        <v>240329.66000000009</v>
      </c>
      <c r="Q100" s="146">
        <f t="shared" si="61"/>
        <v>3.4299999999999997E-2</v>
      </c>
    </row>
    <row r="101" spans="1:20" ht="14.45" customHeight="1">
      <c r="A101" s="144">
        <f t="shared" si="58"/>
        <v>44048</v>
      </c>
      <c r="B101" s="36" t="s">
        <v>126</v>
      </c>
      <c r="C101" s="229">
        <f>IF(F93&gt;0,IF(F65+F100-C100&lt;0,-F100,-C135),IF(F65+F134-C134&lt;0,-F100,-C135))</f>
        <v>0</v>
      </c>
      <c r="D101" s="229">
        <f>ROUND((C100+F100+C101+(E101)/2)*H101/12,2)</f>
        <v>15043.32</v>
      </c>
      <c r="E101" s="224">
        <v>-481866.08</v>
      </c>
      <c r="F101" s="229">
        <f>F100+C101+D101+E101+IF(C66&lt;0,-C66,0)</f>
        <v>5037079.9499999993</v>
      </c>
      <c r="G101" s="36"/>
      <c r="H101" s="175">
        <f t="shared" si="56"/>
        <v>3.4299999999999997E-2</v>
      </c>
      <c r="I101" s="36"/>
      <c r="J101" s="176">
        <f t="shared" si="54"/>
        <v>44048</v>
      </c>
      <c r="K101" s="36" t="s">
        <v>126</v>
      </c>
      <c r="L101" s="229">
        <f>IF(O93&gt;0,IF(O65+O100-L100&lt;0,-O100,-L135),IF(O65+O134-L134&lt;0,-O100,-L135))</f>
        <v>-240329.66000000009</v>
      </c>
      <c r="M101" s="229">
        <f>ROUND((L100+O100+L101+(N101)/2)*Q101/12,2)</f>
        <v>0</v>
      </c>
      <c r="N101" s="224">
        <v>0</v>
      </c>
      <c r="O101" s="216">
        <f t="shared" si="57"/>
        <v>0</v>
      </c>
      <c r="Q101" s="146">
        <f t="shared" si="61"/>
        <v>3.4299999999999997E-2</v>
      </c>
    </row>
    <row r="102" spans="1:20">
      <c r="A102" s="144">
        <f t="shared" si="58"/>
        <v>44079</v>
      </c>
      <c r="C102" s="229"/>
      <c r="D102" s="216">
        <f t="shared" si="59"/>
        <v>13834.34</v>
      </c>
      <c r="E102" s="224">
        <v>-394152.69</v>
      </c>
      <c r="F102" s="229">
        <f>F101+C102+D102+E102</f>
        <v>4656761.5999999987</v>
      </c>
      <c r="G102" s="36"/>
      <c r="H102" s="175">
        <f t="shared" si="56"/>
        <v>3.4299999999999997E-2</v>
      </c>
      <c r="I102" s="36"/>
      <c r="J102" s="176">
        <f t="shared" si="54"/>
        <v>44079</v>
      </c>
      <c r="K102" s="36"/>
      <c r="L102" s="230"/>
      <c r="M102" s="216">
        <f t="shared" si="60"/>
        <v>0</v>
      </c>
      <c r="N102" s="224">
        <v>0</v>
      </c>
      <c r="O102" s="216">
        <f>O101+L102+M102+N102</f>
        <v>0</v>
      </c>
      <c r="Q102" s="146">
        <f t="shared" si="61"/>
        <v>3.4299999999999997E-2</v>
      </c>
    </row>
    <row r="103" spans="1:20">
      <c r="A103" s="144">
        <f t="shared" si="58"/>
        <v>44110</v>
      </c>
      <c r="B103" s="36"/>
      <c r="C103" s="229"/>
      <c r="D103" s="216">
        <f>ROUND((F102+(E103)/2)*H103/12,2)</f>
        <v>12063.13</v>
      </c>
      <c r="E103" s="224">
        <v>-405363.43</v>
      </c>
      <c r="F103" s="229">
        <f>F102+C103+D103+E103</f>
        <v>4263461.2999999989</v>
      </c>
      <c r="G103" s="36"/>
      <c r="H103" s="175">
        <f t="shared" si="56"/>
        <v>3.2500000000000001E-2</v>
      </c>
      <c r="I103" s="36"/>
      <c r="J103" s="176">
        <f t="shared" si="54"/>
        <v>44110</v>
      </c>
      <c r="K103" s="36"/>
      <c r="L103" s="229"/>
      <c r="M103" s="216">
        <f>ROUND((O102+(N103)/2)*Q103/12,2)</f>
        <v>0</v>
      </c>
      <c r="N103" s="224">
        <v>0</v>
      </c>
      <c r="O103" s="216">
        <f>O102+L103+M103+N103</f>
        <v>0</v>
      </c>
      <c r="Q103" s="146">
        <f t="shared" si="61"/>
        <v>3.2500000000000001E-2</v>
      </c>
      <c r="T103" s="174"/>
    </row>
    <row r="104" spans="1:20">
      <c r="A104" s="144">
        <f t="shared" si="58"/>
        <v>44141</v>
      </c>
      <c r="B104" s="36"/>
      <c r="C104" s="229"/>
      <c r="D104" s="216">
        <f>ROUND((F103+(E104)/2)*H104/12,2)</f>
        <v>10818.48</v>
      </c>
      <c r="E104" s="224">
        <v>-537894.43999999994</v>
      </c>
      <c r="F104" s="229">
        <f>F103+C104+D104+E104</f>
        <v>3736385.3399999994</v>
      </c>
      <c r="G104" s="36"/>
      <c r="H104" s="175">
        <f>H103</f>
        <v>3.2500000000000001E-2</v>
      </c>
      <c r="I104" s="36"/>
      <c r="J104" s="176">
        <f t="shared" si="54"/>
        <v>44141</v>
      </c>
      <c r="K104" s="36"/>
      <c r="L104" s="229"/>
      <c r="M104" s="216">
        <f>ROUND((O103+(N104)/2)*Q104/12,2)</f>
        <v>0</v>
      </c>
      <c r="N104" s="224">
        <v>0</v>
      </c>
      <c r="O104" s="216">
        <f>O103+L104+M104+N104</f>
        <v>0</v>
      </c>
      <c r="Q104" s="146">
        <f t="shared" si="61"/>
        <v>3.2500000000000001E-2</v>
      </c>
      <c r="T104" s="174"/>
    </row>
    <row r="105" spans="1:20" ht="15" customHeight="1">
      <c r="A105" s="144">
        <f t="shared" si="58"/>
        <v>44172</v>
      </c>
      <c r="B105" s="145"/>
      <c r="C105" s="227"/>
      <c r="D105" s="216">
        <f t="shared" si="59"/>
        <v>9251.27</v>
      </c>
      <c r="E105" s="224">
        <v>-641065.5</v>
      </c>
      <c r="F105" s="229">
        <f t="shared" si="55"/>
        <v>3104571.1099999994</v>
      </c>
      <c r="G105" s="36"/>
      <c r="H105" s="175">
        <f>H104</f>
        <v>3.2500000000000001E-2</v>
      </c>
      <c r="I105" s="36"/>
      <c r="J105" s="176">
        <f t="shared" si="54"/>
        <v>44172</v>
      </c>
      <c r="K105" s="177"/>
      <c r="L105" s="231"/>
      <c r="M105" s="216">
        <f t="shared" si="60"/>
        <v>0</v>
      </c>
      <c r="N105" s="224">
        <v>0</v>
      </c>
      <c r="O105" s="216">
        <f t="shared" si="57"/>
        <v>0</v>
      </c>
      <c r="Q105" s="146">
        <f t="shared" si="61"/>
        <v>3.2500000000000001E-2</v>
      </c>
      <c r="T105" s="174"/>
    </row>
    <row r="106" spans="1:20" ht="33" customHeight="1">
      <c r="B106" s="148" t="s">
        <v>126</v>
      </c>
      <c r="C106" s="305" t="s">
        <v>190</v>
      </c>
      <c r="D106" s="305"/>
      <c r="E106" s="305"/>
      <c r="F106" s="305"/>
      <c r="G106" s="305"/>
      <c r="H106" s="305"/>
      <c r="K106" s="148" t="s">
        <v>126</v>
      </c>
      <c r="L106" s="305" t="s">
        <v>190</v>
      </c>
      <c r="M106" s="305"/>
      <c r="N106" s="305"/>
      <c r="O106" s="305"/>
      <c r="P106" s="305"/>
      <c r="Q106" s="305"/>
    </row>
    <row r="107" spans="1:20" ht="11.45" customHeight="1">
      <c r="E107" s="229"/>
      <c r="F107" s="229"/>
      <c r="G107" s="36"/>
      <c r="H107" s="36"/>
      <c r="I107" s="36"/>
      <c r="J107" s="36"/>
      <c r="K107" s="36"/>
      <c r="L107" s="229"/>
      <c r="M107" s="229"/>
      <c r="N107" s="229"/>
    </row>
    <row r="108" spans="1:20" ht="16.149999999999999" customHeight="1">
      <c r="A108" s="213">
        <v>182338</v>
      </c>
      <c r="B108" s="213" t="s">
        <v>52</v>
      </c>
      <c r="C108" s="217" t="s">
        <v>92</v>
      </c>
      <c r="D108" s="217" t="s">
        <v>93</v>
      </c>
      <c r="E108" s="232"/>
      <c r="F108" s="229" t="s">
        <v>95</v>
      </c>
      <c r="G108" s="36"/>
      <c r="H108" s="178" t="s">
        <v>93</v>
      </c>
      <c r="I108" s="36"/>
      <c r="J108" s="213">
        <f>A108</f>
        <v>182338</v>
      </c>
      <c r="K108" s="162" t="s">
        <v>53</v>
      </c>
      <c r="L108" s="232" t="s">
        <v>92</v>
      </c>
      <c r="M108" s="232" t="s">
        <v>93</v>
      </c>
      <c r="N108" s="232"/>
      <c r="O108" s="216" t="s">
        <v>95</v>
      </c>
      <c r="Q108" s="214" t="s">
        <v>93</v>
      </c>
    </row>
    <row r="109" spans="1:20">
      <c r="A109" s="160" t="s">
        <v>147</v>
      </c>
      <c r="B109" s="160" t="s">
        <v>142</v>
      </c>
      <c r="C109" s="217" t="s">
        <v>96</v>
      </c>
      <c r="D109" s="217" t="s">
        <v>97</v>
      </c>
      <c r="E109" s="232" t="s">
        <v>98</v>
      </c>
      <c r="F109" s="229" t="s">
        <v>94</v>
      </c>
      <c r="G109" s="36"/>
      <c r="H109" s="178" t="s">
        <v>99</v>
      </c>
      <c r="I109" s="36"/>
      <c r="J109" s="48" t="str">
        <f>A109</f>
        <v xml:space="preserve">Non-Res Surcharge Approved </v>
      </c>
      <c r="K109" s="160" t="s">
        <v>142</v>
      </c>
      <c r="L109" s="232" t="s">
        <v>96</v>
      </c>
      <c r="M109" s="232" t="s">
        <v>97</v>
      </c>
      <c r="N109" s="232" t="s">
        <v>98</v>
      </c>
      <c r="O109" s="216" t="s">
        <v>94</v>
      </c>
      <c r="Q109" s="214" t="s">
        <v>99</v>
      </c>
    </row>
    <row r="110" spans="1:20">
      <c r="A110" s="144">
        <f>$A$25</f>
        <v>43800</v>
      </c>
      <c r="B110" s="145"/>
      <c r="E110" s="229"/>
      <c r="F110" s="228">
        <v>6276044.8799999999</v>
      </c>
      <c r="G110" s="36"/>
      <c r="H110" s="36"/>
      <c r="I110" s="36"/>
      <c r="J110" s="176">
        <f t="shared" ref="J110:J122" si="62">A110</f>
        <v>43800</v>
      </c>
      <c r="K110" s="177"/>
      <c r="L110" s="229"/>
      <c r="M110" s="229"/>
      <c r="N110" s="229"/>
      <c r="O110" s="233">
        <v>740948.34</v>
      </c>
    </row>
    <row r="111" spans="1:20">
      <c r="A111" s="144">
        <f>A110+31</f>
        <v>43831</v>
      </c>
      <c r="D111" s="216">
        <f>ROUND((F110+(E111)/2)*H111/12,2)</f>
        <v>24654.49</v>
      </c>
      <c r="E111" s="224">
        <v>-622499.38</v>
      </c>
      <c r="F111" s="229">
        <f>F110+C111+D111+E111</f>
        <v>5678199.9900000002</v>
      </c>
      <c r="G111" s="36"/>
      <c r="H111" s="175">
        <f t="shared" ref="H111:H122" si="63">H26</f>
        <v>4.9599999999999998E-2</v>
      </c>
      <c r="I111" s="36"/>
      <c r="J111" s="176">
        <f t="shared" si="62"/>
        <v>43831</v>
      </c>
      <c r="K111" s="36"/>
      <c r="L111" s="229"/>
      <c r="M111" s="216">
        <f>ROUND((O110+(N111)/2)*Q111/12,2)</f>
        <v>2769.89</v>
      </c>
      <c r="N111" s="224">
        <v>-141625.04</v>
      </c>
      <c r="O111" s="216">
        <f>O110+L111+M111+N111</f>
        <v>602093.18999999994</v>
      </c>
      <c r="Q111" s="146">
        <f>H111</f>
        <v>4.9599999999999998E-2</v>
      </c>
    </row>
    <row r="112" spans="1:20">
      <c r="A112" s="144">
        <f t="shared" ref="A112:A122" si="64">A111+31</f>
        <v>43862</v>
      </c>
      <c r="D112" s="216">
        <f t="shared" ref="D112:D122" si="65">ROUND((F111+(E112)/2)*H112/12,2)</f>
        <v>22263.34</v>
      </c>
      <c r="E112" s="224">
        <v>-583816.39</v>
      </c>
      <c r="F112" s="229">
        <f>F111+C112+D112+E112</f>
        <v>5116646.9400000004</v>
      </c>
      <c r="G112" s="223"/>
      <c r="H112" s="175">
        <f t="shared" si="63"/>
        <v>4.9599999999999998E-2</v>
      </c>
      <c r="I112" s="36"/>
      <c r="J112" s="176">
        <f t="shared" si="62"/>
        <v>43862</v>
      </c>
      <c r="K112" s="36"/>
      <c r="L112" s="229"/>
      <c r="M112" s="216">
        <f t="shared" ref="M112:M122" si="66">ROUND((O111+(N112)/2)*Q112/12,2)</f>
        <v>2202</v>
      </c>
      <c r="N112" s="224">
        <v>-138701.64000000001</v>
      </c>
      <c r="O112" s="216">
        <f>O111+L112+M112+N112</f>
        <v>465593.54999999993</v>
      </c>
      <c r="P112" s="223"/>
      <c r="Q112" s="146">
        <f t="shared" ref="Q112:Q122" si="67">H112</f>
        <v>4.9599999999999998E-2</v>
      </c>
    </row>
    <row r="113" spans="1:17">
      <c r="A113" s="144">
        <f t="shared" si="64"/>
        <v>43893</v>
      </c>
      <c r="D113" s="216">
        <f t="shared" si="65"/>
        <v>19936.349999999999</v>
      </c>
      <c r="E113" s="224">
        <v>-586671.69999999995</v>
      </c>
      <c r="F113" s="229">
        <f>F112+C113+D113+E113</f>
        <v>4549911.59</v>
      </c>
      <c r="G113" s="36"/>
      <c r="H113" s="175">
        <f t="shared" si="63"/>
        <v>4.9599999999999998E-2</v>
      </c>
      <c r="I113" s="36"/>
      <c r="J113" s="176">
        <f t="shared" si="62"/>
        <v>43893</v>
      </c>
      <c r="K113" s="36"/>
      <c r="L113" s="229"/>
      <c r="M113" s="216">
        <f t="shared" si="66"/>
        <v>1663.76</v>
      </c>
      <c r="N113" s="224">
        <v>-126141.67</v>
      </c>
      <c r="O113" s="216">
        <f>O112+L113+M113+N113</f>
        <v>341115.63999999996</v>
      </c>
      <c r="Q113" s="146">
        <f t="shared" si="67"/>
        <v>4.9599999999999998E-2</v>
      </c>
    </row>
    <row r="114" spans="1:17">
      <c r="A114" s="144">
        <f t="shared" si="64"/>
        <v>43924</v>
      </c>
      <c r="D114" s="216">
        <f t="shared" si="65"/>
        <v>17040.259999999998</v>
      </c>
      <c r="E114" s="224">
        <v>-490007.95</v>
      </c>
      <c r="F114" s="229">
        <f>F113+C114+D114+E114</f>
        <v>4076943.8999999994</v>
      </c>
      <c r="G114" s="36"/>
      <c r="H114" s="175">
        <f t="shared" si="63"/>
        <v>4.7500000000000001E-2</v>
      </c>
      <c r="I114" s="36"/>
      <c r="J114" s="176">
        <f t="shared" si="62"/>
        <v>43924</v>
      </c>
      <c r="K114" s="36"/>
      <c r="L114" s="229"/>
      <c r="M114" s="216">
        <f t="shared" si="66"/>
        <v>1223.67</v>
      </c>
      <c r="N114" s="224">
        <v>-63954.77</v>
      </c>
      <c r="O114" s="216">
        <f>O113+L114+M114+N114</f>
        <v>278384.53999999992</v>
      </c>
      <c r="Q114" s="146">
        <f t="shared" si="67"/>
        <v>4.7500000000000001E-2</v>
      </c>
    </row>
    <row r="115" spans="1:17">
      <c r="A115" s="144">
        <f t="shared" si="64"/>
        <v>43955</v>
      </c>
      <c r="D115" s="216">
        <f t="shared" si="65"/>
        <v>15107.21</v>
      </c>
      <c r="E115" s="224">
        <v>-520770.12</v>
      </c>
      <c r="F115" s="229">
        <f t="shared" ref="F115:F122" si="68">F114+C115+D115+E115</f>
        <v>3571280.9899999993</v>
      </c>
      <c r="G115" s="36"/>
      <c r="H115" s="175">
        <f t="shared" si="63"/>
        <v>4.7500000000000001E-2</v>
      </c>
      <c r="I115" s="36"/>
      <c r="J115" s="176">
        <f t="shared" si="62"/>
        <v>43955</v>
      </c>
      <c r="K115" s="36"/>
      <c r="L115" s="229"/>
      <c r="M115" s="216">
        <f t="shared" si="66"/>
        <v>1000.77</v>
      </c>
      <c r="N115" s="224">
        <v>-51119.15</v>
      </c>
      <c r="O115" s="216">
        <f t="shared" ref="O115:O122" si="69">O114+L115+M115+N115</f>
        <v>228266.15999999995</v>
      </c>
      <c r="Q115" s="146">
        <f t="shared" si="67"/>
        <v>4.7500000000000001E-2</v>
      </c>
    </row>
    <row r="116" spans="1:17">
      <c r="A116" s="144">
        <f t="shared" si="64"/>
        <v>43986</v>
      </c>
      <c r="D116" s="216">
        <f t="shared" si="65"/>
        <v>13006.58</v>
      </c>
      <c r="E116" s="224">
        <v>-570817.23</v>
      </c>
      <c r="F116" s="229">
        <f t="shared" si="68"/>
        <v>3013470.3399999994</v>
      </c>
      <c r="G116" s="36"/>
      <c r="H116" s="175">
        <f t="shared" si="63"/>
        <v>4.7500000000000001E-2</v>
      </c>
      <c r="I116" s="36"/>
      <c r="J116" s="176">
        <f t="shared" si="62"/>
        <v>43986</v>
      </c>
      <c r="K116" s="36"/>
      <c r="L116" s="229"/>
      <c r="M116" s="216">
        <f t="shared" si="66"/>
        <v>837.99</v>
      </c>
      <c r="N116" s="224">
        <v>-33127.93</v>
      </c>
      <c r="O116" s="216">
        <f t="shared" si="69"/>
        <v>195976.21999999994</v>
      </c>
      <c r="Q116" s="146">
        <f t="shared" si="67"/>
        <v>4.7500000000000001E-2</v>
      </c>
    </row>
    <row r="117" spans="1:17">
      <c r="A117" s="144">
        <f t="shared" si="64"/>
        <v>44017</v>
      </c>
      <c r="B117" s="36" t="s">
        <v>126</v>
      </c>
      <c r="C117" s="229">
        <f>IF(C84&lt;0,-C84,0)</f>
        <v>7047932.8499999996</v>
      </c>
      <c r="D117" s="229">
        <f>ROUND((F116+(E117)/2)*H117/12,2)</f>
        <v>7688.55</v>
      </c>
      <c r="E117" s="224">
        <v>-647195.82999999996</v>
      </c>
      <c r="F117" s="229">
        <f>F116+C117+D117+E117-IF(C84&lt;0,-C84,0)</f>
        <v>2373963.0600000005</v>
      </c>
      <c r="G117" s="36"/>
      <c r="H117" s="175">
        <f t="shared" si="63"/>
        <v>3.4299999999999997E-2</v>
      </c>
      <c r="I117" s="36"/>
      <c r="J117" s="176">
        <f t="shared" si="62"/>
        <v>44017</v>
      </c>
      <c r="K117" s="36" t="s">
        <v>126</v>
      </c>
      <c r="L117" s="229">
        <f>IF(L84&lt;0,-L84,0)</f>
        <v>64985.200000000004</v>
      </c>
      <c r="M117" s="229">
        <f>ROUND((O116+(N117)/2)*Q117/12,2)</f>
        <v>515.39</v>
      </c>
      <c r="N117" s="224">
        <v>-31329.09</v>
      </c>
      <c r="O117" s="216">
        <f>O116+L117+M117+N117-IF(L84&lt;0,-L84,0)</f>
        <v>165162.51999999996</v>
      </c>
      <c r="Q117" s="146">
        <f t="shared" si="67"/>
        <v>3.4299999999999997E-2</v>
      </c>
    </row>
    <row r="118" spans="1:17">
      <c r="A118" s="144">
        <f t="shared" si="64"/>
        <v>44048</v>
      </c>
      <c r="B118" s="36" t="s">
        <v>126</v>
      </c>
      <c r="C118" s="229">
        <f>IF(F106&gt;0,IF(F83+F117-C117&lt;0,-F117,-C152),IF(F83+F151-C151&lt;0,-F117,-C152))</f>
        <v>0</v>
      </c>
      <c r="D118" s="229">
        <f>ROUND((C117+F117+C118+(E118)/2)*H118/12,2)</f>
        <v>26025.73</v>
      </c>
      <c r="E118" s="224">
        <v>-633365.26</v>
      </c>
      <c r="F118" s="229">
        <f>F117+C118+D118+E118+IF(C84&lt;0,-C84,0)</f>
        <v>8814556.3800000008</v>
      </c>
      <c r="G118" s="36"/>
      <c r="H118" s="175">
        <f t="shared" si="63"/>
        <v>3.4299999999999997E-2</v>
      </c>
      <c r="I118" s="36"/>
      <c r="J118" s="176">
        <f t="shared" si="62"/>
        <v>44048</v>
      </c>
      <c r="K118" s="36" t="s">
        <v>126</v>
      </c>
      <c r="L118" s="229">
        <f>IF(O106&gt;0,IF(O83+O117-L117&lt;0,-O117,-L152),IF(O83+O151-L151&lt;0,-O117,-L152))</f>
        <v>0</v>
      </c>
      <c r="M118" s="229">
        <f>ROUND((L117+O117+L118+(N118)/2)*Q118/12,2)</f>
        <v>647.4</v>
      </c>
      <c r="N118" s="224">
        <v>-7304.3</v>
      </c>
      <c r="O118" s="216">
        <f>O117+L118+M118+N118+IF(L84&lt;0,-L84,0)</f>
        <v>223490.81999999998</v>
      </c>
      <c r="Q118" s="146">
        <f t="shared" si="67"/>
        <v>3.4299999999999997E-2</v>
      </c>
    </row>
    <row r="119" spans="1:17">
      <c r="A119" s="144">
        <f t="shared" si="64"/>
        <v>44079</v>
      </c>
      <c r="D119" s="216">
        <f t="shared" si="65"/>
        <v>24334</v>
      </c>
      <c r="E119" s="224">
        <v>-602410.23</v>
      </c>
      <c r="F119" s="229">
        <f>F118+C119+D119+E119</f>
        <v>8236480.1500000004</v>
      </c>
      <c r="G119" s="36"/>
      <c r="H119" s="175">
        <f t="shared" si="63"/>
        <v>3.4299999999999997E-2</v>
      </c>
      <c r="I119" s="36"/>
      <c r="J119" s="176">
        <f t="shared" si="62"/>
        <v>44079</v>
      </c>
      <c r="K119" s="36"/>
      <c r="L119" s="229"/>
      <c r="M119" s="216">
        <f t="shared" si="66"/>
        <v>626.64</v>
      </c>
      <c r="N119" s="224">
        <v>-8517.16</v>
      </c>
      <c r="O119" s="216">
        <f>O118+L119+M119+N119</f>
        <v>215600.3</v>
      </c>
      <c r="Q119" s="146">
        <f t="shared" si="67"/>
        <v>3.4299999999999997E-2</v>
      </c>
    </row>
    <row r="120" spans="1:17">
      <c r="A120" s="144">
        <f t="shared" si="64"/>
        <v>44110</v>
      </c>
      <c r="C120" s="229"/>
      <c r="D120" s="216">
        <f>ROUND((F119+(E120)/2)*H120/12,2)</f>
        <v>21425.78</v>
      </c>
      <c r="E120" s="224">
        <v>-650847.06000000006</v>
      </c>
      <c r="F120" s="229">
        <f>F119+C120+D120+E120</f>
        <v>7607058.870000001</v>
      </c>
      <c r="G120" s="36"/>
      <c r="H120" s="175">
        <f t="shared" si="63"/>
        <v>3.2500000000000001E-2</v>
      </c>
      <c r="I120" s="36"/>
      <c r="J120" s="176">
        <f t="shared" si="62"/>
        <v>44110</v>
      </c>
      <c r="L120" s="229"/>
      <c r="M120" s="216">
        <f>ROUND((O119+(N120)/2)*Q120/12,2)</f>
        <v>556.86</v>
      </c>
      <c r="N120" s="224">
        <v>-19979.05</v>
      </c>
      <c r="O120" s="216">
        <f>O119+L120+M120+N120</f>
        <v>196178.11</v>
      </c>
      <c r="Q120" s="146">
        <f t="shared" si="67"/>
        <v>3.2500000000000001E-2</v>
      </c>
    </row>
    <row r="121" spans="1:17">
      <c r="A121" s="144">
        <f t="shared" si="64"/>
        <v>44141</v>
      </c>
      <c r="B121" s="36"/>
      <c r="C121" s="229"/>
      <c r="D121" s="216">
        <f>ROUND((F120+(E121)/2)*H121/12,2)</f>
        <v>19883.04</v>
      </c>
      <c r="E121" s="224">
        <v>-531260.64</v>
      </c>
      <c r="F121" s="229">
        <f t="shared" si="68"/>
        <v>7095681.2700000014</v>
      </c>
      <c r="G121" s="36"/>
      <c r="H121" s="175">
        <f t="shared" si="63"/>
        <v>3.2500000000000001E-2</v>
      </c>
      <c r="I121" s="36"/>
      <c r="J121" s="176">
        <f t="shared" si="62"/>
        <v>44141</v>
      </c>
      <c r="K121" s="36"/>
      <c r="L121" s="229"/>
      <c r="M121" s="216">
        <f>ROUND((O120+(N121)/2)*Q121/12,2)</f>
        <v>499.71</v>
      </c>
      <c r="N121" s="224">
        <v>-23340.97</v>
      </c>
      <c r="O121" s="216">
        <f t="shared" si="69"/>
        <v>173336.84999999998</v>
      </c>
      <c r="Q121" s="146">
        <f t="shared" si="67"/>
        <v>3.2500000000000001E-2</v>
      </c>
    </row>
    <row r="122" spans="1:17">
      <c r="A122" s="144">
        <f t="shared" si="64"/>
        <v>44172</v>
      </c>
      <c r="D122" s="216">
        <f t="shared" si="65"/>
        <v>18422.13</v>
      </c>
      <c r="E122" s="224">
        <v>-587329.65</v>
      </c>
      <c r="F122" s="229">
        <f t="shared" si="68"/>
        <v>6526773.7500000009</v>
      </c>
      <c r="G122" s="36"/>
      <c r="H122" s="175">
        <f t="shared" si="63"/>
        <v>3.2500000000000001E-2</v>
      </c>
      <c r="I122" s="36"/>
      <c r="J122" s="176">
        <f t="shared" si="62"/>
        <v>44172</v>
      </c>
      <c r="K122" s="36"/>
      <c r="L122" s="229"/>
      <c r="M122" s="216">
        <f t="shared" si="66"/>
        <v>426.84</v>
      </c>
      <c r="N122" s="224">
        <v>-31469.95</v>
      </c>
      <c r="O122" s="216">
        <f t="shared" si="69"/>
        <v>142293.73999999996</v>
      </c>
      <c r="Q122" s="146">
        <f t="shared" si="67"/>
        <v>3.2500000000000001E-2</v>
      </c>
    </row>
    <row r="123" spans="1:17" ht="33" customHeight="1">
      <c r="A123" s="144"/>
      <c r="B123" s="148" t="s">
        <v>126</v>
      </c>
      <c r="C123" s="305" t="s">
        <v>190</v>
      </c>
      <c r="D123" s="305"/>
      <c r="E123" s="305"/>
      <c r="F123" s="305"/>
      <c r="G123" s="305"/>
      <c r="H123" s="305"/>
      <c r="K123" s="148" t="s">
        <v>126</v>
      </c>
      <c r="L123" s="305" t="s">
        <v>190</v>
      </c>
      <c r="M123" s="305"/>
      <c r="N123" s="305"/>
      <c r="O123" s="305"/>
      <c r="P123" s="305"/>
      <c r="Q123" s="305"/>
    </row>
    <row r="124" spans="1:17">
      <c r="A124" s="144"/>
      <c r="H124" s="146"/>
      <c r="J124" s="144"/>
      <c r="Q124" s="146"/>
    </row>
    <row r="125" spans="1:17">
      <c r="A125" s="213">
        <v>254328</v>
      </c>
      <c r="B125" s="213" t="s">
        <v>52</v>
      </c>
      <c r="C125" s="217" t="s">
        <v>92</v>
      </c>
      <c r="D125" s="217" t="s">
        <v>93</v>
      </c>
      <c r="E125" s="217"/>
      <c r="F125" s="216" t="s">
        <v>95</v>
      </c>
      <c r="H125" s="214" t="s">
        <v>93</v>
      </c>
      <c r="J125" s="213">
        <f>A125</f>
        <v>254328</v>
      </c>
      <c r="K125" s="213" t="s">
        <v>53</v>
      </c>
      <c r="L125" s="217" t="s">
        <v>92</v>
      </c>
      <c r="M125" s="217" t="s">
        <v>93</v>
      </c>
      <c r="N125" s="217"/>
      <c r="O125" s="216" t="s">
        <v>95</v>
      </c>
      <c r="Q125" s="214" t="s">
        <v>93</v>
      </c>
    </row>
    <row r="126" spans="1:17">
      <c r="A126" s="160" t="s">
        <v>148</v>
      </c>
      <c r="B126" s="160" t="s">
        <v>142</v>
      </c>
      <c r="C126" s="217" t="s">
        <v>96</v>
      </c>
      <c r="D126" s="217" t="s">
        <v>97</v>
      </c>
      <c r="E126" s="217" t="s">
        <v>98</v>
      </c>
      <c r="F126" s="216" t="s">
        <v>94</v>
      </c>
      <c r="H126" s="214" t="s">
        <v>99</v>
      </c>
      <c r="J126" s="160" t="str">
        <f>A126</f>
        <v>Res Rebate Approved</v>
      </c>
      <c r="K126" s="160" t="s">
        <v>142</v>
      </c>
      <c r="L126" s="217" t="s">
        <v>96</v>
      </c>
      <c r="M126" s="217" t="s">
        <v>97</v>
      </c>
      <c r="N126" s="217" t="s">
        <v>98</v>
      </c>
      <c r="O126" s="216" t="s">
        <v>94</v>
      </c>
      <c r="Q126" s="214" t="s">
        <v>99</v>
      </c>
    </row>
    <row r="127" spans="1:17">
      <c r="A127" s="144">
        <f>$A$25</f>
        <v>43800</v>
      </c>
      <c r="B127" s="145"/>
      <c r="F127" s="233">
        <v>0</v>
      </c>
      <c r="J127" s="144">
        <f t="shared" ref="J127:J139" si="70">A127</f>
        <v>43800</v>
      </c>
      <c r="K127" s="145"/>
      <c r="O127" s="233">
        <v>0</v>
      </c>
    </row>
    <row r="128" spans="1:17">
      <c r="A128" s="144">
        <f>A127+31</f>
        <v>43831</v>
      </c>
      <c r="D128" s="216">
        <f>ROUND((F127+(E128)/2)*H128/12,2)</f>
        <v>0</v>
      </c>
      <c r="E128" s="234">
        <v>0</v>
      </c>
      <c r="F128" s="216">
        <f t="shared" ref="F128:F139" si="71">F127+C128+D128+E128</f>
        <v>0</v>
      </c>
      <c r="H128" s="146">
        <f t="shared" ref="H128:H139" si="72">H26</f>
        <v>4.9599999999999998E-2</v>
      </c>
      <c r="J128" s="144">
        <f t="shared" si="70"/>
        <v>43831</v>
      </c>
      <c r="M128" s="216">
        <f>ROUND((O127+(N128)/2)*Q128/12,2)</f>
        <v>0</v>
      </c>
      <c r="N128" s="234">
        <v>0</v>
      </c>
      <c r="O128" s="216">
        <f t="shared" ref="O128:O139" si="73">O127+L128+M128+N128</f>
        <v>0</v>
      </c>
      <c r="Q128" s="146">
        <f>H128</f>
        <v>4.9599999999999998E-2</v>
      </c>
    </row>
    <row r="129" spans="1:17">
      <c r="A129" s="144">
        <f t="shared" ref="A129:A139" si="74">A128+31</f>
        <v>43862</v>
      </c>
      <c r="D129" s="216">
        <f t="shared" ref="D129:D139" si="75">ROUND((F128+(E129)/2)*H129/12,2)</f>
        <v>0</v>
      </c>
      <c r="E129" s="234">
        <v>0</v>
      </c>
      <c r="F129" s="216">
        <f t="shared" si="71"/>
        <v>0</v>
      </c>
      <c r="G129" s="223"/>
      <c r="H129" s="146">
        <f t="shared" si="72"/>
        <v>4.9599999999999998E-2</v>
      </c>
      <c r="J129" s="144">
        <f t="shared" si="70"/>
        <v>43862</v>
      </c>
      <c r="M129" s="216">
        <f t="shared" ref="M129:M139" si="76">ROUND((O128+(N129)/2)*Q129/12,2)</f>
        <v>0</v>
      </c>
      <c r="N129" s="234">
        <v>0</v>
      </c>
      <c r="O129" s="216">
        <f t="shared" si="73"/>
        <v>0</v>
      </c>
      <c r="P129" s="223"/>
      <c r="Q129" s="146">
        <f t="shared" ref="Q129:Q139" si="77">H129</f>
        <v>4.9599999999999998E-2</v>
      </c>
    </row>
    <row r="130" spans="1:17">
      <c r="A130" s="144">
        <f t="shared" si="74"/>
        <v>43893</v>
      </c>
      <c r="D130" s="216">
        <f t="shared" si="75"/>
        <v>0</v>
      </c>
      <c r="E130" s="234">
        <v>0</v>
      </c>
      <c r="F130" s="216">
        <f t="shared" si="71"/>
        <v>0</v>
      </c>
      <c r="H130" s="146">
        <f t="shared" si="72"/>
        <v>4.9599999999999998E-2</v>
      </c>
      <c r="J130" s="144">
        <f t="shared" si="70"/>
        <v>43893</v>
      </c>
      <c r="M130" s="216">
        <f t="shared" si="76"/>
        <v>0</v>
      </c>
      <c r="N130" s="234">
        <v>0</v>
      </c>
      <c r="O130" s="216">
        <f t="shared" si="73"/>
        <v>0</v>
      </c>
      <c r="Q130" s="146">
        <f t="shared" si="77"/>
        <v>4.9599999999999998E-2</v>
      </c>
    </row>
    <row r="131" spans="1:17">
      <c r="A131" s="144">
        <f t="shared" si="74"/>
        <v>43924</v>
      </c>
      <c r="D131" s="216">
        <f t="shared" si="75"/>
        <v>0</v>
      </c>
      <c r="E131" s="234">
        <v>0</v>
      </c>
      <c r="F131" s="216">
        <f t="shared" si="71"/>
        <v>0</v>
      </c>
      <c r="H131" s="146">
        <f t="shared" si="72"/>
        <v>4.7500000000000001E-2</v>
      </c>
      <c r="J131" s="144">
        <f t="shared" si="70"/>
        <v>43924</v>
      </c>
      <c r="M131" s="216">
        <f t="shared" si="76"/>
        <v>0</v>
      </c>
      <c r="N131" s="234">
        <v>0</v>
      </c>
      <c r="O131" s="216">
        <f t="shared" si="73"/>
        <v>0</v>
      </c>
      <c r="Q131" s="146">
        <f t="shared" si="77"/>
        <v>4.7500000000000001E-2</v>
      </c>
    </row>
    <row r="132" spans="1:17">
      <c r="A132" s="144">
        <f t="shared" si="74"/>
        <v>43955</v>
      </c>
      <c r="D132" s="216">
        <f t="shared" si="75"/>
        <v>0</v>
      </c>
      <c r="E132" s="234">
        <v>0</v>
      </c>
      <c r="F132" s="216">
        <f t="shared" si="71"/>
        <v>0</v>
      </c>
      <c r="H132" s="146">
        <f t="shared" si="72"/>
        <v>4.7500000000000001E-2</v>
      </c>
      <c r="J132" s="144">
        <f t="shared" si="70"/>
        <v>43955</v>
      </c>
      <c r="M132" s="216">
        <f t="shared" si="76"/>
        <v>0</v>
      </c>
      <c r="N132" s="234">
        <v>0</v>
      </c>
      <c r="O132" s="216">
        <f t="shared" si="73"/>
        <v>0</v>
      </c>
      <c r="Q132" s="146">
        <f t="shared" si="77"/>
        <v>4.7500000000000001E-2</v>
      </c>
    </row>
    <row r="133" spans="1:17">
      <c r="A133" s="144">
        <f t="shared" si="74"/>
        <v>43986</v>
      </c>
      <c r="D133" s="216">
        <f t="shared" si="75"/>
        <v>0</v>
      </c>
      <c r="E133" s="234">
        <v>0</v>
      </c>
      <c r="F133" s="216">
        <f t="shared" si="71"/>
        <v>0</v>
      </c>
      <c r="H133" s="146">
        <f t="shared" si="72"/>
        <v>4.7500000000000001E-2</v>
      </c>
      <c r="J133" s="144">
        <f t="shared" si="70"/>
        <v>43986</v>
      </c>
      <c r="M133" s="216">
        <f t="shared" si="76"/>
        <v>0</v>
      </c>
      <c r="N133" s="234">
        <v>0</v>
      </c>
      <c r="O133" s="216">
        <f t="shared" si="73"/>
        <v>0</v>
      </c>
      <c r="Q133" s="146">
        <f t="shared" si="77"/>
        <v>4.7500000000000001E-2</v>
      </c>
    </row>
    <row r="134" spans="1:17">
      <c r="A134" s="144">
        <f t="shared" si="74"/>
        <v>44017</v>
      </c>
      <c r="B134" s="36" t="s">
        <v>126</v>
      </c>
      <c r="C134" s="229">
        <f>IF(C66&gt;0,-C66,0)</f>
        <v>0</v>
      </c>
      <c r="D134" s="229">
        <f>ROUND((F133+(E134)/2)*H134/12,2)</f>
        <v>0</v>
      </c>
      <c r="E134" s="234">
        <v>0</v>
      </c>
      <c r="F134" s="216">
        <f t="shared" si="71"/>
        <v>0</v>
      </c>
      <c r="H134" s="146">
        <f t="shared" si="72"/>
        <v>3.4299999999999997E-2</v>
      </c>
      <c r="J134" s="144">
        <f t="shared" si="70"/>
        <v>44017</v>
      </c>
      <c r="K134" s="36" t="s">
        <v>126</v>
      </c>
      <c r="L134" s="229">
        <f>IF(L66&gt;0,-L66,0)</f>
        <v>-1082597.96</v>
      </c>
      <c r="M134" s="229">
        <f>ROUND((O133+(N134)/2)*Q134/12,2)</f>
        <v>0</v>
      </c>
      <c r="N134" s="233">
        <v>0</v>
      </c>
      <c r="O134" s="216">
        <f>O133+L134+M134+N134-IF(L66&gt;0,-L66,0)</f>
        <v>0</v>
      </c>
      <c r="Q134" s="146">
        <f t="shared" si="77"/>
        <v>3.4299999999999997E-2</v>
      </c>
    </row>
    <row r="135" spans="1:17">
      <c r="A135" s="144">
        <f t="shared" si="74"/>
        <v>44048</v>
      </c>
      <c r="B135" s="36" t="s">
        <v>126</v>
      </c>
      <c r="C135" s="229">
        <f>IF(F124&gt;=0,IF(F65+F100-C100&lt;0,-C101,-C134),IF(F65+F134-C134&gt;0,-F134,-C101))</f>
        <v>0</v>
      </c>
      <c r="D135" s="229">
        <f>ROUND((C134+F134+C135+(E135)/2)*H135/12,2)</f>
        <v>0</v>
      </c>
      <c r="E135" s="234">
        <v>0</v>
      </c>
      <c r="F135" s="216">
        <f t="shared" si="71"/>
        <v>0</v>
      </c>
      <c r="H135" s="146">
        <f t="shared" si="72"/>
        <v>3.4299999999999997E-2</v>
      </c>
      <c r="J135" s="144">
        <f t="shared" si="70"/>
        <v>44048</v>
      </c>
      <c r="K135" s="36" t="s">
        <v>126</v>
      </c>
      <c r="L135" s="229">
        <f>IF(O124&gt;=0,IF(O65+O100-L100&lt;0,-L101,-L134),IF(O65+O134-L134&gt;0,-O134,-L101))</f>
        <v>240329.66000000009</v>
      </c>
      <c r="M135" s="229">
        <f>ROUND((L134+O134+L135+(N135)/2)*Q135/12,2)</f>
        <v>-2384.98</v>
      </c>
      <c r="N135" s="233">
        <v>15749.12</v>
      </c>
      <c r="O135" s="216">
        <f>O134+L135+M135+N135+IF(L66&gt;0,-L66,0)</f>
        <v>-828904.15999999992</v>
      </c>
      <c r="Q135" s="146">
        <f t="shared" si="77"/>
        <v>3.4299999999999997E-2</v>
      </c>
    </row>
    <row r="136" spans="1:17">
      <c r="A136" s="144">
        <f t="shared" si="74"/>
        <v>44079</v>
      </c>
      <c r="D136" s="216">
        <f t="shared" si="75"/>
        <v>0</v>
      </c>
      <c r="E136" s="234">
        <v>0</v>
      </c>
      <c r="F136" s="216">
        <f t="shared" si="71"/>
        <v>0</v>
      </c>
      <c r="H136" s="146">
        <f t="shared" si="72"/>
        <v>3.4299999999999997E-2</v>
      </c>
      <c r="J136" s="144">
        <f t="shared" si="70"/>
        <v>44079</v>
      </c>
      <c r="M136" s="216">
        <f t="shared" si="76"/>
        <v>-2342.61</v>
      </c>
      <c r="N136" s="233">
        <v>18661.32</v>
      </c>
      <c r="O136" s="216">
        <f t="shared" si="73"/>
        <v>-812585.45</v>
      </c>
      <c r="Q136" s="146">
        <f t="shared" si="77"/>
        <v>3.4299999999999997E-2</v>
      </c>
    </row>
    <row r="137" spans="1:17">
      <c r="A137" s="144">
        <f t="shared" si="74"/>
        <v>44110</v>
      </c>
      <c r="C137" s="229"/>
      <c r="D137" s="216">
        <f>ROUND((F136+(E137)/2)*H137/12,2)</f>
        <v>0</v>
      </c>
      <c r="E137" s="234">
        <v>0</v>
      </c>
      <c r="F137" s="216">
        <f t="shared" si="71"/>
        <v>0</v>
      </c>
      <c r="H137" s="146">
        <f t="shared" si="72"/>
        <v>3.2500000000000001E-2</v>
      </c>
      <c r="J137" s="144">
        <f t="shared" si="70"/>
        <v>44110</v>
      </c>
      <c r="L137" s="229"/>
      <c r="M137" s="216">
        <f>ROUND((O136+(N137)/2)*Q137/12,2)</f>
        <v>-2121.0300000000002</v>
      </c>
      <c r="N137" s="233">
        <v>58870.65</v>
      </c>
      <c r="O137" s="216">
        <f t="shared" si="73"/>
        <v>-755835.83</v>
      </c>
      <c r="Q137" s="146">
        <f t="shared" si="77"/>
        <v>3.2500000000000001E-2</v>
      </c>
    </row>
    <row r="138" spans="1:17">
      <c r="A138" s="144">
        <f t="shared" si="74"/>
        <v>44141</v>
      </c>
      <c r="C138" s="229"/>
      <c r="D138" s="216">
        <f>ROUND((F137+(E138)/2)*H138/12,2)</f>
        <v>0</v>
      </c>
      <c r="E138" s="234">
        <v>0</v>
      </c>
      <c r="F138" s="216">
        <f t="shared" si="71"/>
        <v>0</v>
      </c>
      <c r="H138" s="146">
        <f t="shared" si="72"/>
        <v>3.2500000000000001E-2</v>
      </c>
      <c r="J138" s="144">
        <f t="shared" si="70"/>
        <v>44141</v>
      </c>
      <c r="L138" s="229"/>
      <c r="M138" s="216">
        <f>ROUND((O137+(N138)/2)*Q138/12,2)</f>
        <v>-1894.82</v>
      </c>
      <c r="N138" s="233">
        <v>112420.18</v>
      </c>
      <c r="O138" s="216">
        <f t="shared" si="73"/>
        <v>-645310.47</v>
      </c>
      <c r="Q138" s="146">
        <f t="shared" si="77"/>
        <v>3.2500000000000001E-2</v>
      </c>
    </row>
    <row r="139" spans="1:17">
      <c r="A139" s="144">
        <f t="shared" si="74"/>
        <v>44172</v>
      </c>
      <c r="B139" s="145"/>
      <c r="D139" s="216">
        <f t="shared" si="75"/>
        <v>0</v>
      </c>
      <c r="E139" s="234">
        <v>0</v>
      </c>
      <c r="F139" s="216">
        <f t="shared" si="71"/>
        <v>0</v>
      </c>
      <c r="H139" s="146">
        <f t="shared" si="72"/>
        <v>3.2500000000000001E-2</v>
      </c>
      <c r="J139" s="144">
        <f t="shared" si="70"/>
        <v>44172</v>
      </c>
      <c r="K139" s="145"/>
      <c r="M139" s="216">
        <f t="shared" si="76"/>
        <v>-1556.66</v>
      </c>
      <c r="N139" s="233">
        <v>141087.79</v>
      </c>
      <c r="O139" s="216">
        <f t="shared" si="73"/>
        <v>-505779.33999999997</v>
      </c>
      <c r="Q139" s="146">
        <f t="shared" si="77"/>
        <v>3.2500000000000001E-2</v>
      </c>
    </row>
    <row r="140" spans="1:17" ht="33" customHeight="1">
      <c r="A140" s="144"/>
      <c r="B140" s="148" t="s">
        <v>126</v>
      </c>
      <c r="C140" s="305" t="s">
        <v>190</v>
      </c>
      <c r="D140" s="305"/>
      <c r="E140" s="305"/>
      <c r="F140" s="305"/>
      <c r="G140" s="305"/>
      <c r="H140" s="305"/>
      <c r="K140" s="148" t="s">
        <v>126</v>
      </c>
      <c r="L140" s="305" t="s">
        <v>190</v>
      </c>
      <c r="M140" s="305"/>
      <c r="N140" s="305"/>
      <c r="O140" s="305"/>
      <c r="P140" s="305"/>
      <c r="Q140" s="305"/>
    </row>
    <row r="142" spans="1:17">
      <c r="A142" s="213">
        <v>254338</v>
      </c>
      <c r="B142" s="213" t="s">
        <v>52</v>
      </c>
      <c r="C142" s="217" t="s">
        <v>92</v>
      </c>
      <c r="D142" s="217" t="s">
        <v>93</v>
      </c>
      <c r="E142" s="217"/>
      <c r="F142" s="216" t="s">
        <v>95</v>
      </c>
      <c r="H142" s="214" t="s">
        <v>93</v>
      </c>
      <c r="J142" s="213">
        <f>A142</f>
        <v>254338</v>
      </c>
      <c r="K142" s="213" t="s">
        <v>53</v>
      </c>
      <c r="L142" s="217" t="s">
        <v>92</v>
      </c>
      <c r="M142" s="217" t="s">
        <v>93</v>
      </c>
      <c r="N142" s="217"/>
      <c r="O142" s="216" t="s">
        <v>95</v>
      </c>
      <c r="Q142" s="214" t="s">
        <v>93</v>
      </c>
    </row>
    <row r="143" spans="1:17">
      <c r="A143" s="160" t="s">
        <v>149</v>
      </c>
      <c r="B143" s="160" t="s">
        <v>142</v>
      </c>
      <c r="C143" s="217" t="s">
        <v>96</v>
      </c>
      <c r="D143" s="217" t="s">
        <v>97</v>
      </c>
      <c r="E143" s="217" t="s">
        <v>98</v>
      </c>
      <c r="F143" s="216" t="s">
        <v>94</v>
      </c>
      <c r="H143" s="214" t="s">
        <v>99</v>
      </c>
      <c r="J143" s="160" t="str">
        <f>A143</f>
        <v>Non-Res Rebate Approved</v>
      </c>
      <c r="K143" s="160" t="s">
        <v>142</v>
      </c>
      <c r="L143" s="217" t="s">
        <v>96</v>
      </c>
      <c r="M143" s="217" t="s">
        <v>97</v>
      </c>
      <c r="N143" s="217" t="s">
        <v>98</v>
      </c>
      <c r="O143" s="216" t="s">
        <v>94</v>
      </c>
      <c r="Q143" s="214" t="s">
        <v>99</v>
      </c>
    </row>
    <row r="144" spans="1:17">
      <c r="A144" s="144">
        <f>$A$25</f>
        <v>43800</v>
      </c>
      <c r="B144" s="145"/>
      <c r="F144" s="233">
        <v>0</v>
      </c>
      <c r="J144" s="144">
        <f t="shared" ref="J144:J156" si="78">A144</f>
        <v>43800</v>
      </c>
      <c r="K144" s="145"/>
      <c r="O144" s="233">
        <v>0</v>
      </c>
    </row>
    <row r="145" spans="1:17">
      <c r="A145" s="144">
        <f>A144+31</f>
        <v>43831</v>
      </c>
      <c r="D145" s="216">
        <f>ROUND((F144+(E145)/2)*H145/12,2)</f>
        <v>0</v>
      </c>
      <c r="E145" s="234">
        <v>0</v>
      </c>
      <c r="F145" s="216">
        <f>F144+C145+D145+E145</f>
        <v>0</v>
      </c>
      <c r="H145" s="146">
        <f t="shared" ref="H145:H156" si="79">H26</f>
        <v>4.9599999999999998E-2</v>
      </c>
      <c r="J145" s="144">
        <f t="shared" si="78"/>
        <v>43831</v>
      </c>
      <c r="M145" s="216">
        <f>ROUND((O144+(N145)/2)*Q145/12,2)</f>
        <v>0</v>
      </c>
      <c r="N145" s="234">
        <v>0</v>
      </c>
      <c r="O145" s="216">
        <f>O144+L145+M145+N145</f>
        <v>0</v>
      </c>
      <c r="Q145" s="146">
        <f>H145</f>
        <v>4.9599999999999998E-2</v>
      </c>
    </row>
    <row r="146" spans="1:17">
      <c r="A146" s="144">
        <f t="shared" ref="A146:A156" si="80">A145+31</f>
        <v>43862</v>
      </c>
      <c r="D146" s="216">
        <f t="shared" ref="D146:D156" si="81">ROUND((F145+(E146)/2)*H146/12,2)</f>
        <v>0</v>
      </c>
      <c r="E146" s="234">
        <v>0</v>
      </c>
      <c r="F146" s="216">
        <f>F145+C146+D146+E146</f>
        <v>0</v>
      </c>
      <c r="G146" s="223"/>
      <c r="H146" s="146">
        <f t="shared" si="79"/>
        <v>4.9599999999999998E-2</v>
      </c>
      <c r="J146" s="144">
        <f t="shared" si="78"/>
        <v>43862</v>
      </c>
      <c r="M146" s="216">
        <f t="shared" ref="M146:M156" si="82">ROUND((O145+(N146)/2)*Q146/12,2)</f>
        <v>0</v>
      </c>
      <c r="N146" s="234">
        <v>0</v>
      </c>
      <c r="O146" s="216">
        <f>O145+L146+M146+N146</f>
        <v>0</v>
      </c>
      <c r="P146" s="223"/>
      <c r="Q146" s="146">
        <f t="shared" ref="Q146:Q156" si="83">H146</f>
        <v>4.9599999999999998E-2</v>
      </c>
    </row>
    <row r="147" spans="1:17">
      <c r="A147" s="144">
        <f t="shared" si="80"/>
        <v>43893</v>
      </c>
      <c r="D147" s="216">
        <f t="shared" si="81"/>
        <v>0</v>
      </c>
      <c r="E147" s="234">
        <v>0</v>
      </c>
      <c r="F147" s="216">
        <f>F146+C147+D147+E147</f>
        <v>0</v>
      </c>
      <c r="G147" s="223"/>
      <c r="H147" s="146">
        <f t="shared" si="79"/>
        <v>4.9599999999999998E-2</v>
      </c>
      <c r="J147" s="144">
        <f t="shared" si="78"/>
        <v>43893</v>
      </c>
      <c r="M147" s="216">
        <f t="shared" si="82"/>
        <v>0</v>
      </c>
      <c r="N147" s="234">
        <v>0</v>
      </c>
      <c r="O147" s="216">
        <f>O146+L147+M147+N147</f>
        <v>0</v>
      </c>
      <c r="P147" s="223"/>
      <c r="Q147" s="146">
        <f t="shared" si="83"/>
        <v>4.9599999999999998E-2</v>
      </c>
    </row>
    <row r="148" spans="1:17">
      <c r="A148" s="144">
        <f t="shared" si="80"/>
        <v>43924</v>
      </c>
      <c r="D148" s="216">
        <f t="shared" si="81"/>
        <v>0</v>
      </c>
      <c r="E148" s="234">
        <v>0</v>
      </c>
      <c r="F148" s="216">
        <f t="shared" ref="F148:F156" si="84">F147+C148+D148+E148</f>
        <v>0</v>
      </c>
      <c r="H148" s="146">
        <f t="shared" si="79"/>
        <v>4.7500000000000001E-2</v>
      </c>
      <c r="J148" s="144">
        <f t="shared" si="78"/>
        <v>43924</v>
      </c>
      <c r="M148" s="216">
        <f t="shared" si="82"/>
        <v>0</v>
      </c>
      <c r="N148" s="234">
        <v>0</v>
      </c>
      <c r="O148" s="216">
        <f t="shared" ref="O148:O156" si="85">O147+L148+M148+N148</f>
        <v>0</v>
      </c>
      <c r="Q148" s="146">
        <f t="shared" si="83"/>
        <v>4.7500000000000001E-2</v>
      </c>
    </row>
    <row r="149" spans="1:17">
      <c r="A149" s="144">
        <f t="shared" si="80"/>
        <v>43955</v>
      </c>
      <c r="D149" s="216">
        <f t="shared" si="81"/>
        <v>0</v>
      </c>
      <c r="E149" s="234">
        <v>0</v>
      </c>
      <c r="F149" s="216">
        <f t="shared" si="84"/>
        <v>0</v>
      </c>
      <c r="H149" s="146">
        <f t="shared" si="79"/>
        <v>4.7500000000000001E-2</v>
      </c>
      <c r="J149" s="144">
        <f t="shared" si="78"/>
        <v>43955</v>
      </c>
      <c r="M149" s="216">
        <f t="shared" si="82"/>
        <v>0</v>
      </c>
      <c r="N149" s="234">
        <v>0</v>
      </c>
      <c r="O149" s="216">
        <f t="shared" si="85"/>
        <v>0</v>
      </c>
      <c r="Q149" s="146">
        <f t="shared" si="83"/>
        <v>4.7500000000000001E-2</v>
      </c>
    </row>
    <row r="150" spans="1:17">
      <c r="A150" s="144">
        <f t="shared" si="80"/>
        <v>43986</v>
      </c>
      <c r="D150" s="216">
        <f t="shared" si="81"/>
        <v>0</v>
      </c>
      <c r="E150" s="234">
        <v>0</v>
      </c>
      <c r="F150" s="216">
        <f t="shared" si="84"/>
        <v>0</v>
      </c>
      <c r="H150" s="146">
        <f t="shared" si="79"/>
        <v>4.7500000000000001E-2</v>
      </c>
      <c r="J150" s="144">
        <f t="shared" si="78"/>
        <v>43986</v>
      </c>
      <c r="M150" s="216">
        <f t="shared" si="82"/>
        <v>0</v>
      </c>
      <c r="N150" s="234">
        <v>0</v>
      </c>
      <c r="O150" s="216">
        <f t="shared" si="85"/>
        <v>0</v>
      </c>
      <c r="Q150" s="146">
        <f t="shared" si="83"/>
        <v>4.7500000000000001E-2</v>
      </c>
    </row>
    <row r="151" spans="1:17">
      <c r="A151" s="144">
        <f t="shared" si="80"/>
        <v>44017</v>
      </c>
      <c r="B151" s="36" t="s">
        <v>126</v>
      </c>
      <c r="C151" s="229">
        <f>IF(C84&gt;0,-C84,0)</f>
        <v>0</v>
      </c>
      <c r="D151" s="229">
        <f>ROUND((F150+(E151)/2)*H151/12,2)</f>
        <v>0</v>
      </c>
      <c r="E151" s="234">
        <v>0</v>
      </c>
      <c r="F151" s="216">
        <f t="shared" si="84"/>
        <v>0</v>
      </c>
      <c r="H151" s="146">
        <f t="shared" si="79"/>
        <v>3.4299999999999997E-2</v>
      </c>
      <c r="J151" s="144">
        <f t="shared" si="78"/>
        <v>44017</v>
      </c>
      <c r="K151" s="36" t="s">
        <v>126</v>
      </c>
      <c r="L151" s="229">
        <f>IF(L84&gt;0,-L84,0)</f>
        <v>0</v>
      </c>
      <c r="M151" s="229">
        <f>ROUND((O150+(N151)/2)*Q151/12,2)</f>
        <v>0</v>
      </c>
      <c r="N151" s="234">
        <v>0</v>
      </c>
      <c r="O151" s="216">
        <f t="shared" si="85"/>
        <v>0</v>
      </c>
      <c r="Q151" s="146">
        <f t="shared" si="83"/>
        <v>3.4299999999999997E-2</v>
      </c>
    </row>
    <row r="152" spans="1:17">
      <c r="A152" s="144">
        <f t="shared" si="80"/>
        <v>44048</v>
      </c>
      <c r="B152" s="36" t="s">
        <v>126</v>
      </c>
      <c r="C152" s="229">
        <f>IF(F141&gt;=0,IF(F83+F117-C117&lt;0,-C118,-C151),IF(F83+F151-C151&gt;0,-F151,-C118))</f>
        <v>0</v>
      </c>
      <c r="D152" s="229">
        <f>ROUND((C151+F151+C152+(E152)/2)*H152/12,2)</f>
        <v>0</v>
      </c>
      <c r="E152" s="234">
        <v>0</v>
      </c>
      <c r="F152" s="216">
        <f t="shared" si="84"/>
        <v>0</v>
      </c>
      <c r="H152" s="146">
        <f t="shared" si="79"/>
        <v>3.4299999999999997E-2</v>
      </c>
      <c r="J152" s="144">
        <f t="shared" si="78"/>
        <v>44048</v>
      </c>
      <c r="K152" s="36" t="s">
        <v>126</v>
      </c>
      <c r="L152" s="229">
        <f>IF(O141&gt;=0,IF(O83+O117-L117&lt;0,-L118,-L151),IF(O83+O151-L151&gt;0,-O151,-L118))</f>
        <v>0</v>
      </c>
      <c r="M152" s="229">
        <f>ROUND((L151+O151+L152+(N152)/2)*Q152/12,2)</f>
        <v>0</v>
      </c>
      <c r="N152" s="234">
        <v>0</v>
      </c>
      <c r="O152" s="216">
        <f t="shared" si="85"/>
        <v>0</v>
      </c>
      <c r="Q152" s="146">
        <f t="shared" si="83"/>
        <v>3.4299999999999997E-2</v>
      </c>
    </row>
    <row r="153" spans="1:17">
      <c r="A153" s="144">
        <f t="shared" si="80"/>
        <v>44079</v>
      </c>
      <c r="D153" s="216">
        <f t="shared" si="81"/>
        <v>0</v>
      </c>
      <c r="E153" s="234">
        <v>0</v>
      </c>
      <c r="F153" s="216">
        <f t="shared" si="84"/>
        <v>0</v>
      </c>
      <c r="H153" s="146">
        <f t="shared" si="79"/>
        <v>3.4299999999999997E-2</v>
      </c>
      <c r="J153" s="144">
        <f t="shared" si="78"/>
        <v>44079</v>
      </c>
      <c r="M153" s="216">
        <f t="shared" si="82"/>
        <v>0</v>
      </c>
      <c r="N153" s="234">
        <v>0</v>
      </c>
      <c r="O153" s="216">
        <f t="shared" si="85"/>
        <v>0</v>
      </c>
      <c r="Q153" s="146">
        <f t="shared" si="83"/>
        <v>3.4299999999999997E-2</v>
      </c>
    </row>
    <row r="154" spans="1:17">
      <c r="A154" s="144">
        <f t="shared" si="80"/>
        <v>44110</v>
      </c>
      <c r="C154" s="229"/>
      <c r="D154" s="216">
        <f>ROUND((F153+(E154)/2)*H154/12,2)</f>
        <v>0</v>
      </c>
      <c r="E154" s="234">
        <v>0</v>
      </c>
      <c r="F154" s="216">
        <f t="shared" si="84"/>
        <v>0</v>
      </c>
      <c r="H154" s="146">
        <f t="shared" si="79"/>
        <v>3.2500000000000001E-2</v>
      </c>
      <c r="J154" s="144">
        <f t="shared" si="78"/>
        <v>44110</v>
      </c>
      <c r="L154" s="229"/>
      <c r="M154" s="216">
        <f>ROUND((O153+(N154)/2)*Q154/12,2)</f>
        <v>0</v>
      </c>
      <c r="N154" s="234">
        <v>0</v>
      </c>
      <c r="O154" s="216">
        <f t="shared" si="85"/>
        <v>0</v>
      </c>
      <c r="Q154" s="146">
        <f t="shared" si="83"/>
        <v>3.2500000000000001E-2</v>
      </c>
    </row>
    <row r="155" spans="1:17">
      <c r="A155" s="144">
        <f t="shared" si="80"/>
        <v>44141</v>
      </c>
      <c r="D155" s="216">
        <f>ROUND((F154+(E155)/2)*H155/12,2)</f>
        <v>0</v>
      </c>
      <c r="E155" s="234">
        <v>0</v>
      </c>
      <c r="F155" s="216">
        <f t="shared" si="84"/>
        <v>0</v>
      </c>
      <c r="H155" s="146">
        <f t="shared" si="79"/>
        <v>3.2500000000000001E-2</v>
      </c>
      <c r="J155" s="144">
        <f t="shared" si="78"/>
        <v>44141</v>
      </c>
      <c r="M155" s="216">
        <f>ROUND((O154+(N155)/2)*Q155/12,2)</f>
        <v>0</v>
      </c>
      <c r="N155" s="234">
        <v>0</v>
      </c>
      <c r="O155" s="216">
        <f t="shared" si="85"/>
        <v>0</v>
      </c>
      <c r="Q155" s="146">
        <f t="shared" si="83"/>
        <v>3.2500000000000001E-2</v>
      </c>
    </row>
    <row r="156" spans="1:17">
      <c r="A156" s="144">
        <f t="shared" si="80"/>
        <v>44172</v>
      </c>
      <c r="D156" s="216">
        <f t="shared" si="81"/>
        <v>0</v>
      </c>
      <c r="E156" s="234">
        <v>0</v>
      </c>
      <c r="F156" s="216">
        <f t="shared" si="84"/>
        <v>0</v>
      </c>
      <c r="H156" s="146">
        <f t="shared" si="79"/>
        <v>3.2500000000000001E-2</v>
      </c>
      <c r="J156" s="144">
        <f t="shared" si="78"/>
        <v>44172</v>
      </c>
      <c r="M156" s="216">
        <f t="shared" si="82"/>
        <v>0</v>
      </c>
      <c r="N156" s="234">
        <v>0</v>
      </c>
      <c r="O156" s="216">
        <f t="shared" si="85"/>
        <v>0</v>
      </c>
      <c r="Q156" s="146">
        <f t="shared" si="83"/>
        <v>3.2500000000000001E-2</v>
      </c>
    </row>
    <row r="157" spans="1:17" ht="33" customHeight="1">
      <c r="A157" s="144"/>
      <c r="B157" s="148" t="s">
        <v>126</v>
      </c>
      <c r="C157" s="305" t="s">
        <v>190</v>
      </c>
      <c r="D157" s="305"/>
      <c r="E157" s="305"/>
      <c r="F157" s="305"/>
      <c r="G157" s="305"/>
      <c r="H157" s="305"/>
      <c r="K157" s="148" t="s">
        <v>126</v>
      </c>
      <c r="L157" s="305" t="s">
        <v>190</v>
      </c>
      <c r="M157" s="305"/>
      <c r="N157" s="305"/>
      <c r="O157" s="305"/>
      <c r="P157" s="305"/>
      <c r="Q157" s="305"/>
    </row>
    <row r="159" spans="1:17">
      <c r="A159" s="213">
        <v>253311</v>
      </c>
      <c r="B159" s="213" t="s">
        <v>52</v>
      </c>
      <c r="C159" s="217" t="s">
        <v>92</v>
      </c>
      <c r="D159" s="217" t="s">
        <v>93</v>
      </c>
      <c r="E159" s="217"/>
      <c r="F159" s="216" t="s">
        <v>95</v>
      </c>
      <c r="H159" s="214" t="s">
        <v>93</v>
      </c>
      <c r="J159" s="213">
        <f>A159</f>
        <v>253311</v>
      </c>
      <c r="K159" s="213" t="s">
        <v>53</v>
      </c>
      <c r="L159" s="217" t="s">
        <v>92</v>
      </c>
      <c r="M159" s="217" t="s">
        <v>93</v>
      </c>
      <c r="N159" s="217"/>
      <c r="O159" s="216" t="s">
        <v>95</v>
      </c>
      <c r="Q159" s="214" t="s">
        <v>93</v>
      </c>
    </row>
    <row r="160" spans="1:17">
      <c r="A160" s="160" t="s">
        <v>150</v>
      </c>
      <c r="B160" s="160" t="s">
        <v>142</v>
      </c>
      <c r="C160" s="217" t="s">
        <v>96</v>
      </c>
      <c r="D160" s="217" t="s">
        <v>97</v>
      </c>
      <c r="E160" s="217" t="s">
        <v>98</v>
      </c>
      <c r="F160" s="216" t="s">
        <v>94</v>
      </c>
      <c r="H160" s="214" t="s">
        <v>99</v>
      </c>
      <c r="J160" s="160" t="str">
        <f>A160</f>
        <v>3% Contra Deferral</v>
      </c>
      <c r="K160" s="160" t="s">
        <v>142</v>
      </c>
      <c r="L160" s="217" t="s">
        <v>96</v>
      </c>
      <c r="M160" s="217" t="s">
        <v>97</v>
      </c>
      <c r="N160" s="217" t="s">
        <v>98</v>
      </c>
      <c r="O160" s="216" t="s">
        <v>94</v>
      </c>
      <c r="Q160" s="214" t="s">
        <v>99</v>
      </c>
    </row>
    <row r="161" spans="1:17">
      <c r="A161" s="144">
        <f>$A$25</f>
        <v>43800</v>
      </c>
      <c r="B161" s="145"/>
      <c r="F161" s="233">
        <v>0</v>
      </c>
      <c r="J161" s="144">
        <f t="shared" ref="J161:J173" si="86">A161</f>
        <v>43800</v>
      </c>
      <c r="K161" s="145"/>
      <c r="O161" s="233">
        <v>0</v>
      </c>
    </row>
    <row r="162" spans="1:17">
      <c r="A162" s="144">
        <f>A161+31</f>
        <v>43831</v>
      </c>
      <c r="C162" s="234">
        <v>0</v>
      </c>
      <c r="D162" s="216">
        <f>ROUND((F161+(C162+E162)/2)*H162/12,2)</f>
        <v>0</v>
      </c>
      <c r="E162" s="224"/>
      <c r="F162" s="216">
        <f>F161+C162+D162+E162</f>
        <v>0</v>
      </c>
      <c r="H162" s="146">
        <v>0</v>
      </c>
      <c r="J162" s="144">
        <f t="shared" si="86"/>
        <v>43831</v>
      </c>
      <c r="L162" s="234">
        <v>0</v>
      </c>
      <c r="M162" s="216">
        <f>ROUND((O161+(L162+N162)/2)*Q162/12,2)</f>
        <v>0</v>
      </c>
      <c r="N162" s="222"/>
      <c r="O162" s="216">
        <f>O161+L162+M162+N162</f>
        <v>0</v>
      </c>
      <c r="Q162" s="146">
        <f>H162</f>
        <v>0</v>
      </c>
    </row>
    <row r="163" spans="1:17">
      <c r="A163" s="144">
        <f t="shared" ref="A163:A173" si="87">A162+31</f>
        <v>43862</v>
      </c>
      <c r="C163" s="234">
        <v>0</v>
      </c>
      <c r="D163" s="216">
        <f t="shared" ref="D163:D173" si="88">ROUND((F162+(C163+E163)/2)*H163/12,2)</f>
        <v>0</v>
      </c>
      <c r="E163" s="224"/>
      <c r="F163" s="216">
        <f>F162+C163+D163+E163</f>
        <v>0</v>
      </c>
      <c r="G163" s="223"/>
      <c r="H163" s="146">
        <f>H162</f>
        <v>0</v>
      </c>
      <c r="J163" s="144">
        <f t="shared" si="86"/>
        <v>43862</v>
      </c>
      <c r="L163" s="234">
        <v>0</v>
      </c>
      <c r="M163" s="216">
        <f t="shared" ref="M163:M173" si="89">ROUND((O162+(L163+N163)/2)*Q163/12,2)</f>
        <v>0</v>
      </c>
      <c r="N163" s="222"/>
      <c r="O163" s="216">
        <f>O162+L163+M163+N163</f>
        <v>0</v>
      </c>
      <c r="P163" s="223"/>
      <c r="Q163" s="146">
        <f t="shared" ref="Q163:Q173" si="90">H163</f>
        <v>0</v>
      </c>
    </row>
    <row r="164" spans="1:17">
      <c r="A164" s="144">
        <f t="shared" si="87"/>
        <v>43893</v>
      </c>
      <c r="C164" s="235">
        <v>0</v>
      </c>
      <c r="D164" s="216">
        <f t="shared" si="88"/>
        <v>0</v>
      </c>
      <c r="E164" s="224"/>
      <c r="F164" s="216">
        <f>F163+C164+D164+E164</f>
        <v>0</v>
      </c>
      <c r="G164" s="223"/>
      <c r="H164" s="146">
        <f t="shared" ref="H164:H173" si="91">H163</f>
        <v>0</v>
      </c>
      <c r="J164" s="144">
        <f t="shared" si="86"/>
        <v>43893</v>
      </c>
      <c r="L164" s="235">
        <v>0</v>
      </c>
      <c r="M164" s="216">
        <f t="shared" si="89"/>
        <v>0</v>
      </c>
      <c r="N164" s="222"/>
      <c r="O164" s="216">
        <f>O163+L164+M164+N164</f>
        <v>0</v>
      </c>
      <c r="P164" s="223"/>
      <c r="Q164" s="146">
        <f t="shared" si="90"/>
        <v>0</v>
      </c>
    </row>
    <row r="165" spans="1:17">
      <c r="A165" s="144">
        <f t="shared" si="87"/>
        <v>43924</v>
      </c>
      <c r="C165" s="235">
        <v>0</v>
      </c>
      <c r="D165" s="216">
        <f t="shared" si="88"/>
        <v>0</v>
      </c>
      <c r="E165" s="224"/>
      <c r="F165" s="216">
        <f t="shared" ref="F165:F173" si="92">F164+C165+D165+E165</f>
        <v>0</v>
      </c>
      <c r="H165" s="146">
        <f t="shared" si="91"/>
        <v>0</v>
      </c>
      <c r="J165" s="144">
        <f t="shared" si="86"/>
        <v>43924</v>
      </c>
      <c r="L165" s="235">
        <v>0</v>
      </c>
      <c r="M165" s="216">
        <f t="shared" si="89"/>
        <v>0</v>
      </c>
      <c r="N165" s="222"/>
      <c r="O165" s="216">
        <f t="shared" ref="O165:O173" si="93">O164+L165+M165+N165</f>
        <v>0</v>
      </c>
      <c r="Q165" s="146">
        <f t="shared" si="90"/>
        <v>0</v>
      </c>
    </row>
    <row r="166" spans="1:17">
      <c r="A166" s="144">
        <f t="shared" si="87"/>
        <v>43955</v>
      </c>
      <c r="C166" s="235">
        <v>0</v>
      </c>
      <c r="D166" s="216">
        <f t="shared" si="88"/>
        <v>0</v>
      </c>
      <c r="E166" s="224"/>
      <c r="F166" s="216">
        <f t="shared" si="92"/>
        <v>0</v>
      </c>
      <c r="H166" s="146">
        <f t="shared" si="91"/>
        <v>0</v>
      </c>
      <c r="J166" s="144">
        <f t="shared" si="86"/>
        <v>43955</v>
      </c>
      <c r="L166" s="235">
        <v>0</v>
      </c>
      <c r="M166" s="216">
        <f t="shared" si="89"/>
        <v>0</v>
      </c>
      <c r="N166" s="222"/>
      <c r="O166" s="216">
        <f t="shared" si="93"/>
        <v>0</v>
      </c>
      <c r="Q166" s="146">
        <f t="shared" si="90"/>
        <v>0</v>
      </c>
    </row>
    <row r="167" spans="1:17">
      <c r="A167" s="144">
        <f t="shared" si="87"/>
        <v>43986</v>
      </c>
      <c r="C167" s="235">
        <v>0</v>
      </c>
      <c r="D167" s="216">
        <f t="shared" si="88"/>
        <v>0</v>
      </c>
      <c r="E167" s="224"/>
      <c r="F167" s="216">
        <f t="shared" si="92"/>
        <v>0</v>
      </c>
      <c r="H167" s="146">
        <f t="shared" si="91"/>
        <v>0</v>
      </c>
      <c r="J167" s="144">
        <f t="shared" si="86"/>
        <v>43986</v>
      </c>
      <c r="L167" s="235">
        <v>0</v>
      </c>
      <c r="M167" s="216">
        <f t="shared" si="89"/>
        <v>0</v>
      </c>
      <c r="N167" s="222"/>
      <c r="O167" s="216">
        <f t="shared" si="93"/>
        <v>0</v>
      </c>
      <c r="Q167" s="146">
        <f t="shared" si="90"/>
        <v>0</v>
      </c>
    </row>
    <row r="168" spans="1:17">
      <c r="A168" s="144">
        <f t="shared" si="87"/>
        <v>44017</v>
      </c>
      <c r="C168" s="235">
        <v>0</v>
      </c>
      <c r="D168" s="216">
        <f t="shared" si="88"/>
        <v>0</v>
      </c>
      <c r="E168" s="224"/>
      <c r="F168" s="216">
        <f t="shared" si="92"/>
        <v>0</v>
      </c>
      <c r="H168" s="146">
        <f t="shared" si="91"/>
        <v>0</v>
      </c>
      <c r="J168" s="144">
        <f t="shared" si="86"/>
        <v>44017</v>
      </c>
      <c r="L168" s="235">
        <v>0</v>
      </c>
      <c r="M168" s="216">
        <f t="shared" si="89"/>
        <v>0</v>
      </c>
      <c r="N168" s="222"/>
      <c r="O168" s="216">
        <f t="shared" si="93"/>
        <v>0</v>
      </c>
      <c r="Q168" s="146">
        <f t="shared" si="90"/>
        <v>0</v>
      </c>
    </row>
    <row r="169" spans="1:17">
      <c r="A169" s="144">
        <f t="shared" si="87"/>
        <v>44048</v>
      </c>
      <c r="C169" s="235">
        <v>0</v>
      </c>
      <c r="D169" s="216">
        <f t="shared" si="88"/>
        <v>0</v>
      </c>
      <c r="E169" s="224"/>
      <c r="F169" s="216">
        <f t="shared" si="92"/>
        <v>0</v>
      </c>
      <c r="H169" s="146">
        <f t="shared" si="91"/>
        <v>0</v>
      </c>
      <c r="J169" s="144">
        <f t="shared" si="86"/>
        <v>44048</v>
      </c>
      <c r="L169" s="235">
        <v>0</v>
      </c>
      <c r="M169" s="216">
        <f t="shared" si="89"/>
        <v>0</v>
      </c>
      <c r="N169" s="222"/>
      <c r="O169" s="216">
        <f t="shared" si="93"/>
        <v>0</v>
      </c>
      <c r="Q169" s="146">
        <f t="shared" si="90"/>
        <v>0</v>
      </c>
    </row>
    <row r="170" spans="1:17">
      <c r="A170" s="144">
        <f t="shared" si="87"/>
        <v>44079</v>
      </c>
      <c r="C170" s="235">
        <v>0</v>
      </c>
      <c r="D170" s="216">
        <f t="shared" si="88"/>
        <v>0</v>
      </c>
      <c r="E170" s="224"/>
      <c r="F170" s="216">
        <f t="shared" si="92"/>
        <v>0</v>
      </c>
      <c r="H170" s="146">
        <f t="shared" si="91"/>
        <v>0</v>
      </c>
      <c r="J170" s="144">
        <f t="shared" si="86"/>
        <v>44079</v>
      </c>
      <c r="L170" s="235">
        <v>0</v>
      </c>
      <c r="M170" s="216">
        <f t="shared" si="89"/>
        <v>0</v>
      </c>
      <c r="N170" s="222"/>
      <c r="O170" s="216">
        <f t="shared" si="93"/>
        <v>0</v>
      </c>
      <c r="Q170" s="146">
        <f t="shared" si="90"/>
        <v>0</v>
      </c>
    </row>
    <row r="171" spans="1:17">
      <c r="A171" s="144">
        <f t="shared" si="87"/>
        <v>44110</v>
      </c>
      <c r="C171" s="235">
        <v>0</v>
      </c>
      <c r="D171" s="216">
        <f t="shared" si="88"/>
        <v>0</v>
      </c>
      <c r="E171" s="224"/>
      <c r="F171" s="216">
        <f t="shared" si="92"/>
        <v>0</v>
      </c>
      <c r="H171" s="146">
        <f t="shared" si="91"/>
        <v>0</v>
      </c>
      <c r="J171" s="144">
        <f t="shared" si="86"/>
        <v>44110</v>
      </c>
      <c r="L171" s="235">
        <v>0</v>
      </c>
      <c r="M171" s="216">
        <f t="shared" si="89"/>
        <v>0</v>
      </c>
      <c r="N171" s="222"/>
      <c r="O171" s="216">
        <f t="shared" si="93"/>
        <v>0</v>
      </c>
      <c r="Q171" s="146">
        <f t="shared" si="90"/>
        <v>0</v>
      </c>
    </row>
    <row r="172" spans="1:17">
      <c r="A172" s="144">
        <f t="shared" si="87"/>
        <v>44141</v>
      </c>
      <c r="C172" s="235">
        <v>0</v>
      </c>
      <c r="D172" s="216">
        <f t="shared" si="88"/>
        <v>0</v>
      </c>
      <c r="E172" s="224"/>
      <c r="F172" s="216">
        <f t="shared" si="92"/>
        <v>0</v>
      </c>
      <c r="H172" s="146">
        <f t="shared" si="91"/>
        <v>0</v>
      </c>
      <c r="J172" s="144">
        <f t="shared" si="86"/>
        <v>44141</v>
      </c>
      <c r="L172" s="235">
        <v>0</v>
      </c>
      <c r="M172" s="216">
        <f t="shared" si="89"/>
        <v>0</v>
      </c>
      <c r="N172" s="222"/>
      <c r="O172" s="216">
        <f t="shared" si="93"/>
        <v>0</v>
      </c>
      <c r="Q172" s="146">
        <f t="shared" si="90"/>
        <v>0</v>
      </c>
    </row>
    <row r="173" spans="1:17">
      <c r="A173" s="144">
        <f t="shared" si="87"/>
        <v>44172</v>
      </c>
      <c r="C173" s="235">
        <v>0</v>
      </c>
      <c r="D173" s="216">
        <f t="shared" si="88"/>
        <v>0</v>
      </c>
      <c r="E173" s="224"/>
      <c r="F173" s="216">
        <f t="shared" si="92"/>
        <v>0</v>
      </c>
      <c r="H173" s="146">
        <f t="shared" si="91"/>
        <v>0</v>
      </c>
      <c r="J173" s="144">
        <f t="shared" si="86"/>
        <v>44172</v>
      </c>
      <c r="L173" s="235">
        <v>0</v>
      </c>
      <c r="M173" s="216">
        <f t="shared" si="89"/>
        <v>0</v>
      </c>
      <c r="N173" s="222"/>
      <c r="O173" s="216">
        <f t="shared" si="93"/>
        <v>0</v>
      </c>
      <c r="Q173" s="146">
        <f t="shared" si="90"/>
        <v>0</v>
      </c>
    </row>
    <row r="175" spans="1:17">
      <c r="A175" s="213">
        <v>253312</v>
      </c>
      <c r="B175" s="213" t="s">
        <v>52</v>
      </c>
      <c r="C175" s="217" t="s">
        <v>92</v>
      </c>
      <c r="D175" s="217" t="s">
        <v>93</v>
      </c>
      <c r="E175" s="217"/>
      <c r="F175" s="216" t="s">
        <v>95</v>
      </c>
      <c r="H175" s="214" t="s">
        <v>93</v>
      </c>
      <c r="J175" s="213">
        <f>A175</f>
        <v>253312</v>
      </c>
      <c r="K175" s="213" t="s">
        <v>53</v>
      </c>
      <c r="L175" s="217" t="s">
        <v>92</v>
      </c>
      <c r="M175" s="217" t="s">
        <v>93</v>
      </c>
      <c r="N175" s="217"/>
      <c r="O175" s="216" t="s">
        <v>95</v>
      </c>
      <c r="Q175" s="214" t="s">
        <v>93</v>
      </c>
    </row>
    <row r="176" spans="1:17">
      <c r="A176" s="160" t="s">
        <v>151</v>
      </c>
      <c r="B176" s="160" t="s">
        <v>142</v>
      </c>
      <c r="C176" s="217" t="s">
        <v>96</v>
      </c>
      <c r="D176" s="217" t="s">
        <v>97</v>
      </c>
      <c r="E176" s="217" t="s">
        <v>98</v>
      </c>
      <c r="F176" s="216" t="s">
        <v>94</v>
      </c>
      <c r="H176" s="214" t="s">
        <v>99</v>
      </c>
      <c r="J176" s="160" t="str">
        <f>A176</f>
        <v>Prior 3% Contra Deferral</v>
      </c>
      <c r="K176" s="160" t="s">
        <v>142</v>
      </c>
      <c r="L176" s="217" t="s">
        <v>96</v>
      </c>
      <c r="M176" s="217" t="s">
        <v>97</v>
      </c>
      <c r="N176" s="217" t="s">
        <v>98</v>
      </c>
      <c r="O176" s="216" t="s">
        <v>94</v>
      </c>
      <c r="Q176" s="214" t="s">
        <v>99</v>
      </c>
    </row>
    <row r="177" spans="1:17">
      <c r="A177" s="144">
        <f>$A$25</f>
        <v>43800</v>
      </c>
      <c r="B177" s="145"/>
      <c r="F177" s="233">
        <v>0</v>
      </c>
      <c r="J177" s="144">
        <f t="shared" ref="J177:J189" si="94">A177</f>
        <v>43800</v>
      </c>
      <c r="K177" s="145"/>
      <c r="O177" s="233">
        <v>0</v>
      </c>
    </row>
    <row r="178" spans="1:17">
      <c r="A178" s="144">
        <f>A177+31</f>
        <v>43831</v>
      </c>
      <c r="D178" s="216">
        <f>ROUND((F177+(C178+E178)/2)*H178/12,2)</f>
        <v>0</v>
      </c>
      <c r="E178" s="234">
        <v>0</v>
      </c>
      <c r="F178" s="216">
        <f>F177+C178+D178+E178</f>
        <v>0</v>
      </c>
      <c r="H178" s="146">
        <v>0</v>
      </c>
      <c r="J178" s="144">
        <f t="shared" si="94"/>
        <v>43831</v>
      </c>
      <c r="M178" s="216">
        <f>ROUND((O177+(L178+N178)/2)*Q178/12,2)</f>
        <v>0</v>
      </c>
      <c r="N178" s="234">
        <v>0</v>
      </c>
      <c r="O178" s="216">
        <f>O177+L178+M178+N178</f>
        <v>0</v>
      </c>
      <c r="Q178" s="146">
        <f>H178</f>
        <v>0</v>
      </c>
    </row>
    <row r="179" spans="1:17">
      <c r="A179" s="144">
        <f t="shared" ref="A179:A189" si="95">A178+31</f>
        <v>43862</v>
      </c>
      <c r="D179" s="216">
        <f t="shared" ref="D179:D189" si="96">ROUND((F178+(C179+E179)/2)*H179/12,2)</f>
        <v>0</v>
      </c>
      <c r="E179" s="234">
        <v>0</v>
      </c>
      <c r="F179" s="216">
        <f>F178+C179+D179+E179</f>
        <v>0</v>
      </c>
      <c r="G179" s="223"/>
      <c r="H179" s="146">
        <f>H178</f>
        <v>0</v>
      </c>
      <c r="J179" s="144">
        <f t="shared" si="94"/>
        <v>43862</v>
      </c>
      <c r="M179" s="216">
        <f t="shared" ref="M179:M189" si="97">ROUND((O178+(L179+N179)/2)*Q179/12,2)</f>
        <v>0</v>
      </c>
      <c r="N179" s="234">
        <v>0</v>
      </c>
      <c r="O179" s="216">
        <f>O178+L179+M179+N179</f>
        <v>0</v>
      </c>
      <c r="P179" s="223"/>
      <c r="Q179" s="146">
        <f t="shared" ref="Q179:Q189" si="98">H179</f>
        <v>0</v>
      </c>
    </row>
    <row r="180" spans="1:17">
      <c r="A180" s="144">
        <f t="shared" si="95"/>
        <v>43893</v>
      </c>
      <c r="D180" s="216">
        <f t="shared" si="96"/>
        <v>0</v>
      </c>
      <c r="E180" s="235">
        <v>0</v>
      </c>
      <c r="F180" s="216">
        <f>F179+C180+D180+E180</f>
        <v>0</v>
      </c>
      <c r="G180" s="223"/>
      <c r="H180" s="146">
        <f t="shared" ref="H180:H189" si="99">H179</f>
        <v>0</v>
      </c>
      <c r="J180" s="144">
        <f t="shared" si="94"/>
        <v>43893</v>
      </c>
      <c r="M180" s="216">
        <f t="shared" si="97"/>
        <v>0</v>
      </c>
      <c r="N180" s="235">
        <v>0</v>
      </c>
      <c r="O180" s="216">
        <f>O179+L180+M180+N180</f>
        <v>0</v>
      </c>
      <c r="P180" s="223"/>
      <c r="Q180" s="146">
        <f t="shared" si="98"/>
        <v>0</v>
      </c>
    </row>
    <row r="181" spans="1:17">
      <c r="A181" s="144">
        <f t="shared" si="95"/>
        <v>43924</v>
      </c>
      <c r="D181" s="216">
        <f t="shared" si="96"/>
        <v>0</v>
      </c>
      <c r="E181" s="235">
        <v>0</v>
      </c>
      <c r="F181" s="216">
        <f t="shared" ref="F181:F189" si="100">F180+C181+D181+E181</f>
        <v>0</v>
      </c>
      <c r="H181" s="146">
        <f t="shared" si="99"/>
        <v>0</v>
      </c>
      <c r="J181" s="144">
        <f t="shared" si="94"/>
        <v>43924</v>
      </c>
      <c r="M181" s="216">
        <f t="shared" si="97"/>
        <v>0</v>
      </c>
      <c r="N181" s="235">
        <v>0</v>
      </c>
      <c r="O181" s="216">
        <f t="shared" ref="O181:O189" si="101">O180+L181+M181+N181</f>
        <v>0</v>
      </c>
      <c r="Q181" s="146">
        <f t="shared" si="98"/>
        <v>0</v>
      </c>
    </row>
    <row r="182" spans="1:17">
      <c r="A182" s="144">
        <f t="shared" si="95"/>
        <v>43955</v>
      </c>
      <c r="D182" s="216">
        <f t="shared" si="96"/>
        <v>0</v>
      </c>
      <c r="E182" s="235">
        <v>0</v>
      </c>
      <c r="F182" s="216">
        <f t="shared" si="100"/>
        <v>0</v>
      </c>
      <c r="H182" s="146">
        <f t="shared" si="99"/>
        <v>0</v>
      </c>
      <c r="J182" s="144">
        <f t="shared" si="94"/>
        <v>43955</v>
      </c>
      <c r="M182" s="216">
        <f t="shared" si="97"/>
        <v>0</v>
      </c>
      <c r="N182" s="235">
        <v>0</v>
      </c>
      <c r="O182" s="216">
        <f t="shared" si="101"/>
        <v>0</v>
      </c>
      <c r="Q182" s="146">
        <f t="shared" si="98"/>
        <v>0</v>
      </c>
    </row>
    <row r="183" spans="1:17">
      <c r="A183" s="144">
        <f t="shared" si="95"/>
        <v>43986</v>
      </c>
      <c r="D183" s="216">
        <f t="shared" si="96"/>
        <v>0</v>
      </c>
      <c r="E183" s="235">
        <v>0</v>
      </c>
      <c r="F183" s="216">
        <f t="shared" si="100"/>
        <v>0</v>
      </c>
      <c r="H183" s="146">
        <f t="shared" si="99"/>
        <v>0</v>
      </c>
      <c r="J183" s="144">
        <f t="shared" si="94"/>
        <v>43986</v>
      </c>
      <c r="M183" s="216">
        <f t="shared" si="97"/>
        <v>0</v>
      </c>
      <c r="N183" s="235">
        <v>0</v>
      </c>
      <c r="O183" s="216">
        <f t="shared" si="101"/>
        <v>0</v>
      </c>
      <c r="Q183" s="146">
        <f t="shared" si="98"/>
        <v>0</v>
      </c>
    </row>
    <row r="184" spans="1:17">
      <c r="A184" s="144">
        <f t="shared" si="95"/>
        <v>44017</v>
      </c>
      <c r="D184" s="216">
        <f t="shared" si="96"/>
        <v>0</v>
      </c>
      <c r="E184" s="235">
        <v>0</v>
      </c>
      <c r="F184" s="216">
        <f t="shared" si="100"/>
        <v>0</v>
      </c>
      <c r="H184" s="146">
        <f t="shared" si="99"/>
        <v>0</v>
      </c>
      <c r="J184" s="144">
        <f t="shared" si="94"/>
        <v>44017</v>
      </c>
      <c r="M184" s="216">
        <f t="shared" si="97"/>
        <v>0</v>
      </c>
      <c r="N184" s="235">
        <v>0</v>
      </c>
      <c r="O184" s="216">
        <f t="shared" si="101"/>
        <v>0</v>
      </c>
      <c r="Q184" s="146">
        <f t="shared" si="98"/>
        <v>0</v>
      </c>
    </row>
    <row r="185" spans="1:17">
      <c r="A185" s="144">
        <f t="shared" si="95"/>
        <v>44048</v>
      </c>
      <c r="D185" s="216">
        <f t="shared" si="96"/>
        <v>0</v>
      </c>
      <c r="E185" s="235">
        <v>0</v>
      </c>
      <c r="F185" s="216">
        <f t="shared" si="100"/>
        <v>0</v>
      </c>
      <c r="H185" s="146">
        <f t="shared" si="99"/>
        <v>0</v>
      </c>
      <c r="J185" s="144">
        <f t="shared" si="94"/>
        <v>44048</v>
      </c>
      <c r="M185" s="216">
        <f t="shared" si="97"/>
        <v>0</v>
      </c>
      <c r="N185" s="235">
        <v>0</v>
      </c>
      <c r="O185" s="216">
        <f t="shared" si="101"/>
        <v>0</v>
      </c>
      <c r="Q185" s="146">
        <f t="shared" si="98"/>
        <v>0</v>
      </c>
    </row>
    <row r="186" spans="1:17">
      <c r="A186" s="144">
        <f t="shared" si="95"/>
        <v>44079</v>
      </c>
      <c r="D186" s="216">
        <f t="shared" si="96"/>
        <v>0</v>
      </c>
      <c r="E186" s="235">
        <v>0</v>
      </c>
      <c r="F186" s="216">
        <f t="shared" si="100"/>
        <v>0</v>
      </c>
      <c r="H186" s="146">
        <f t="shared" si="99"/>
        <v>0</v>
      </c>
      <c r="J186" s="144">
        <f t="shared" si="94"/>
        <v>44079</v>
      </c>
      <c r="M186" s="216">
        <f t="shared" si="97"/>
        <v>0</v>
      </c>
      <c r="N186" s="235">
        <v>0</v>
      </c>
      <c r="O186" s="216">
        <f t="shared" si="101"/>
        <v>0</v>
      </c>
      <c r="Q186" s="146">
        <f t="shared" si="98"/>
        <v>0</v>
      </c>
    </row>
    <row r="187" spans="1:17">
      <c r="A187" s="144">
        <f t="shared" si="95"/>
        <v>44110</v>
      </c>
      <c r="D187" s="216">
        <f t="shared" si="96"/>
        <v>0</v>
      </c>
      <c r="E187" s="235">
        <v>0</v>
      </c>
      <c r="F187" s="216">
        <f t="shared" si="100"/>
        <v>0</v>
      </c>
      <c r="H187" s="146">
        <f t="shared" si="99"/>
        <v>0</v>
      </c>
      <c r="J187" s="144">
        <f t="shared" si="94"/>
        <v>44110</v>
      </c>
      <c r="M187" s="216">
        <f t="shared" si="97"/>
        <v>0</v>
      </c>
      <c r="N187" s="235">
        <v>0</v>
      </c>
      <c r="O187" s="216">
        <f t="shared" si="101"/>
        <v>0</v>
      </c>
      <c r="Q187" s="146">
        <f t="shared" si="98"/>
        <v>0</v>
      </c>
    </row>
    <row r="188" spans="1:17">
      <c r="A188" s="144">
        <f t="shared" si="95"/>
        <v>44141</v>
      </c>
      <c r="D188" s="216">
        <f t="shared" si="96"/>
        <v>0</v>
      </c>
      <c r="E188" s="235">
        <v>0</v>
      </c>
      <c r="F188" s="216">
        <f t="shared" si="100"/>
        <v>0</v>
      </c>
      <c r="H188" s="146">
        <f t="shared" si="99"/>
        <v>0</v>
      </c>
      <c r="J188" s="144">
        <f t="shared" si="94"/>
        <v>44141</v>
      </c>
      <c r="M188" s="216">
        <f t="shared" si="97"/>
        <v>0</v>
      </c>
      <c r="N188" s="235">
        <v>0</v>
      </c>
      <c r="O188" s="216">
        <f t="shared" si="101"/>
        <v>0</v>
      </c>
      <c r="Q188" s="146">
        <f t="shared" si="98"/>
        <v>0</v>
      </c>
    </row>
    <row r="189" spans="1:17">
      <c r="A189" s="144">
        <f t="shared" si="95"/>
        <v>44172</v>
      </c>
      <c r="D189" s="216">
        <f t="shared" si="96"/>
        <v>0</v>
      </c>
      <c r="E189" s="235">
        <v>0</v>
      </c>
      <c r="F189" s="216">
        <f t="shared" si="100"/>
        <v>0</v>
      </c>
      <c r="H189" s="146">
        <f t="shared" si="99"/>
        <v>0</v>
      </c>
      <c r="J189" s="144">
        <f t="shared" si="94"/>
        <v>44172</v>
      </c>
      <c r="M189" s="216">
        <f t="shared" si="97"/>
        <v>0</v>
      </c>
      <c r="N189" s="235">
        <v>0</v>
      </c>
      <c r="O189" s="216">
        <f t="shared" si="101"/>
        <v>0</v>
      </c>
      <c r="Q189" s="146">
        <f t="shared" si="98"/>
        <v>0</v>
      </c>
    </row>
  </sheetData>
  <mergeCells count="14">
    <mergeCell ref="C157:H157"/>
    <mergeCell ref="L157:Q157"/>
    <mergeCell ref="C106:H106"/>
    <mergeCell ref="L106:Q106"/>
    <mergeCell ref="C123:H123"/>
    <mergeCell ref="L123:Q123"/>
    <mergeCell ref="C140:H140"/>
    <mergeCell ref="L140:Q140"/>
    <mergeCell ref="C71:H71"/>
    <mergeCell ref="C89:H89"/>
    <mergeCell ref="A1:I1"/>
    <mergeCell ref="J1:R1"/>
    <mergeCell ref="L71:Q71"/>
    <mergeCell ref="L89:Q89"/>
  </mergeCells>
  <printOptions horizontalCentered="1"/>
  <pageMargins left="0.7" right="0.71" top="0.97" bottom="0.75" header="0.5" footer="0.5"/>
  <pageSetup scale="75" firstPageNumber="9" fitToWidth="0" fitToHeight="0" orientation="portrait" useFirstPageNumber="1" r:id="rId1"/>
  <headerFooter scaleWithDoc="0">
    <oddHeader>&amp;CAvista Corporation Decoupling Mechanism
Washington Jurisdiction
Quarterly Report for 4th Quarter 2020</oddHeader>
    <oddFooter>&amp;Cfile: &amp;F / &amp;A&amp;RPage &amp;P of 21</oddFooter>
  </headerFooter>
  <rowBreaks count="2" manualBreakCount="2">
    <brk id="54" max="17" man="1"/>
    <brk id="107" max="17" man="1"/>
  </rowBreaks>
  <colBreaks count="1" manualBreakCount="1">
    <brk id="9" max="15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4"/>
  <sheetViews>
    <sheetView topLeftCell="A16" zoomScaleNormal="100" workbookViewId="0">
      <selection activeCell="B29" sqref="B29"/>
    </sheetView>
  </sheetViews>
  <sheetFormatPr defaultRowHeight="15"/>
  <cols>
    <col min="1" max="1" width="2.85546875" customWidth="1"/>
    <col min="2" max="2" width="20.7109375" customWidth="1"/>
    <col min="3" max="3" width="10.85546875" customWidth="1"/>
    <col min="4" max="4" width="8.5703125" customWidth="1"/>
    <col min="5" max="5" width="9.140625" customWidth="1"/>
    <col min="6" max="6" width="9.28515625" customWidth="1"/>
    <col min="7" max="7" width="8" customWidth="1"/>
    <col min="8" max="8" width="8.28515625" style="71" customWidth="1"/>
    <col min="9" max="9" width="9.42578125" customWidth="1"/>
    <col min="10" max="10" width="8.5703125" customWidth="1"/>
    <col min="11" max="11" width="11.5703125" customWidth="1"/>
    <col min="12" max="12" width="8.5703125" customWidth="1"/>
  </cols>
  <sheetData>
    <row r="1" spans="1:23" ht="28.9" customHeight="1">
      <c r="A1" t="s">
        <v>61</v>
      </c>
    </row>
    <row r="2" spans="1:23" s="32" customFormat="1" ht="14.45" customHeight="1">
      <c r="A2" s="52"/>
      <c r="B2" s="52"/>
      <c r="C2" s="52"/>
      <c r="D2" s="52"/>
      <c r="E2" s="52"/>
      <c r="F2" s="52"/>
      <c r="G2" s="52"/>
      <c r="H2" s="78"/>
      <c r="I2" s="52"/>
      <c r="J2" s="52"/>
      <c r="K2" s="52"/>
    </row>
    <row r="3" spans="1:23" s="32" customFormat="1" ht="111.75" customHeight="1">
      <c r="A3" s="307" t="s">
        <v>196</v>
      </c>
      <c r="B3" s="307"/>
      <c r="C3" s="307"/>
      <c r="D3" s="307"/>
      <c r="E3" s="307"/>
      <c r="F3" s="307"/>
      <c r="G3" s="307"/>
      <c r="H3" s="307"/>
      <c r="I3" s="307"/>
      <c r="J3" s="307"/>
      <c r="K3" s="307"/>
      <c r="M3" s="253"/>
      <c r="N3" s="253"/>
      <c r="O3" s="253"/>
      <c r="P3" s="253"/>
      <c r="Q3" s="253"/>
      <c r="R3" s="253"/>
      <c r="S3" s="253"/>
      <c r="T3" s="253"/>
      <c r="U3" s="253"/>
      <c r="V3" s="253"/>
      <c r="W3" s="253"/>
    </row>
    <row r="4" spans="1:23" ht="14.45" customHeight="1"/>
    <row r="5" spans="1:23" ht="14.45" customHeight="1">
      <c r="A5" s="310" t="s">
        <v>76</v>
      </c>
      <c r="B5" s="310"/>
      <c r="C5" s="310"/>
      <c r="D5" s="310"/>
      <c r="E5" s="310"/>
      <c r="F5" s="310"/>
      <c r="G5" s="310"/>
      <c r="H5" s="310"/>
      <c r="I5" s="310"/>
      <c r="J5" s="310"/>
      <c r="K5" s="310"/>
    </row>
    <row r="6" spans="1:23" s="32" customFormat="1" ht="13.9" customHeight="1">
      <c r="A6" s="310" t="s">
        <v>77</v>
      </c>
      <c r="B6" s="310"/>
      <c r="C6" s="310"/>
      <c r="D6" s="310"/>
      <c r="E6" s="310"/>
      <c r="F6" s="310"/>
      <c r="G6" s="310"/>
      <c r="H6" s="310"/>
      <c r="I6" s="310"/>
      <c r="J6" s="310"/>
      <c r="K6" s="310"/>
    </row>
    <row r="7" spans="1:23" ht="43.5" customHeight="1">
      <c r="A7" s="49"/>
      <c r="B7" s="49"/>
      <c r="C7" s="49"/>
      <c r="E7" s="54" t="s">
        <v>70</v>
      </c>
      <c r="F7" s="54" t="s">
        <v>71</v>
      </c>
      <c r="G7" s="57" t="s">
        <v>80</v>
      </c>
      <c r="H7" s="77" t="s">
        <v>85</v>
      </c>
      <c r="I7" s="99" t="s">
        <v>187</v>
      </c>
      <c r="J7" s="54" t="s">
        <v>72</v>
      </c>
      <c r="K7" s="262" t="s">
        <v>195</v>
      </c>
      <c r="L7" s="49"/>
    </row>
    <row r="8" spans="1:23" ht="14.45" customHeight="1">
      <c r="A8" s="53" t="s">
        <v>68</v>
      </c>
      <c r="B8" s="21"/>
      <c r="C8" s="21"/>
      <c r="E8" s="21"/>
      <c r="F8" s="21"/>
      <c r="G8" s="21"/>
      <c r="H8" s="21"/>
      <c r="I8" s="21"/>
      <c r="J8" s="21"/>
      <c r="K8" s="21"/>
      <c r="L8" s="21"/>
    </row>
    <row r="9" spans="1:23" ht="14.45" customHeight="1">
      <c r="A9" s="50"/>
      <c r="B9" s="50" t="s">
        <v>69</v>
      </c>
      <c r="C9" s="50"/>
      <c r="E9" s="56">
        <v>-255</v>
      </c>
      <c r="F9" s="56">
        <v>51</v>
      </c>
      <c r="G9" s="73">
        <v>224</v>
      </c>
      <c r="H9" s="97">
        <v>59</v>
      </c>
      <c r="I9" s="56">
        <v>74</v>
      </c>
      <c r="J9" s="260">
        <v>7.0000000000000001E-3</v>
      </c>
      <c r="K9" s="50"/>
      <c r="L9" s="50"/>
    </row>
    <row r="10" spans="1:23" ht="14.45" customHeight="1">
      <c r="A10" s="50"/>
      <c r="B10" s="50" t="s">
        <v>78</v>
      </c>
      <c r="C10" s="50"/>
      <c r="E10" s="55">
        <v>-10.39</v>
      </c>
      <c r="F10" s="55">
        <v>-3.64</v>
      </c>
      <c r="G10" s="74">
        <v>12.25</v>
      </c>
      <c r="H10" s="98">
        <v>6.1</v>
      </c>
      <c r="I10" s="55">
        <v>4.13</v>
      </c>
      <c r="J10" s="260">
        <v>6.0000000000000001E-3</v>
      </c>
      <c r="K10" s="50"/>
      <c r="L10" s="50"/>
    </row>
    <row r="11" spans="1:23">
      <c r="B11" s="32" t="s">
        <v>79</v>
      </c>
      <c r="E11" s="55">
        <v>10.39</v>
      </c>
      <c r="F11" s="55">
        <v>3.64</v>
      </c>
      <c r="G11" s="55">
        <v>-12.25</v>
      </c>
      <c r="H11" s="55">
        <v>-6.15</v>
      </c>
      <c r="I11" s="55">
        <v>-4.18</v>
      </c>
      <c r="J11" s="71"/>
      <c r="K11" s="55">
        <v>-0.05</v>
      </c>
    </row>
    <row r="12" spans="1:23" s="32" customFormat="1" ht="6" customHeight="1">
      <c r="E12" s="55"/>
      <c r="F12" s="55"/>
      <c r="G12" s="74"/>
      <c r="H12" s="94"/>
      <c r="I12" s="55"/>
      <c r="J12" s="71"/>
    </row>
    <row r="13" spans="1:23">
      <c r="A13" s="53" t="s">
        <v>73</v>
      </c>
      <c r="B13" s="21"/>
      <c r="C13" s="21"/>
      <c r="E13" s="21"/>
      <c r="F13" s="21"/>
      <c r="G13" s="75"/>
      <c r="H13" s="95"/>
      <c r="I13" s="259"/>
      <c r="J13" s="259"/>
      <c r="K13" s="51"/>
      <c r="L13" s="51"/>
    </row>
    <row r="14" spans="1:23">
      <c r="A14" s="50"/>
      <c r="B14" s="50" t="s">
        <v>69</v>
      </c>
      <c r="C14" s="50"/>
      <c r="E14" s="56">
        <v>-713</v>
      </c>
      <c r="F14" s="56">
        <v>-1929</v>
      </c>
      <c r="G14" s="73">
        <v>-776</v>
      </c>
      <c r="H14" s="97">
        <v>-977</v>
      </c>
      <c r="I14" s="56">
        <v>-4389</v>
      </c>
      <c r="J14" s="260">
        <v>-7.4999999999999997E-2</v>
      </c>
      <c r="K14" s="51"/>
      <c r="L14" s="51"/>
    </row>
    <row r="15" spans="1:23" ht="14.45" customHeight="1">
      <c r="A15" s="50"/>
      <c r="B15" s="50" t="s">
        <v>78</v>
      </c>
      <c r="C15" s="50"/>
      <c r="E15" s="55">
        <v>-40.619999999999997</v>
      </c>
      <c r="F15" s="55">
        <v>-143.55000000000001</v>
      </c>
      <c r="G15" s="74">
        <v>-68.11</v>
      </c>
      <c r="H15" s="98">
        <v>-64.31</v>
      </c>
      <c r="I15" s="55">
        <v>-315.81</v>
      </c>
      <c r="J15" s="260">
        <v>-7.1999999999999995E-2</v>
      </c>
      <c r="K15" s="51"/>
      <c r="L15" s="51"/>
    </row>
    <row r="16" spans="1:23">
      <c r="B16" s="32" t="s">
        <v>79</v>
      </c>
      <c r="E16" s="55">
        <v>40.619999999999997</v>
      </c>
      <c r="F16" s="55">
        <v>143.55000000000001</v>
      </c>
      <c r="G16" s="55">
        <v>68.11</v>
      </c>
      <c r="H16" s="55">
        <v>64.31</v>
      </c>
      <c r="I16" s="55">
        <v>315.82</v>
      </c>
      <c r="J16" s="71"/>
      <c r="K16" s="55">
        <v>0.01</v>
      </c>
    </row>
    <row r="17" spans="1:19" s="32" customFormat="1" ht="9" customHeight="1">
      <c r="G17" s="36"/>
      <c r="H17" s="96"/>
      <c r="I17" s="71"/>
      <c r="J17" s="71"/>
    </row>
    <row r="18" spans="1:19" ht="14.45" customHeight="1">
      <c r="A18" s="53" t="s">
        <v>74</v>
      </c>
      <c r="B18" s="21"/>
      <c r="C18" s="21"/>
      <c r="E18" s="21"/>
      <c r="F18" s="21"/>
      <c r="G18" s="75"/>
      <c r="H18" s="95"/>
      <c r="I18" s="259"/>
      <c r="J18" s="259"/>
    </row>
    <row r="19" spans="1:19" ht="14.45" customHeight="1">
      <c r="A19" s="50"/>
      <c r="B19" s="50" t="s">
        <v>69</v>
      </c>
      <c r="C19" s="50"/>
      <c r="E19" s="56">
        <v>-9</v>
      </c>
      <c r="F19" s="56">
        <v>-19</v>
      </c>
      <c r="G19" s="73">
        <v>-3</v>
      </c>
      <c r="H19" s="97">
        <v>-21</v>
      </c>
      <c r="I19" s="56">
        <v>-51</v>
      </c>
      <c r="J19" s="260">
        <v>-6.3E-2</v>
      </c>
    </row>
    <row r="20" spans="1:19">
      <c r="A20" s="50"/>
      <c r="B20" s="50" t="s">
        <v>78</v>
      </c>
      <c r="C20" s="50"/>
      <c r="E20" s="55">
        <v>6.58</v>
      </c>
      <c r="F20" s="55">
        <v>-9.8000000000000007</v>
      </c>
      <c r="G20" s="74">
        <v>-1.6</v>
      </c>
      <c r="H20" s="98">
        <v>-2.93</v>
      </c>
      <c r="I20" s="55">
        <v>-7.53</v>
      </c>
      <c r="J20" s="260">
        <v>-2.1999999999999999E-2</v>
      </c>
    </row>
    <row r="21" spans="1:19" s="32" customFormat="1">
      <c r="A21" s="50"/>
      <c r="B21" s="32" t="s">
        <v>79</v>
      </c>
      <c r="C21" s="50"/>
      <c r="E21" s="55">
        <v>-6.58</v>
      </c>
      <c r="F21" s="55">
        <v>9.8000000000000007</v>
      </c>
      <c r="G21" s="55">
        <v>1.6</v>
      </c>
      <c r="H21" s="55">
        <v>2.81</v>
      </c>
      <c r="I21" s="55">
        <v>7.41</v>
      </c>
      <c r="J21" s="261"/>
      <c r="K21" s="55">
        <v>-0.12</v>
      </c>
    </row>
    <row r="22" spans="1:19" ht="9" customHeight="1">
      <c r="A22" s="32"/>
      <c r="B22" s="32"/>
      <c r="C22" s="32"/>
      <c r="E22" s="32"/>
      <c r="F22" s="32"/>
      <c r="G22" s="36"/>
      <c r="H22" s="96"/>
      <c r="I22" s="71"/>
      <c r="J22" s="71"/>
    </row>
    <row r="23" spans="1:19">
      <c r="A23" s="53" t="s">
        <v>75</v>
      </c>
      <c r="B23" s="21"/>
      <c r="C23" s="21"/>
      <c r="E23" s="21"/>
      <c r="F23" s="21"/>
      <c r="G23" s="75"/>
      <c r="H23" s="95"/>
      <c r="I23" s="259"/>
      <c r="J23" s="259"/>
    </row>
    <row r="24" spans="1:19">
      <c r="A24" s="50"/>
      <c r="B24" s="50" t="s">
        <v>69</v>
      </c>
      <c r="C24" s="50"/>
      <c r="E24" s="56">
        <v>345</v>
      </c>
      <c r="F24" s="56">
        <v>-1109</v>
      </c>
      <c r="G24" s="73">
        <v>-394</v>
      </c>
      <c r="H24" s="97">
        <v>-693</v>
      </c>
      <c r="I24" s="56">
        <v>-1842</v>
      </c>
      <c r="J24" s="260">
        <v>-9.4E-2</v>
      </c>
    </row>
    <row r="25" spans="1:19">
      <c r="A25" s="50"/>
      <c r="B25" s="50" t="s">
        <v>78</v>
      </c>
      <c r="C25" s="50"/>
      <c r="E25" s="55">
        <v>201.66</v>
      </c>
      <c r="F25" s="55">
        <v>-247.69</v>
      </c>
      <c r="G25" s="74">
        <v>-98.98</v>
      </c>
      <c r="H25" s="98">
        <v>-11.85</v>
      </c>
      <c r="I25" s="55">
        <v>-153.30000000000001</v>
      </c>
      <c r="J25" s="260">
        <v>-3.2000000000000001E-2</v>
      </c>
    </row>
    <row r="26" spans="1:19">
      <c r="B26" s="32" t="s">
        <v>79</v>
      </c>
      <c r="E26" s="55">
        <v>-201.66</v>
      </c>
      <c r="F26" s="55">
        <v>247.69</v>
      </c>
      <c r="G26" s="55">
        <v>98.98</v>
      </c>
      <c r="H26" s="55">
        <v>7.79</v>
      </c>
      <c r="I26" s="55">
        <v>149.22999999999999</v>
      </c>
      <c r="J26" s="71"/>
      <c r="K26" s="55">
        <v>-4.07</v>
      </c>
    </row>
    <row r="29" spans="1:19" ht="108.75" customHeight="1">
      <c r="A29" s="308" t="s">
        <v>188</v>
      </c>
      <c r="B29" s="308"/>
      <c r="C29" s="308"/>
      <c r="D29" s="308"/>
      <c r="E29" s="308"/>
      <c r="F29" s="308"/>
      <c r="G29" s="308"/>
      <c r="H29" s="308"/>
      <c r="I29" s="308"/>
      <c r="J29" s="308"/>
      <c r="K29" s="308"/>
      <c r="L29" s="49"/>
      <c r="M29" s="49"/>
      <c r="N29" s="49"/>
      <c r="O29" s="49"/>
      <c r="P29" s="49"/>
      <c r="Q29" s="49"/>
      <c r="R29" s="49"/>
      <c r="S29" s="49"/>
    </row>
    <row r="30" spans="1:19" ht="16.149999999999999" customHeight="1">
      <c r="A30" s="254"/>
      <c r="B30" s="254"/>
      <c r="C30" s="254"/>
      <c r="D30" s="254"/>
      <c r="E30" s="254"/>
      <c r="F30" s="254"/>
      <c r="G30" s="254"/>
      <c r="H30" s="254"/>
      <c r="I30" s="254"/>
      <c r="J30" s="254"/>
      <c r="K30" s="254"/>
      <c r="L30" s="49"/>
      <c r="M30" s="49"/>
      <c r="N30" s="49"/>
      <c r="O30" s="49"/>
      <c r="P30" s="49"/>
      <c r="Q30" s="49"/>
      <c r="R30" s="49"/>
    </row>
    <row r="31" spans="1:19" ht="15" customHeight="1">
      <c r="A31" s="255"/>
      <c r="B31" s="255"/>
      <c r="C31" s="255"/>
      <c r="D31" s="255"/>
      <c r="E31" s="255"/>
      <c r="F31" s="255"/>
      <c r="G31" s="255"/>
      <c r="H31" s="255"/>
      <c r="I31" s="255"/>
      <c r="J31" s="255"/>
      <c r="K31" s="255"/>
      <c r="L31" s="49"/>
      <c r="M31" s="49"/>
      <c r="N31" s="49"/>
      <c r="O31" s="49"/>
      <c r="P31" s="49"/>
      <c r="Q31" s="49"/>
      <c r="R31" s="49"/>
      <c r="S31" s="49"/>
    </row>
    <row r="32" spans="1:19">
      <c r="A32" s="36"/>
      <c r="B32" s="36"/>
      <c r="C32" s="36"/>
      <c r="D32" s="36"/>
      <c r="E32" s="36"/>
      <c r="F32" s="309"/>
      <c r="G32" s="309"/>
      <c r="H32" s="36"/>
      <c r="I32" s="309"/>
      <c r="J32" s="309"/>
      <c r="K32" s="36"/>
      <c r="L32" s="256"/>
      <c r="M32" s="256"/>
      <c r="N32" s="256"/>
      <c r="O32" s="49"/>
      <c r="P32" s="49"/>
      <c r="Q32" s="49"/>
      <c r="R32" s="49"/>
      <c r="S32" s="49"/>
    </row>
    <row r="33" spans="1:19">
      <c r="A33" s="36"/>
      <c r="B33" s="36"/>
      <c r="C33" s="36"/>
      <c r="D33" s="36"/>
      <c r="E33" s="36"/>
      <c r="F33" s="36"/>
      <c r="G33" s="36"/>
      <c r="H33" s="36"/>
      <c r="I33" s="36"/>
      <c r="J33" s="36"/>
      <c r="K33" s="36"/>
      <c r="L33" s="256"/>
      <c r="M33" s="256"/>
      <c r="N33" s="256"/>
      <c r="O33" s="49"/>
      <c r="P33" s="49"/>
      <c r="Q33" s="49"/>
      <c r="R33" s="49"/>
      <c r="S33" s="49"/>
    </row>
    <row r="34" spans="1:19">
      <c r="A34" s="36"/>
      <c r="B34" s="36"/>
      <c r="C34" s="36"/>
      <c r="D34" s="36"/>
      <c r="E34" s="36"/>
      <c r="F34" s="257"/>
      <c r="G34" s="257"/>
      <c r="H34" s="36"/>
      <c r="I34" s="36"/>
      <c r="J34" s="36"/>
      <c r="K34" s="36"/>
      <c r="L34" s="256"/>
      <c r="M34" s="256"/>
      <c r="N34" s="256"/>
      <c r="O34" s="49"/>
      <c r="P34" s="49"/>
      <c r="Q34" s="49"/>
      <c r="R34" s="49"/>
      <c r="S34" s="49"/>
    </row>
  </sheetData>
  <mergeCells count="6">
    <mergeCell ref="A3:K3"/>
    <mergeCell ref="A29:K29"/>
    <mergeCell ref="F32:G32"/>
    <mergeCell ref="I32:J32"/>
    <mergeCell ref="A5:K5"/>
    <mergeCell ref="A6:K6"/>
  </mergeCells>
  <printOptions horizontalCentered="1"/>
  <pageMargins left="0.7" right="0.71" top="0.97" bottom="0.75" header="0.5" footer="0.5"/>
  <pageSetup scale="84" firstPageNumber="13" orientation="portrait" useFirstPageNumber="1" r:id="rId1"/>
  <headerFooter scaleWithDoc="0">
    <oddHeader>&amp;CAvista Corporation Decoupling Mechanism
Washington Jurisdiction
Quarterly Report for 4th Quarter 2020</oddHeader>
    <oddFooter>&amp;Cfile: &amp;F / &amp;A&amp;RPage 15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4866C-60DF-4013-93D4-2EEB645331C1}">
  <sheetPr>
    <tabColor rgb="FFFFC000"/>
    <pageSetUpPr fitToPage="1"/>
  </sheetPr>
  <dimension ref="A2:P54"/>
  <sheetViews>
    <sheetView topLeftCell="B28" zoomScaleNormal="100" workbookViewId="0">
      <selection activeCell="B29" sqref="B29"/>
    </sheetView>
  </sheetViews>
  <sheetFormatPr defaultRowHeight="15"/>
  <cols>
    <col min="1" max="1" width="8" style="148" customWidth="1"/>
    <col min="2" max="2" width="31.42578125" customWidth="1"/>
    <col min="3" max="3" width="13" style="71" customWidth="1"/>
    <col min="4" max="4" width="13.140625" style="71" customWidth="1"/>
    <col min="5" max="5" width="12" style="71" customWidth="1"/>
    <col min="6" max="6" width="12.7109375" customWidth="1"/>
    <col min="7" max="7" width="12.5703125" customWidth="1"/>
    <col min="8" max="8" width="12.85546875" customWidth="1"/>
    <col min="9" max="9" width="12.42578125" customWidth="1"/>
    <col min="10" max="10" width="12.85546875" customWidth="1"/>
    <col min="11" max="11" width="13.140625" customWidth="1"/>
    <col min="12" max="12" width="13" customWidth="1"/>
    <col min="13" max="13" width="12.85546875" customWidth="1"/>
    <col min="14" max="14" width="13.140625" customWidth="1"/>
    <col min="15" max="16" width="12.7109375" customWidth="1"/>
  </cols>
  <sheetData>
    <row r="2" spans="1:16" ht="15.75">
      <c r="B2" s="238" t="s">
        <v>197</v>
      </c>
      <c r="C2" s="238"/>
      <c r="D2" s="238"/>
      <c r="E2" s="238"/>
    </row>
    <row r="3" spans="1:16" ht="15.75">
      <c r="B3" s="238" t="s">
        <v>198</v>
      </c>
      <c r="C3" s="238"/>
      <c r="D3" s="238"/>
      <c r="E3" s="238"/>
    </row>
    <row r="5" spans="1:16">
      <c r="N5" s="71"/>
      <c r="P5" s="264" t="s">
        <v>205</v>
      </c>
    </row>
    <row r="6" spans="1:16">
      <c r="A6" s="107" t="s">
        <v>1</v>
      </c>
      <c r="B6" s="107" t="s">
        <v>239</v>
      </c>
      <c r="C6" s="107">
        <v>43831</v>
      </c>
      <c r="D6" s="107">
        <f t="shared" ref="D6" si="0">EDATE(C6,1)</f>
        <v>43862</v>
      </c>
      <c r="E6" s="107">
        <f t="shared" ref="E6" si="1">EDATE(D6,1)</f>
        <v>43891</v>
      </c>
      <c r="F6" s="107">
        <f t="shared" ref="F6" si="2">EDATE(E6,1)</f>
        <v>43922</v>
      </c>
      <c r="G6" s="107">
        <f t="shared" ref="G6" si="3">EDATE(F6,1)</f>
        <v>43952</v>
      </c>
      <c r="H6" s="107">
        <f t="shared" ref="H6" si="4">EDATE(G6,1)</f>
        <v>43983</v>
      </c>
      <c r="I6" s="107">
        <f t="shared" ref="I6" si="5">EDATE(H6,1)</f>
        <v>44013</v>
      </c>
      <c r="J6" s="107">
        <f t="shared" ref="J6" si="6">EDATE(I6,1)</f>
        <v>44044</v>
      </c>
      <c r="K6" s="107">
        <f t="shared" ref="K6" si="7">EDATE(J6,1)</f>
        <v>44075</v>
      </c>
      <c r="L6" s="107">
        <f t="shared" ref="L6" si="8">EDATE(K6,1)</f>
        <v>44105</v>
      </c>
      <c r="M6" s="107">
        <f t="shared" ref="M6:N6" si="9">EDATE(L6,1)</f>
        <v>44136</v>
      </c>
      <c r="N6" s="107">
        <f t="shared" si="9"/>
        <v>44166</v>
      </c>
      <c r="O6" s="107" t="s">
        <v>199</v>
      </c>
      <c r="P6" s="269" t="s">
        <v>204</v>
      </c>
    </row>
    <row r="7" spans="1:16">
      <c r="B7" s="264"/>
      <c r="C7" s="264"/>
      <c r="D7" s="264"/>
      <c r="E7" s="264"/>
    </row>
    <row r="8" spans="1:16" ht="30" customHeight="1">
      <c r="A8" s="148">
        <v>1</v>
      </c>
      <c r="B8" s="265" t="s">
        <v>234</v>
      </c>
      <c r="C8" s="280">
        <f>'Electric Deferral'!D13</f>
        <v>0</v>
      </c>
      <c r="D8" s="280">
        <f>'Electric Deferral'!E13</f>
        <v>0</v>
      </c>
      <c r="E8" s="280">
        <f>'Electric Deferral'!F13</f>
        <v>0</v>
      </c>
      <c r="F8" s="280">
        <f>'Electric Deferral'!G13</f>
        <v>3261</v>
      </c>
      <c r="G8" s="280">
        <f>'Electric Deferral'!H13</f>
        <v>3380</v>
      </c>
      <c r="H8" s="280">
        <f>'Electric Deferral'!I13</f>
        <v>3544</v>
      </c>
      <c r="I8" s="280">
        <f>'Electric Deferral'!J13</f>
        <v>3916</v>
      </c>
      <c r="J8" s="280">
        <f>'Electric Deferral'!K13</f>
        <v>4199</v>
      </c>
      <c r="K8" s="280">
        <f>'Electric Deferral'!L13</f>
        <v>4652</v>
      </c>
      <c r="L8" s="280">
        <f>'Electric Deferral'!M13</f>
        <v>4942</v>
      </c>
      <c r="M8" s="280">
        <f>'Electric Deferral'!N13</f>
        <v>5251</v>
      </c>
      <c r="N8" s="280">
        <f>'Electric Deferral'!O13</f>
        <v>5437</v>
      </c>
      <c r="O8" s="290">
        <f>SUM(C8:N8)</f>
        <v>38582</v>
      </c>
      <c r="P8" s="290">
        <f>O8/9</f>
        <v>4286.8888888888887</v>
      </c>
    </row>
    <row r="9" spans="1:16" s="71" customFormat="1" ht="30" customHeight="1">
      <c r="A9" s="148">
        <v>2</v>
      </c>
      <c r="B9" s="265" t="s">
        <v>290</v>
      </c>
      <c r="C9" s="280">
        <f>'Electric Deferral'!D14</f>
        <v>0</v>
      </c>
      <c r="D9" s="280">
        <f>'Electric Deferral'!E14</f>
        <v>0</v>
      </c>
      <c r="E9" s="280">
        <f>'Electric Deferral'!F14</f>
        <v>0</v>
      </c>
      <c r="F9" s="280">
        <f>'Electric Deferral'!G14</f>
        <v>1762897</v>
      </c>
      <c r="G9" s="280">
        <f>'Electric Deferral'!H14</f>
        <v>1373082.892</v>
      </c>
      <c r="H9" s="280">
        <f>'Electric Deferral'!I14</f>
        <v>1398479</v>
      </c>
      <c r="I9" s="280">
        <f>'Electric Deferral'!J14</f>
        <v>1613174.1510000001</v>
      </c>
      <c r="J9" s="280">
        <f>'Electric Deferral'!K14</f>
        <v>2155535.4539999999</v>
      </c>
      <c r="K9" s="280">
        <f>'Electric Deferral'!L14</f>
        <v>2320559.4820000003</v>
      </c>
      <c r="L9" s="280">
        <f>'Electric Deferral'!M14</f>
        <v>2018639.0160000001</v>
      </c>
      <c r="M9" s="280">
        <f>'Electric Deferral'!N14</f>
        <v>3258845.409</v>
      </c>
      <c r="N9" s="280">
        <f>'Electric Deferral'!O14</f>
        <v>4691916.0279999999</v>
      </c>
      <c r="O9" s="290">
        <f>SUM(C9:N9)</f>
        <v>20593128.432</v>
      </c>
      <c r="P9" s="290"/>
    </row>
    <row r="10" spans="1:16" s="71" customFormat="1" ht="30" customHeight="1">
      <c r="A10" s="148">
        <v>3</v>
      </c>
      <c r="B10" s="265" t="s">
        <v>247</v>
      </c>
      <c r="C10" s="280">
        <f t="shared" ref="C10:E10" si="10">IF(C8&gt;0,C9/C8,0)</f>
        <v>0</v>
      </c>
      <c r="D10" s="280">
        <f t="shared" si="10"/>
        <v>0</v>
      </c>
      <c r="E10" s="280">
        <f t="shared" si="10"/>
        <v>0</v>
      </c>
      <c r="F10" s="280">
        <f>IF(F8&gt;0,F9/F8,0)</f>
        <v>540.60012266176022</v>
      </c>
      <c r="G10" s="280">
        <f t="shared" ref="G10:O10" si="11">IF(G8&gt;0,G9/G8,0)</f>
        <v>406.23754201183431</v>
      </c>
      <c r="H10" s="280">
        <f t="shared" si="11"/>
        <v>394.60468397291197</v>
      </c>
      <c r="I10" s="280">
        <f t="shared" si="11"/>
        <v>411.94436950970379</v>
      </c>
      <c r="J10" s="280">
        <f t="shared" si="11"/>
        <v>513.34495213145988</v>
      </c>
      <c r="K10" s="280">
        <f t="shared" si="11"/>
        <v>498.83049914015481</v>
      </c>
      <c r="L10" s="280">
        <f t="shared" si="11"/>
        <v>408.46600890327801</v>
      </c>
      <c r="M10" s="280">
        <f t="shared" si="11"/>
        <v>620.61424661969147</v>
      </c>
      <c r="N10" s="280">
        <f t="shared" si="11"/>
        <v>862.96046128379623</v>
      </c>
      <c r="O10" s="280">
        <f t="shared" si="11"/>
        <v>533.74963537400856</v>
      </c>
      <c r="P10" s="290"/>
    </row>
    <row r="11" spans="1:16" ht="30" customHeight="1">
      <c r="A11" s="148">
        <v>4</v>
      </c>
      <c r="B11" s="265" t="s">
        <v>235</v>
      </c>
      <c r="C11" s="280">
        <f>'Electric Deferral'!D41</f>
        <v>0</v>
      </c>
      <c r="D11" s="280">
        <f>'Electric Deferral'!E41</f>
        <v>0</v>
      </c>
      <c r="E11" s="280">
        <f>'Electric Deferral'!F41</f>
        <v>0</v>
      </c>
      <c r="F11" s="280">
        <f>'Electric Deferral'!G41</f>
        <v>873</v>
      </c>
      <c r="G11" s="280">
        <f>'Electric Deferral'!H41</f>
        <v>919</v>
      </c>
      <c r="H11" s="280">
        <f>'Electric Deferral'!I41</f>
        <v>1048</v>
      </c>
      <c r="I11" s="280">
        <f>'Electric Deferral'!J41</f>
        <v>1135</v>
      </c>
      <c r="J11" s="280">
        <f>'Electric Deferral'!K41</f>
        <v>1177</v>
      </c>
      <c r="K11" s="280">
        <f>'Electric Deferral'!L41</f>
        <v>1273</v>
      </c>
      <c r="L11" s="280">
        <f>'Electric Deferral'!M41</f>
        <v>1363</v>
      </c>
      <c r="M11" s="280">
        <f>'Electric Deferral'!N41</f>
        <v>1486</v>
      </c>
      <c r="N11" s="280">
        <f>'Electric Deferral'!O41</f>
        <v>1529</v>
      </c>
      <c r="O11" s="290">
        <f>SUM(C11:N11)</f>
        <v>10803</v>
      </c>
      <c r="P11" s="290">
        <f>O11/9</f>
        <v>1200.3333333333333</v>
      </c>
    </row>
    <row r="12" spans="1:16" s="71" customFormat="1" ht="30" customHeight="1">
      <c r="A12" s="148">
        <v>5</v>
      </c>
      <c r="B12" s="265" t="s">
        <v>249</v>
      </c>
      <c r="C12" s="280">
        <f>'Electric Deferral'!D42</f>
        <v>0</v>
      </c>
      <c r="D12" s="280">
        <f>'Electric Deferral'!E42</f>
        <v>0</v>
      </c>
      <c r="E12" s="280">
        <f>'Electric Deferral'!F42</f>
        <v>0</v>
      </c>
      <c r="F12" s="280">
        <f>'Electric Deferral'!G42</f>
        <v>2007628</v>
      </c>
      <c r="G12" s="280">
        <f>'Electric Deferral'!H42</f>
        <v>1811960.9600000002</v>
      </c>
      <c r="H12" s="280">
        <f>'Electric Deferral'!I42</f>
        <v>2179064</v>
      </c>
      <c r="I12" s="280">
        <f>'Electric Deferral'!J42</f>
        <v>2350153.9539999999</v>
      </c>
      <c r="J12" s="280">
        <f>'Electric Deferral'!K42</f>
        <v>3078900.3269999996</v>
      </c>
      <c r="K12" s="280">
        <f>'Electric Deferral'!L42</f>
        <v>4524953.1300000008</v>
      </c>
      <c r="L12" s="280">
        <f>'Electric Deferral'!M42</f>
        <v>4003264.88</v>
      </c>
      <c r="M12" s="280">
        <f>'Electric Deferral'!N42</f>
        <v>4655162.2590000005</v>
      </c>
      <c r="N12" s="280">
        <f>'Electric Deferral'!O42</f>
        <v>5333626.4580000006</v>
      </c>
      <c r="O12" s="290">
        <f>SUM(C12:N12)</f>
        <v>29944713.968000002</v>
      </c>
      <c r="P12" s="290"/>
    </row>
    <row r="13" spans="1:16" s="71" customFormat="1" ht="30" customHeight="1">
      <c r="A13" s="148">
        <v>6</v>
      </c>
      <c r="B13" s="265" t="s">
        <v>248</v>
      </c>
      <c r="C13" s="280">
        <f t="shared" ref="C13" si="12">IF(C11&gt;0,C12/C11,0)</f>
        <v>0</v>
      </c>
      <c r="D13" s="280">
        <f t="shared" ref="D13" si="13">IF(D11&gt;0,D12/D11,0)</f>
        <v>0</v>
      </c>
      <c r="E13" s="280">
        <f t="shared" ref="E13" si="14">IF(E11&gt;0,E12/E11,0)</f>
        <v>0</v>
      </c>
      <c r="F13" s="280">
        <f t="shared" ref="F13" si="15">IF(F11&gt;0,F12/F11,0)</f>
        <v>2299.6884306987399</v>
      </c>
      <c r="G13" s="280">
        <f t="shared" ref="G13" si="16">IF(G11&gt;0,G12/G11,0)</f>
        <v>1971.6658977149077</v>
      </c>
      <c r="H13" s="280">
        <f t="shared" ref="H13" si="17">IF(H11&gt;0,H12/H11,0)</f>
        <v>2079.259541984733</v>
      </c>
      <c r="I13" s="280">
        <f t="shared" ref="I13" si="18">IF(I11&gt;0,I12/I11,0)</f>
        <v>2070.6202237885464</v>
      </c>
      <c r="J13" s="280">
        <f t="shared" ref="J13" si="19">IF(J11&gt;0,J12/J11,0)</f>
        <v>2615.888128292268</v>
      </c>
      <c r="K13" s="280">
        <f t="shared" ref="K13" si="20">IF(K11&gt;0,K12/K11,0)</f>
        <v>3554.5586252945805</v>
      </c>
      <c r="L13" s="280">
        <f t="shared" ref="L13" si="21">IF(L11&gt;0,L12/L11,0)</f>
        <v>2937.098224504769</v>
      </c>
      <c r="M13" s="280">
        <f t="shared" ref="M13" si="22">IF(M11&gt;0,M12/M11,0)</f>
        <v>3132.6798512786008</v>
      </c>
      <c r="N13" s="280">
        <f t="shared" ref="N13" si="23">IF(N11&gt;0,N12/N11,0)</f>
        <v>3488.3103060824074</v>
      </c>
      <c r="O13" s="280">
        <f t="shared" ref="O13" si="24">IF(O11&gt;0,O12/O11,0)</f>
        <v>2771.8887316486162</v>
      </c>
      <c r="P13" s="290"/>
    </row>
    <row r="14" spans="1:16" s="71" customFormat="1" ht="12" customHeight="1">
      <c r="A14" s="148"/>
      <c r="B14" s="265"/>
      <c r="C14" s="280"/>
      <c r="D14" s="280"/>
      <c r="E14" s="280"/>
      <c r="F14" s="280"/>
      <c r="G14" s="280"/>
      <c r="H14" s="280"/>
      <c r="I14" s="280"/>
      <c r="J14" s="280"/>
      <c r="K14" s="280"/>
      <c r="L14" s="280"/>
      <c r="M14" s="280"/>
      <c r="N14" s="280"/>
      <c r="O14" s="280"/>
      <c r="P14" s="266"/>
    </row>
    <row r="15" spans="1:16" ht="30">
      <c r="A15" s="148">
        <v>7</v>
      </c>
      <c r="B15" s="265" t="s">
        <v>291</v>
      </c>
      <c r="C15" s="313">
        <f>'Electric Deferral'!D15</f>
        <v>0</v>
      </c>
      <c r="D15" s="313">
        <f>'Electric Deferral'!E15</f>
        <v>0</v>
      </c>
      <c r="E15" s="313">
        <f>'Electric Deferral'!F15</f>
        <v>0</v>
      </c>
      <c r="F15" s="313">
        <f>'Electric Deferral'!G15</f>
        <v>175571.19999999998</v>
      </c>
      <c r="G15" s="313">
        <f>'Electric Deferral'!H15</f>
        <v>144959.69</v>
      </c>
      <c r="H15" s="313">
        <f>'Electric Deferral'!I15</f>
        <v>149068.5</v>
      </c>
      <c r="I15" s="313">
        <f>'Electric Deferral'!J15</f>
        <v>169826.08</v>
      </c>
      <c r="J15" s="313">
        <f>'Electric Deferral'!K15</f>
        <v>219596.84999999998</v>
      </c>
      <c r="K15" s="313">
        <f>'Electric Deferral'!L15</f>
        <v>235292.46000000002</v>
      </c>
      <c r="L15" s="313">
        <f>'Electric Deferral'!M15</f>
        <v>211410.63999999998</v>
      </c>
      <c r="M15" s="313">
        <f>'Electric Deferral'!N15</f>
        <v>326947.99000000005</v>
      </c>
      <c r="N15" s="313">
        <f>'Electric Deferral'!O15</f>
        <v>464625.75</v>
      </c>
      <c r="O15" s="283">
        <f>SUM(C15:N15)</f>
        <v>2097299.16</v>
      </c>
      <c r="P15" s="283">
        <f>O15/P$8</f>
        <v>489.23571717381168</v>
      </c>
    </row>
    <row r="16" spans="1:16" ht="30" customHeight="1">
      <c r="A16" s="148">
        <v>8</v>
      </c>
      <c r="B16" s="265" t="s">
        <v>292</v>
      </c>
      <c r="C16" s="313">
        <f>'Electric Deferral'!D43</f>
        <v>0</v>
      </c>
      <c r="D16" s="313">
        <f>'Electric Deferral'!E43</f>
        <v>0</v>
      </c>
      <c r="E16" s="313">
        <f>'Electric Deferral'!F43</f>
        <v>0</v>
      </c>
      <c r="F16" s="313">
        <f>'Electric Deferral'!G43</f>
        <v>238431.57</v>
      </c>
      <c r="G16" s="313">
        <f>'Electric Deferral'!H43</f>
        <v>230638.36000000002</v>
      </c>
      <c r="H16" s="313">
        <f>'Electric Deferral'!I43</f>
        <v>280786.37999999995</v>
      </c>
      <c r="I16" s="313">
        <f>'Electric Deferral'!J43</f>
        <v>299927.27999999991</v>
      </c>
      <c r="J16" s="313">
        <f>'Electric Deferral'!K43</f>
        <v>367867.31</v>
      </c>
      <c r="K16" s="313">
        <f>'Electric Deferral'!L43</f>
        <v>504816.75000000006</v>
      </c>
      <c r="L16" s="313">
        <f>'Electric Deferral'!M43</f>
        <v>507502.91999999993</v>
      </c>
      <c r="M16" s="313">
        <f>'Electric Deferral'!N43</f>
        <v>551395.52</v>
      </c>
      <c r="N16" s="313">
        <f>'Electric Deferral'!O43</f>
        <v>612910.88</v>
      </c>
      <c r="O16" s="283">
        <f>SUM(C16:N16)</f>
        <v>3594276.9699999997</v>
      </c>
      <c r="P16" s="283">
        <f>O16/P$11</f>
        <v>2994.3990308247708</v>
      </c>
    </row>
    <row r="17" spans="1:16" s="71" customFormat="1" ht="18.75" customHeight="1">
      <c r="A17" s="148">
        <v>9</v>
      </c>
      <c r="B17" s="278" t="s">
        <v>236</v>
      </c>
      <c r="C17" s="279">
        <f>C15+C16</f>
        <v>0</v>
      </c>
      <c r="D17" s="279">
        <f t="shared" ref="D17:N17" si="25">D15+D16</f>
        <v>0</v>
      </c>
      <c r="E17" s="279">
        <f t="shared" si="25"/>
        <v>0</v>
      </c>
      <c r="F17" s="279">
        <f t="shared" si="25"/>
        <v>414002.77</v>
      </c>
      <c r="G17" s="279">
        <f t="shared" si="25"/>
        <v>375598.05000000005</v>
      </c>
      <c r="H17" s="279">
        <f t="shared" si="25"/>
        <v>429854.87999999995</v>
      </c>
      <c r="I17" s="279">
        <f t="shared" si="25"/>
        <v>469753.35999999987</v>
      </c>
      <c r="J17" s="279">
        <f t="shared" si="25"/>
        <v>587464.15999999992</v>
      </c>
      <c r="K17" s="279">
        <f t="shared" si="25"/>
        <v>740109.21000000008</v>
      </c>
      <c r="L17" s="279">
        <f t="shared" si="25"/>
        <v>718913.55999999994</v>
      </c>
      <c r="M17" s="279">
        <f t="shared" si="25"/>
        <v>878343.51</v>
      </c>
      <c r="N17" s="279">
        <f t="shared" si="25"/>
        <v>1077536.6299999999</v>
      </c>
      <c r="O17" s="279">
        <f>SUM(C17:N17)</f>
        <v>5691576.1299999999</v>
      </c>
    </row>
    <row r="18" spans="1:16" s="71" customFormat="1">
      <c r="A18" s="148"/>
      <c r="B18" s="265"/>
      <c r="C18" s="265"/>
      <c r="D18" s="265"/>
      <c r="E18" s="265"/>
    </row>
    <row r="19" spans="1:16" s="71" customFormat="1">
      <c r="A19" s="148">
        <v>10</v>
      </c>
      <c r="B19" s="265" t="s">
        <v>203</v>
      </c>
      <c r="C19" s="268">
        <f t="shared" ref="C19:N19" si="26">(C9+C12)*C44</f>
        <v>0</v>
      </c>
      <c r="D19" s="268">
        <f t="shared" si="26"/>
        <v>0</v>
      </c>
      <c r="E19" s="268">
        <f t="shared" si="26"/>
        <v>0</v>
      </c>
      <c r="F19" s="268">
        <f t="shared" si="26"/>
        <v>68284.207750000001</v>
      </c>
      <c r="G19" s="268">
        <f t="shared" si="26"/>
        <v>57681.144159720003</v>
      </c>
      <c r="H19" s="268">
        <f t="shared" si="26"/>
        <v>64789.303730000007</v>
      </c>
      <c r="I19" s="268">
        <f t="shared" si="26"/>
        <v>71775.871981550008</v>
      </c>
      <c r="J19" s="268">
        <f t="shared" si="26"/>
        <v>94795.631993909992</v>
      </c>
      <c r="K19" s="268">
        <f t="shared" si="26"/>
        <v>123972.23340332003</v>
      </c>
      <c r="L19" s="268">
        <f t="shared" si="26"/>
        <v>109056.67955656</v>
      </c>
      <c r="M19" s="268">
        <f t="shared" si="26"/>
        <v>143322.67886748002</v>
      </c>
      <c r="N19" s="268">
        <f t="shared" si="26"/>
        <v>181562.57442146004</v>
      </c>
      <c r="O19" s="268">
        <f>SUM(C19:N19)</f>
        <v>915240.32586400013</v>
      </c>
      <c r="P19" s="268"/>
    </row>
    <row r="20" spans="1:16">
      <c r="A20" s="148">
        <v>11</v>
      </c>
      <c r="B20" s="265" t="s">
        <v>273</v>
      </c>
      <c r="C20" s="273">
        <v>0</v>
      </c>
      <c r="D20" s="273">
        <v>0</v>
      </c>
      <c r="E20" s="273">
        <v>0</v>
      </c>
      <c r="F20" s="273">
        <v>67937.831816124439</v>
      </c>
      <c r="G20" s="273">
        <v>72514.034565666123</v>
      </c>
      <c r="H20" s="273">
        <v>77054.799750207778</v>
      </c>
      <c r="I20" s="273">
        <v>81934.907858957784</v>
      </c>
      <c r="J20" s="273">
        <v>87111.790433124464</v>
      </c>
      <c r="K20" s="273">
        <v>91579.969613291119</v>
      </c>
      <c r="L20" s="273">
        <v>95805.463479291095</v>
      </c>
      <c r="M20" s="273">
        <v>100296.21882208277</v>
      </c>
      <c r="N20" s="273">
        <v>106651.10468495777</v>
      </c>
      <c r="O20" s="268">
        <f>SUM(C20:N20)</f>
        <v>780886.12102370325</v>
      </c>
      <c r="P20" s="268"/>
    </row>
    <row r="21" spans="1:16" s="71" customFormat="1">
      <c r="A21" s="148">
        <v>12</v>
      </c>
      <c r="B21" s="265" t="s">
        <v>274</v>
      </c>
      <c r="C21" s="273">
        <v>0</v>
      </c>
      <c r="D21" s="273">
        <v>0</v>
      </c>
      <c r="E21" s="273">
        <v>0</v>
      </c>
      <c r="F21" s="273">
        <v>31889.668830407449</v>
      </c>
      <c r="G21" s="273">
        <v>34033.975894024108</v>
      </c>
      <c r="H21" s="273">
        <v>36161.69253519077</v>
      </c>
      <c r="I21" s="273">
        <v>38448.413523840776</v>
      </c>
      <c r="J21" s="273">
        <v>40874.159259307446</v>
      </c>
      <c r="K21" s="273">
        <v>42967.827483274101</v>
      </c>
      <c r="L21" s="273">
        <v>44947.794046674106</v>
      </c>
      <c r="M21" s="273">
        <v>47052.054378740773</v>
      </c>
      <c r="N21" s="273">
        <v>50029.782870940769</v>
      </c>
      <c r="O21" s="268">
        <f>SUM(C21:N21)</f>
        <v>366405.36882240028</v>
      </c>
      <c r="P21" s="268"/>
    </row>
    <row r="22" spans="1:16" s="71" customFormat="1">
      <c r="A22" s="148">
        <v>13</v>
      </c>
      <c r="B22" s="265" t="s">
        <v>275</v>
      </c>
      <c r="C22" s="268">
        <f>(C8+C11)*C49</f>
        <v>0</v>
      </c>
      <c r="D22" s="268">
        <f t="shared" ref="D22:N22" si="27">(D8+D11)*D49</f>
        <v>0</v>
      </c>
      <c r="E22" s="268">
        <f t="shared" si="27"/>
        <v>0</v>
      </c>
      <c r="F22" s="268">
        <f t="shared" si="27"/>
        <v>11770.310046457927</v>
      </c>
      <c r="G22" s="268">
        <f t="shared" si="27"/>
        <v>11722.138896370796</v>
      </c>
      <c r="H22" s="268">
        <f t="shared" si="27"/>
        <v>12158.596520030089</v>
      </c>
      <c r="I22" s="268">
        <f t="shared" si="27"/>
        <v>12751.557488920127</v>
      </c>
      <c r="J22" s="268">
        <f t="shared" si="27"/>
        <v>12831.843165023276</v>
      </c>
      <c r="K22" s="268">
        <f t="shared" si="27"/>
        <v>13636.121705411382</v>
      </c>
      <c r="L22" s="268">
        <f t="shared" si="27"/>
        <v>13678.267704151744</v>
      </c>
      <c r="M22" s="268">
        <f t="shared" si="27"/>
        <v>13660.84157996381</v>
      </c>
      <c r="N22" s="268">
        <f t="shared" si="27"/>
        <v>13581.286020866508</v>
      </c>
      <c r="O22" s="268">
        <f t="shared" ref="O22:O23" si="28">SUM(C22:N22)</f>
        <v>115790.96312719566</v>
      </c>
      <c r="P22" s="268"/>
    </row>
    <row r="23" spans="1:16">
      <c r="A23" s="148">
        <v>14</v>
      </c>
      <c r="B23" s="265" t="s">
        <v>276</v>
      </c>
      <c r="C23" s="268">
        <f>(C8+C11)*C50</f>
        <v>0</v>
      </c>
      <c r="D23" s="268">
        <f t="shared" ref="D23:N23" si="29">(D8+D11)*D50</f>
        <v>0</v>
      </c>
      <c r="E23" s="268">
        <f t="shared" si="29"/>
        <v>0</v>
      </c>
      <c r="F23" s="268">
        <f t="shared" si="29"/>
        <v>1706.1228456120709</v>
      </c>
      <c r="G23" s="268">
        <f t="shared" si="29"/>
        <v>1832.2558296472118</v>
      </c>
      <c r="H23" s="268">
        <f t="shared" si="29"/>
        <v>1893.0332913409886</v>
      </c>
      <c r="I23" s="268">
        <f t="shared" si="29"/>
        <v>2139.2163960121511</v>
      </c>
      <c r="J23" s="268">
        <f t="shared" si="29"/>
        <v>2285.5740196844849</v>
      </c>
      <c r="K23" s="268">
        <f t="shared" si="29"/>
        <v>2459.1030364783032</v>
      </c>
      <c r="L23" s="268">
        <f t="shared" si="29"/>
        <v>2379.9663668169783</v>
      </c>
      <c r="M23" s="268">
        <f t="shared" si="29"/>
        <v>2494.1699369571315</v>
      </c>
      <c r="N23" s="268">
        <f t="shared" si="29"/>
        <v>2575.4784472323472</v>
      </c>
      <c r="O23" s="268">
        <f t="shared" si="28"/>
        <v>19764.920169781668</v>
      </c>
      <c r="P23" s="268"/>
    </row>
    <row r="24" spans="1:16">
      <c r="A24" s="148">
        <v>15</v>
      </c>
      <c r="B24" s="265" t="s">
        <v>224</v>
      </c>
      <c r="C24" s="268">
        <f>C$17*C45</f>
        <v>0</v>
      </c>
      <c r="D24" s="268">
        <f t="shared" ref="D24:N24" si="30">D$17*D45</f>
        <v>0</v>
      </c>
      <c r="E24" s="268">
        <f t="shared" si="30"/>
        <v>0</v>
      </c>
      <c r="F24" s="268">
        <f t="shared" si="30"/>
        <v>15975.124885990002</v>
      </c>
      <c r="G24" s="268">
        <f t="shared" si="30"/>
        <v>14493.201955350003</v>
      </c>
      <c r="H24" s="268">
        <f t="shared" si="30"/>
        <v>16586.810254559998</v>
      </c>
      <c r="I24" s="268">
        <f t="shared" si="30"/>
        <v>18126.372902319996</v>
      </c>
      <c r="J24" s="268">
        <f t="shared" si="30"/>
        <v>22668.479541919998</v>
      </c>
      <c r="K24" s="268">
        <f t="shared" si="30"/>
        <v>28558.594086270004</v>
      </c>
      <c r="L24" s="268">
        <f t="shared" si="30"/>
        <v>27740.717539720001</v>
      </c>
      <c r="M24" s="268">
        <f t="shared" si="30"/>
        <v>33892.64102037</v>
      </c>
      <c r="N24" s="268">
        <f t="shared" si="30"/>
        <v>41578.905941810001</v>
      </c>
      <c r="O24" s="268">
        <f t="shared" ref="O24:O26" si="31">SUM(C24:N24)</f>
        <v>219620.84812831</v>
      </c>
      <c r="P24" s="268"/>
    </row>
    <row r="25" spans="1:16">
      <c r="A25" s="148">
        <v>16</v>
      </c>
      <c r="B25" s="265" t="s">
        <v>225</v>
      </c>
      <c r="C25" s="268">
        <f>C$17*C46</f>
        <v>0</v>
      </c>
      <c r="D25" s="268">
        <f t="shared" ref="D25:N25" si="32">D$17*D46</f>
        <v>0</v>
      </c>
      <c r="E25" s="268">
        <f t="shared" si="32"/>
        <v>0</v>
      </c>
      <c r="F25" s="268">
        <f t="shared" si="32"/>
        <v>1565.7584761400001</v>
      </c>
      <c r="G25" s="268">
        <f t="shared" si="32"/>
        <v>1420.5118251000004</v>
      </c>
      <c r="H25" s="268">
        <f t="shared" si="32"/>
        <v>1625.71115616</v>
      </c>
      <c r="I25" s="268">
        <f t="shared" si="32"/>
        <v>1776.6072075199995</v>
      </c>
      <c r="J25" s="268">
        <f t="shared" si="32"/>
        <v>2221.78945312</v>
      </c>
      <c r="K25" s="268">
        <f t="shared" si="32"/>
        <v>2799.0930322200006</v>
      </c>
      <c r="L25" s="268">
        <f t="shared" si="32"/>
        <v>2718.9310839199998</v>
      </c>
      <c r="M25" s="268">
        <f t="shared" si="32"/>
        <v>3321.8951548200002</v>
      </c>
      <c r="N25" s="268">
        <f t="shared" si="32"/>
        <v>4075.24353466</v>
      </c>
      <c r="O25" s="268">
        <f t="shared" si="31"/>
        <v>21525.540923659999</v>
      </c>
      <c r="P25" s="268"/>
    </row>
    <row r="26" spans="1:16">
      <c r="A26" s="148">
        <v>17</v>
      </c>
      <c r="B26" s="265" t="s">
        <v>226</v>
      </c>
      <c r="C26" s="268">
        <f>C$17*C47</f>
        <v>0</v>
      </c>
      <c r="D26" s="268">
        <f t="shared" ref="D26:N26" si="33">D$17*D47</f>
        <v>0</v>
      </c>
      <c r="E26" s="268">
        <f t="shared" si="33"/>
        <v>0</v>
      </c>
      <c r="F26" s="268">
        <f t="shared" si="33"/>
        <v>828.00554000000011</v>
      </c>
      <c r="G26" s="268">
        <f t="shared" si="33"/>
        <v>751.19610000000011</v>
      </c>
      <c r="H26" s="268">
        <f t="shared" si="33"/>
        <v>859.70975999999996</v>
      </c>
      <c r="I26" s="268">
        <f t="shared" si="33"/>
        <v>939.50671999999975</v>
      </c>
      <c r="J26" s="268">
        <f t="shared" si="33"/>
        <v>1174.9283199999998</v>
      </c>
      <c r="K26" s="268">
        <f t="shared" si="33"/>
        <v>1480.2184200000002</v>
      </c>
      <c r="L26" s="268">
        <f t="shared" si="33"/>
        <v>1437.8271199999999</v>
      </c>
      <c r="M26" s="268">
        <f t="shared" si="33"/>
        <v>1756.6870200000001</v>
      </c>
      <c r="N26" s="268">
        <f t="shared" si="33"/>
        <v>2155.0732599999997</v>
      </c>
      <c r="O26" s="268">
        <f t="shared" si="31"/>
        <v>11383.152259999999</v>
      </c>
      <c r="P26" s="268"/>
    </row>
    <row r="27" spans="1:16" ht="23.25" customHeight="1">
      <c r="A27" s="148">
        <v>18</v>
      </c>
      <c r="B27" s="278" t="s">
        <v>237</v>
      </c>
      <c r="C27" s="279">
        <f>SUM(C20:C26)</f>
        <v>0</v>
      </c>
      <c r="D27" s="279">
        <f>SUM(D20:D26)</f>
        <v>0</v>
      </c>
      <c r="E27" s="279">
        <f>SUM(E20:E26)</f>
        <v>0</v>
      </c>
      <c r="F27" s="279">
        <f>SUM(F19:F26)</f>
        <v>199957.03019073186</v>
      </c>
      <c r="G27" s="279">
        <f t="shared" ref="G27:O27" si="34">SUM(G20:G26)</f>
        <v>136767.31506615825</v>
      </c>
      <c r="H27" s="279">
        <f t="shared" si="34"/>
        <v>146340.35326748961</v>
      </c>
      <c r="I27" s="279">
        <f t="shared" si="34"/>
        <v>156116.58209757082</v>
      </c>
      <c r="J27" s="279">
        <f t="shared" si="34"/>
        <v>169168.56419217968</v>
      </c>
      <c r="K27" s="279">
        <f t="shared" si="34"/>
        <v>183480.92737694489</v>
      </c>
      <c r="L27" s="279">
        <f t="shared" si="34"/>
        <v>188708.96734057393</v>
      </c>
      <c r="M27" s="279">
        <f t="shared" si="34"/>
        <v>202474.5079129345</v>
      </c>
      <c r="N27" s="279">
        <f t="shared" si="34"/>
        <v>220646.87476046738</v>
      </c>
      <c r="O27" s="279">
        <f t="shared" si="34"/>
        <v>1535376.9144550506</v>
      </c>
      <c r="P27" s="268"/>
    </row>
    <row r="28" spans="1:16" s="71" customFormat="1">
      <c r="A28" s="148"/>
      <c r="B28" s="265"/>
      <c r="C28" s="268"/>
      <c r="D28" s="268"/>
      <c r="E28" s="268"/>
      <c r="F28" s="268"/>
      <c r="G28" s="268"/>
      <c r="H28" s="268"/>
      <c r="I28" s="268"/>
      <c r="J28" s="268"/>
      <c r="K28" s="268"/>
      <c r="L28" s="268"/>
      <c r="M28" s="268"/>
      <c r="N28" s="268"/>
      <c r="O28" s="268"/>
      <c r="P28" s="268"/>
    </row>
    <row r="29" spans="1:16" s="71" customFormat="1" ht="16.5" customHeight="1">
      <c r="A29" s="148">
        <v>19</v>
      </c>
      <c r="B29" s="265" t="s">
        <v>232</v>
      </c>
      <c r="C29" s="268">
        <f t="shared" ref="C29:N29" si="35">C17-C27</f>
        <v>0</v>
      </c>
      <c r="D29" s="268">
        <f t="shared" si="35"/>
        <v>0</v>
      </c>
      <c r="E29" s="268">
        <f t="shared" si="35"/>
        <v>0</v>
      </c>
      <c r="F29" s="268">
        <f t="shared" si="35"/>
        <v>214045.73980926815</v>
      </c>
      <c r="G29" s="268">
        <f t="shared" si="35"/>
        <v>238830.7349338418</v>
      </c>
      <c r="H29" s="268">
        <f t="shared" si="35"/>
        <v>283514.52673251031</v>
      </c>
      <c r="I29" s="268">
        <f t="shared" si="35"/>
        <v>313636.77790242905</v>
      </c>
      <c r="J29" s="268">
        <f t="shared" si="35"/>
        <v>418295.59580782021</v>
      </c>
      <c r="K29" s="268">
        <f t="shared" si="35"/>
        <v>556628.28262305516</v>
      </c>
      <c r="L29" s="268">
        <f t="shared" si="35"/>
        <v>530204.59265942604</v>
      </c>
      <c r="M29" s="268">
        <f t="shared" si="35"/>
        <v>675869.00208706548</v>
      </c>
      <c r="N29" s="268">
        <f t="shared" si="35"/>
        <v>856889.75523953256</v>
      </c>
      <c r="O29" s="268">
        <f t="shared" ref="O29:O30" si="36">SUM(C29:N29)</f>
        <v>4087915.0077949492</v>
      </c>
      <c r="P29" s="268"/>
    </row>
    <row r="30" spans="1:16" s="71" customFormat="1">
      <c r="A30" s="148">
        <v>20</v>
      </c>
      <c r="B30" s="265" t="s">
        <v>202</v>
      </c>
      <c r="C30" s="268">
        <f t="shared" ref="C30:N30" si="37">C29*C48</f>
        <v>0</v>
      </c>
      <c r="D30" s="268">
        <f t="shared" si="37"/>
        <v>0</v>
      </c>
      <c r="E30" s="268">
        <f t="shared" si="37"/>
        <v>0</v>
      </c>
      <c r="F30" s="268">
        <f t="shared" si="37"/>
        <v>44949.605359946312</v>
      </c>
      <c r="G30" s="268">
        <f t="shared" si="37"/>
        <v>50154.454336106777</v>
      </c>
      <c r="H30" s="268">
        <f t="shared" si="37"/>
        <v>59538.050613827159</v>
      </c>
      <c r="I30" s="268">
        <f t="shared" si="37"/>
        <v>65863.723359510099</v>
      </c>
      <c r="J30" s="268">
        <f t="shared" si="37"/>
        <v>87842.075119642235</v>
      </c>
      <c r="K30" s="268">
        <f t="shared" si="37"/>
        <v>116891.93935084158</v>
      </c>
      <c r="L30" s="268">
        <f t="shared" si="37"/>
        <v>111342.96445847946</v>
      </c>
      <c r="M30" s="268">
        <f t="shared" si="37"/>
        <v>141932.49043828374</v>
      </c>
      <c r="N30" s="268">
        <f t="shared" si="37"/>
        <v>179946.84860030183</v>
      </c>
      <c r="O30" s="268">
        <f t="shared" si="36"/>
        <v>858462.15163693926</v>
      </c>
      <c r="P30" s="268"/>
    </row>
    <row r="31" spans="1:16" s="71" customFormat="1">
      <c r="A31" s="148">
        <v>21</v>
      </c>
      <c r="B31" s="265" t="s">
        <v>222</v>
      </c>
      <c r="C31" s="268">
        <f t="shared" ref="C31:N31" si="38">(C37*C39*-C48)/12</f>
        <v>0</v>
      </c>
      <c r="D31" s="268">
        <f t="shared" si="38"/>
        <v>0</v>
      </c>
      <c r="E31" s="268">
        <f t="shared" si="38"/>
        <v>0</v>
      </c>
      <c r="F31" s="268">
        <f t="shared" si="38"/>
        <v>-15552.816455485421</v>
      </c>
      <c r="G31" s="268">
        <f t="shared" si="38"/>
        <v>-16588.276341101711</v>
      </c>
      <c r="H31" s="268">
        <f t="shared" si="38"/>
        <v>-17512.399393608088</v>
      </c>
      <c r="I31" s="268">
        <f t="shared" si="38"/>
        <v>-18698.564478494965</v>
      </c>
      <c r="J31" s="268">
        <f t="shared" si="38"/>
        <v>-19753.789214214768</v>
      </c>
      <c r="K31" s="268">
        <f t="shared" si="38"/>
        <v>-20614.467513039675</v>
      </c>
      <c r="L31" s="268">
        <f t="shared" si="38"/>
        <v>-21556.272066443096</v>
      </c>
      <c r="M31" s="268">
        <f t="shared" si="38"/>
        <v>-22534.261382917251</v>
      </c>
      <c r="N31" s="268">
        <f t="shared" si="38"/>
        <v>-24318.930533394465</v>
      </c>
      <c r="O31" s="268">
        <f>SUM(C31:N31)</f>
        <v>-177129.77737869945</v>
      </c>
      <c r="P31" s="268"/>
    </row>
    <row r="32" spans="1:16" s="160" customFormat="1">
      <c r="A32" s="285">
        <v>22</v>
      </c>
      <c r="B32" s="286" t="s">
        <v>233</v>
      </c>
      <c r="C32" s="287">
        <f>C29-C30-C31</f>
        <v>0</v>
      </c>
      <c r="D32" s="287">
        <f t="shared" ref="D32:O32" si="39">D29-D30-D31</f>
        <v>0</v>
      </c>
      <c r="E32" s="287">
        <f t="shared" si="39"/>
        <v>0</v>
      </c>
      <c r="F32" s="287">
        <f t="shared" si="39"/>
        <v>184648.95090480725</v>
      </c>
      <c r="G32" s="287">
        <f t="shared" si="39"/>
        <v>205264.55693883673</v>
      </c>
      <c r="H32" s="287">
        <f t="shared" si="39"/>
        <v>241488.87551229124</v>
      </c>
      <c r="I32" s="287">
        <f t="shared" si="39"/>
        <v>266471.61902141391</v>
      </c>
      <c r="J32" s="287">
        <f t="shared" si="39"/>
        <v>350207.30990239274</v>
      </c>
      <c r="K32" s="287">
        <f t="shared" si="39"/>
        <v>460350.81078525324</v>
      </c>
      <c r="L32" s="287">
        <f t="shared" si="39"/>
        <v>440417.90026738972</v>
      </c>
      <c r="M32" s="287">
        <f t="shared" si="39"/>
        <v>556470.77303169901</v>
      </c>
      <c r="N32" s="287">
        <f t="shared" si="39"/>
        <v>701261.83717262512</v>
      </c>
      <c r="O32" s="287">
        <f t="shared" si="39"/>
        <v>3406582.633536709</v>
      </c>
      <c r="P32" s="287"/>
    </row>
    <row r="33" spans="1:16" s="71" customFormat="1">
      <c r="A33" s="148"/>
      <c r="B33" s="265"/>
      <c r="C33" s="268"/>
      <c r="D33" s="268"/>
      <c r="E33" s="268"/>
      <c r="F33" s="268"/>
      <c r="G33" s="268"/>
      <c r="H33" s="268"/>
      <c r="I33" s="268"/>
      <c r="J33" s="268"/>
      <c r="K33" s="268"/>
      <c r="L33" s="268"/>
      <c r="M33" s="268"/>
      <c r="N33" s="268"/>
      <c r="O33" s="268"/>
      <c r="P33" s="268"/>
    </row>
    <row r="34" spans="1:16" s="284" customFormat="1" ht="30" customHeight="1">
      <c r="A34" s="148">
        <v>23</v>
      </c>
      <c r="B34" s="281" t="s">
        <v>277</v>
      </c>
      <c r="C34" s="282"/>
      <c r="D34" s="282"/>
      <c r="E34" s="282"/>
      <c r="F34" s="282">
        <v>34404414.478213355</v>
      </c>
      <c r="G34" s="282">
        <v>36746754.638213351</v>
      </c>
      <c r="H34" s="282">
        <v>38852602.578213356</v>
      </c>
      <c r="I34" s="282">
        <v>41527356.008213356</v>
      </c>
      <c r="J34" s="282">
        <v>43923848.018213354</v>
      </c>
      <c r="K34" s="282">
        <v>45904362.748213351</v>
      </c>
      <c r="L34" s="282">
        <v>48063150.938213348</v>
      </c>
      <c r="M34" s="282">
        <v>50303513.268213347</v>
      </c>
      <c r="N34" s="282">
        <v>54288367.298213348</v>
      </c>
      <c r="P34" s="283">
        <f>AVERAGE(F34:N34)</f>
        <v>43779374.441546686</v>
      </c>
    </row>
    <row r="35" spans="1:16">
      <c r="A35" s="148">
        <v>24</v>
      </c>
      <c r="B35" s="265" t="s">
        <v>278</v>
      </c>
      <c r="C35" s="277"/>
      <c r="D35" s="277"/>
      <c r="E35" s="277"/>
      <c r="F35" s="277">
        <v>-562189.77770033735</v>
      </c>
      <c r="G35" s="277">
        <v>-634703.81226600346</v>
      </c>
      <c r="H35" s="277">
        <v>-711758.61201621138</v>
      </c>
      <c r="I35" s="277">
        <v>-793693.51987516915</v>
      </c>
      <c r="J35" s="277">
        <v>-880805.31030829367</v>
      </c>
      <c r="K35" s="277">
        <v>-972385.27992158476</v>
      </c>
      <c r="L35" s="277">
        <v>-1068190.7434008759</v>
      </c>
      <c r="M35" s="277">
        <v>-1168486.9622229587</v>
      </c>
      <c r="N35" s="277">
        <v>-1275138.0669079165</v>
      </c>
      <c r="P35" s="268">
        <f>AVERAGE(F35:N35)</f>
        <v>-896372.45384659467</v>
      </c>
    </row>
    <row r="36" spans="1:16" s="284" customFormat="1">
      <c r="A36" s="148">
        <v>25</v>
      </c>
      <c r="B36" s="281" t="s">
        <v>279</v>
      </c>
      <c r="C36" s="282"/>
      <c r="D36" s="282"/>
      <c r="E36" s="282"/>
      <c r="F36" s="282">
        <v>-305154.17655523866</v>
      </c>
      <c r="G36" s="282">
        <v>-342182.70497330505</v>
      </c>
      <c r="H36" s="282">
        <v>-378257.67270261777</v>
      </c>
      <c r="I36" s="282">
        <v>-413307.81772909302</v>
      </c>
      <c r="J36" s="282">
        <v>-447270.81741499313</v>
      </c>
      <c r="K36" s="282">
        <v>-480295.49947305844</v>
      </c>
      <c r="L36" s="282">
        <v>-512432.82781926345</v>
      </c>
      <c r="M36" s="282">
        <v>-543627.09754348267</v>
      </c>
      <c r="N36" s="282">
        <v>-573486.84123649774</v>
      </c>
      <c r="P36" s="283">
        <f>AVERAGE(F36:N36)</f>
        <v>-444001.71727194998</v>
      </c>
    </row>
    <row r="37" spans="1:16">
      <c r="A37" s="148">
        <v>26</v>
      </c>
      <c r="B37" s="265" t="s">
        <v>200</v>
      </c>
      <c r="C37" s="268">
        <f t="shared" ref="C37:E37" si="40">SUM(C34:C36)</f>
        <v>0</v>
      </c>
      <c r="D37" s="268">
        <f t="shared" si="40"/>
        <v>0</v>
      </c>
      <c r="E37" s="268">
        <f t="shared" si="40"/>
        <v>0</v>
      </c>
      <c r="F37" s="268">
        <f t="shared" ref="F37:N37" si="41">SUM(F34:F36)</f>
        <v>33537070.523957781</v>
      </c>
      <c r="G37" s="268">
        <f t="shared" si="41"/>
        <v>35769868.120974042</v>
      </c>
      <c r="H37" s="268">
        <f t="shared" si="41"/>
        <v>37762586.29349453</v>
      </c>
      <c r="I37" s="268">
        <f t="shared" si="41"/>
        <v>40320354.670609094</v>
      </c>
      <c r="J37" s="268">
        <f t="shared" si="41"/>
        <v>42595771.89049007</v>
      </c>
      <c r="K37" s="268">
        <f t="shared" si="41"/>
        <v>44451681.968818709</v>
      </c>
      <c r="L37" s="268">
        <f t="shared" si="41"/>
        <v>46482527.366993204</v>
      </c>
      <c r="M37" s="268">
        <f t="shared" si="41"/>
        <v>48591399.208446905</v>
      </c>
      <c r="N37" s="268">
        <f t="shared" si="41"/>
        <v>52439742.390068933</v>
      </c>
      <c r="P37" s="268">
        <f>SUM(P34:P36)</f>
        <v>42439000.270428143</v>
      </c>
    </row>
    <row r="38" spans="1:16">
      <c r="A38" s="148">
        <v>27</v>
      </c>
      <c r="B38" s="265" t="s">
        <v>206</v>
      </c>
      <c r="C38" s="171">
        <v>7.4999999999999997E-2</v>
      </c>
      <c r="D38" s="146">
        <f>C38</f>
        <v>7.4999999999999997E-2</v>
      </c>
      <c r="E38" s="146">
        <f>D38</f>
        <v>7.4999999999999997E-2</v>
      </c>
      <c r="F38" s="171">
        <v>7.2099999999999997E-2</v>
      </c>
      <c r="G38" s="146">
        <f>F38</f>
        <v>7.2099999999999997E-2</v>
      </c>
      <c r="H38" s="146">
        <f t="shared" ref="H38:N38" si="42">G38</f>
        <v>7.2099999999999997E-2</v>
      </c>
      <c r="I38" s="146">
        <f t="shared" si="42"/>
        <v>7.2099999999999997E-2</v>
      </c>
      <c r="J38" s="146">
        <f t="shared" si="42"/>
        <v>7.2099999999999997E-2</v>
      </c>
      <c r="K38" s="146">
        <f t="shared" si="42"/>
        <v>7.2099999999999997E-2</v>
      </c>
      <c r="L38" s="146">
        <f t="shared" si="42"/>
        <v>7.2099999999999997E-2</v>
      </c>
      <c r="M38" s="146">
        <f t="shared" si="42"/>
        <v>7.2099999999999997E-2</v>
      </c>
      <c r="N38" s="146">
        <f t="shared" si="42"/>
        <v>7.2099999999999997E-2</v>
      </c>
    </row>
    <row r="39" spans="1:16">
      <c r="A39" s="148">
        <v>28</v>
      </c>
      <c r="B39" s="265" t="s">
        <v>223</v>
      </c>
      <c r="C39" s="171">
        <v>2.8899999999999999E-2</v>
      </c>
      <c r="D39" s="146">
        <f>C39</f>
        <v>2.8899999999999999E-2</v>
      </c>
      <c r="E39" s="146">
        <f>D39</f>
        <v>2.8899999999999999E-2</v>
      </c>
      <c r="F39" s="171">
        <v>2.6499999999999999E-2</v>
      </c>
      <c r="G39" s="146">
        <f>F39</f>
        <v>2.6499999999999999E-2</v>
      </c>
      <c r="H39" s="146">
        <f t="shared" ref="H39:N39" si="43">G39</f>
        <v>2.6499999999999999E-2</v>
      </c>
      <c r="I39" s="146">
        <f t="shared" si="43"/>
        <v>2.6499999999999999E-2</v>
      </c>
      <c r="J39" s="146">
        <f t="shared" si="43"/>
        <v>2.6499999999999999E-2</v>
      </c>
      <c r="K39" s="146">
        <f t="shared" si="43"/>
        <v>2.6499999999999999E-2</v>
      </c>
      <c r="L39" s="146">
        <f t="shared" si="43"/>
        <v>2.6499999999999999E-2</v>
      </c>
      <c r="M39" s="146">
        <f t="shared" si="43"/>
        <v>2.6499999999999999E-2</v>
      </c>
      <c r="N39" s="146">
        <f t="shared" si="43"/>
        <v>2.6499999999999999E-2</v>
      </c>
      <c r="O39" s="71"/>
      <c r="P39" s="71"/>
    </row>
    <row r="40" spans="1:16" s="160" customFormat="1">
      <c r="A40" s="285">
        <v>29</v>
      </c>
      <c r="B40" s="286" t="s">
        <v>201</v>
      </c>
      <c r="C40" s="287">
        <f t="shared" ref="C40:E40" si="44">C37*C38/12</f>
        <v>0</v>
      </c>
      <c r="D40" s="287">
        <f t="shared" si="44"/>
        <v>0</v>
      </c>
      <c r="E40" s="287">
        <f t="shared" si="44"/>
        <v>0</v>
      </c>
      <c r="F40" s="287">
        <f>F37*F38/12</f>
        <v>201501.89873144633</v>
      </c>
      <c r="G40" s="287">
        <f t="shared" ref="G40:N40" si="45">G37*G38/12</f>
        <v>214917.2909601857</v>
      </c>
      <c r="H40" s="287">
        <f t="shared" si="45"/>
        <v>226890.20598007963</v>
      </c>
      <c r="I40" s="287">
        <f t="shared" si="45"/>
        <v>242258.13097924297</v>
      </c>
      <c r="J40" s="287">
        <f t="shared" si="45"/>
        <v>255929.59610869447</v>
      </c>
      <c r="K40" s="287">
        <f t="shared" si="45"/>
        <v>267080.52249598573</v>
      </c>
      <c r="L40" s="287">
        <f t="shared" si="45"/>
        <v>279282.51859668415</v>
      </c>
      <c r="M40" s="287">
        <f t="shared" si="45"/>
        <v>291953.32357741852</v>
      </c>
      <c r="N40" s="287">
        <f t="shared" si="45"/>
        <v>315075.45219366415</v>
      </c>
      <c r="O40" s="287">
        <f>SUM(C40:N40)</f>
        <v>2294888.9396234015</v>
      </c>
      <c r="P40" s="287"/>
    </row>
    <row r="42" spans="1:16" s="160" customFormat="1">
      <c r="A42" s="285">
        <v>30</v>
      </c>
      <c r="B42" s="286" t="s">
        <v>238</v>
      </c>
      <c r="C42" s="287">
        <f>C32-C40</f>
        <v>0</v>
      </c>
      <c r="D42" s="287">
        <f t="shared" ref="D42:N42" si="46">D32-D40</f>
        <v>0</v>
      </c>
      <c r="E42" s="287">
        <f t="shared" si="46"/>
        <v>0</v>
      </c>
      <c r="F42" s="287">
        <f t="shared" si="46"/>
        <v>-16852.94782663908</v>
      </c>
      <c r="G42" s="287">
        <f t="shared" si="46"/>
        <v>-9652.7340213489661</v>
      </c>
      <c r="H42" s="287">
        <f t="shared" si="46"/>
        <v>14598.669532211614</v>
      </c>
      <c r="I42" s="287">
        <f t="shared" si="46"/>
        <v>24213.488042170939</v>
      </c>
      <c r="J42" s="287">
        <f t="shared" si="46"/>
        <v>94277.713793698262</v>
      </c>
      <c r="K42" s="287">
        <f t="shared" si="46"/>
        <v>193270.28828926751</v>
      </c>
      <c r="L42" s="287">
        <f t="shared" si="46"/>
        <v>161135.38167070557</v>
      </c>
      <c r="M42" s="287">
        <f t="shared" si="46"/>
        <v>264517.44945428049</v>
      </c>
      <c r="N42" s="287">
        <f t="shared" si="46"/>
        <v>386186.38497896097</v>
      </c>
      <c r="O42" s="287">
        <f>SUM(C42:N42)</f>
        <v>1111693.6939133073</v>
      </c>
      <c r="P42" s="287"/>
    </row>
    <row r="44" spans="1:16">
      <c r="A44" s="148">
        <v>31</v>
      </c>
      <c r="B44" s="265" t="s">
        <v>227</v>
      </c>
      <c r="C44" s="274">
        <v>1.8110000000000001E-2</v>
      </c>
      <c r="D44" s="71">
        <f>C44</f>
        <v>1.8110000000000001E-2</v>
      </c>
      <c r="E44" s="71">
        <f>D44</f>
        <v>1.8110000000000001E-2</v>
      </c>
      <c r="F44" s="274">
        <v>1.8110000000000001E-2</v>
      </c>
      <c r="G44">
        <f>F44</f>
        <v>1.8110000000000001E-2</v>
      </c>
      <c r="H44" s="71">
        <f t="shared" ref="H44:N44" si="47">G44</f>
        <v>1.8110000000000001E-2</v>
      </c>
      <c r="I44" s="71">
        <f t="shared" si="47"/>
        <v>1.8110000000000001E-2</v>
      </c>
      <c r="J44" s="71">
        <f t="shared" si="47"/>
        <v>1.8110000000000001E-2</v>
      </c>
      <c r="K44" s="71">
        <f t="shared" si="47"/>
        <v>1.8110000000000001E-2</v>
      </c>
      <c r="L44" s="71">
        <f t="shared" si="47"/>
        <v>1.8110000000000001E-2</v>
      </c>
      <c r="M44" s="71">
        <f t="shared" si="47"/>
        <v>1.8110000000000001E-2</v>
      </c>
      <c r="N44" s="71">
        <f t="shared" si="47"/>
        <v>1.8110000000000001E-2</v>
      </c>
    </row>
    <row r="45" spans="1:16">
      <c r="A45" s="148">
        <v>32</v>
      </c>
      <c r="B45" s="265" t="s">
        <v>228</v>
      </c>
      <c r="C45" s="274">
        <v>3.8495000000000001E-2</v>
      </c>
      <c r="D45" s="71">
        <f>C45</f>
        <v>3.8495000000000001E-2</v>
      </c>
      <c r="E45" s="71">
        <f>D45</f>
        <v>3.8495000000000001E-2</v>
      </c>
      <c r="F45" s="274">
        <v>3.8587000000000003E-2</v>
      </c>
      <c r="G45">
        <f>F45</f>
        <v>3.8587000000000003E-2</v>
      </c>
      <c r="H45" s="71">
        <f t="shared" ref="H45:N45" si="48">G45</f>
        <v>3.8587000000000003E-2</v>
      </c>
      <c r="I45" s="71">
        <f t="shared" si="48"/>
        <v>3.8587000000000003E-2</v>
      </c>
      <c r="J45" s="71">
        <f t="shared" si="48"/>
        <v>3.8587000000000003E-2</v>
      </c>
      <c r="K45" s="71">
        <f t="shared" si="48"/>
        <v>3.8587000000000003E-2</v>
      </c>
      <c r="L45" s="71">
        <f t="shared" si="48"/>
        <v>3.8587000000000003E-2</v>
      </c>
      <c r="M45" s="71">
        <f t="shared" si="48"/>
        <v>3.8587000000000003E-2</v>
      </c>
      <c r="N45" s="71">
        <f t="shared" si="48"/>
        <v>3.8587000000000003E-2</v>
      </c>
    </row>
    <row r="46" spans="1:16">
      <c r="A46" s="148">
        <v>33</v>
      </c>
      <c r="B46" s="265" t="s">
        <v>229</v>
      </c>
      <c r="C46" s="274">
        <v>6.1830000000000001E-3</v>
      </c>
      <c r="D46" s="71">
        <f t="shared" ref="D46:E46" si="49">C46</f>
        <v>6.1830000000000001E-3</v>
      </c>
      <c r="E46" s="71">
        <f t="shared" si="49"/>
        <v>6.1830000000000001E-3</v>
      </c>
      <c r="F46" s="274">
        <v>3.7820000000000002E-3</v>
      </c>
      <c r="G46" s="71">
        <f t="shared" ref="G46:N48" si="50">F46</f>
        <v>3.7820000000000002E-3</v>
      </c>
      <c r="H46" s="71">
        <f t="shared" si="50"/>
        <v>3.7820000000000002E-3</v>
      </c>
      <c r="I46" s="71">
        <f t="shared" si="50"/>
        <v>3.7820000000000002E-3</v>
      </c>
      <c r="J46" s="71">
        <f t="shared" si="50"/>
        <v>3.7820000000000002E-3</v>
      </c>
      <c r="K46" s="71">
        <f t="shared" si="50"/>
        <v>3.7820000000000002E-3</v>
      </c>
      <c r="L46" s="71">
        <f t="shared" si="50"/>
        <v>3.7820000000000002E-3</v>
      </c>
      <c r="M46" s="71">
        <f t="shared" si="50"/>
        <v>3.7820000000000002E-3</v>
      </c>
      <c r="N46" s="71">
        <f t="shared" si="50"/>
        <v>3.7820000000000002E-3</v>
      </c>
    </row>
    <row r="47" spans="1:16">
      <c r="A47" s="148">
        <v>34</v>
      </c>
      <c r="B47" s="265" t="s">
        <v>230</v>
      </c>
      <c r="C47" s="275">
        <v>2E-3</v>
      </c>
      <c r="D47" s="271">
        <f t="shared" ref="D47:E47" si="51">C47</f>
        <v>2E-3</v>
      </c>
      <c r="E47" s="271">
        <f t="shared" si="51"/>
        <v>2E-3</v>
      </c>
      <c r="F47" s="275">
        <v>2E-3</v>
      </c>
      <c r="G47" s="271">
        <f t="shared" si="50"/>
        <v>2E-3</v>
      </c>
      <c r="H47" s="271">
        <f t="shared" si="50"/>
        <v>2E-3</v>
      </c>
      <c r="I47" s="271">
        <f t="shared" si="50"/>
        <v>2E-3</v>
      </c>
      <c r="J47" s="271">
        <f t="shared" si="50"/>
        <v>2E-3</v>
      </c>
      <c r="K47" s="271">
        <f t="shared" si="50"/>
        <v>2E-3</v>
      </c>
      <c r="L47" s="271">
        <f t="shared" si="50"/>
        <v>2E-3</v>
      </c>
      <c r="M47" s="271">
        <f t="shared" si="50"/>
        <v>2E-3</v>
      </c>
      <c r="N47" s="271">
        <f t="shared" si="50"/>
        <v>2E-3</v>
      </c>
    </row>
    <row r="48" spans="1:16">
      <c r="A48" s="148">
        <v>35</v>
      </c>
      <c r="B48" s="265" t="s">
        <v>231</v>
      </c>
      <c r="C48" s="276">
        <v>0.21</v>
      </c>
      <c r="D48" s="272">
        <f t="shared" ref="D48:E48" si="52">C48</f>
        <v>0.21</v>
      </c>
      <c r="E48" s="272">
        <f t="shared" si="52"/>
        <v>0.21</v>
      </c>
      <c r="F48" s="276">
        <v>0.21</v>
      </c>
      <c r="G48" s="272">
        <f t="shared" si="50"/>
        <v>0.21</v>
      </c>
      <c r="H48" s="272">
        <f t="shared" si="50"/>
        <v>0.21</v>
      </c>
      <c r="I48" s="272">
        <f t="shared" si="50"/>
        <v>0.21</v>
      </c>
      <c r="J48" s="272">
        <f t="shared" si="50"/>
        <v>0.21</v>
      </c>
      <c r="K48" s="272">
        <f t="shared" si="50"/>
        <v>0.21</v>
      </c>
      <c r="L48" s="272">
        <f t="shared" si="50"/>
        <v>0.21</v>
      </c>
      <c r="M48" s="272">
        <f t="shared" si="50"/>
        <v>0.21</v>
      </c>
      <c r="N48" s="272">
        <f t="shared" si="50"/>
        <v>0.21</v>
      </c>
    </row>
    <row r="49" spans="1:15" ht="15" customHeight="1">
      <c r="A49" s="148">
        <v>36</v>
      </c>
      <c r="B49" s="265" t="s">
        <v>280</v>
      </c>
      <c r="C49" s="289">
        <v>3.0761603348064646</v>
      </c>
      <c r="D49" s="289">
        <v>3.0044542006366108</v>
      </c>
      <c r="E49" s="289">
        <v>2.9989603950109349</v>
      </c>
      <c r="F49" s="289">
        <v>2.8471964311702775</v>
      </c>
      <c r="G49" s="289">
        <v>2.726712932396091</v>
      </c>
      <c r="H49" s="289">
        <v>2.6477779878114305</v>
      </c>
      <c r="I49" s="289">
        <v>2.5245609758305538</v>
      </c>
      <c r="J49" s="289">
        <v>2.3868755887320083</v>
      </c>
      <c r="K49" s="289">
        <v>2.3014551401538199</v>
      </c>
      <c r="L49" s="289">
        <v>2.1694318325379451</v>
      </c>
      <c r="M49" s="289">
        <v>2.0277336470185259</v>
      </c>
      <c r="N49" s="289">
        <v>1.9496534626566908</v>
      </c>
    </row>
    <row r="50" spans="1:15" ht="15" customHeight="1">
      <c r="A50" s="148">
        <v>37</v>
      </c>
      <c r="B50" s="265" t="s">
        <v>281</v>
      </c>
      <c r="C50" s="289">
        <v>0.44643617263621038</v>
      </c>
      <c r="D50" s="289">
        <v>0.43446608477743109</v>
      </c>
      <c r="E50" s="289">
        <v>0.41674036758250604</v>
      </c>
      <c r="F50" s="289">
        <v>0.4127050908592334</v>
      </c>
      <c r="G50" s="289">
        <v>0.42620512436548308</v>
      </c>
      <c r="H50" s="289">
        <v>0.41224592581467523</v>
      </c>
      <c r="I50" s="289">
        <v>0.4235233411229759</v>
      </c>
      <c r="J50" s="289">
        <v>0.42514397687583422</v>
      </c>
      <c r="K50" s="289">
        <v>0.41503848716933389</v>
      </c>
      <c r="L50" s="289">
        <v>0.37747285754432647</v>
      </c>
      <c r="M50" s="289">
        <v>0.3702196729934884</v>
      </c>
      <c r="N50" s="289">
        <v>0.36972128154354683</v>
      </c>
    </row>
    <row r="51" spans="1:15">
      <c r="B51" s="265"/>
    </row>
    <row r="52" spans="1:15" s="71" customFormat="1" ht="19.5" customHeight="1">
      <c r="A52" s="53" t="s">
        <v>242</v>
      </c>
      <c r="B52" s="305" t="s">
        <v>283</v>
      </c>
      <c r="C52" s="305"/>
      <c r="D52" s="305"/>
      <c r="E52" s="305"/>
      <c r="F52" s="305"/>
      <c r="G52" s="305"/>
      <c r="H52" s="305"/>
      <c r="I52" s="305"/>
      <c r="J52" s="305"/>
      <c r="K52" s="305"/>
      <c r="L52" s="305"/>
      <c r="M52" s="305"/>
      <c r="N52" s="305"/>
      <c r="O52" s="305"/>
    </row>
    <row r="53" spans="1:15">
      <c r="A53" s="148" t="s">
        <v>243</v>
      </c>
      <c r="B53" s="49" t="s">
        <v>284</v>
      </c>
    </row>
    <row r="54" spans="1:15">
      <c r="A54" s="148" t="s">
        <v>282</v>
      </c>
      <c r="B54" s="49" t="s">
        <v>285</v>
      </c>
    </row>
  </sheetData>
  <mergeCells count="1">
    <mergeCell ref="B52:O52"/>
  </mergeCells>
  <printOptions horizontalCentered="1"/>
  <pageMargins left="0.7" right="0.7" top="0.75" bottom="0.75" header="0.3" footer="0.3"/>
  <pageSetup scale="54" firstPageNumber="16" orientation="landscape" r:id="rId1"/>
  <headerFooter scaleWithDoc="0">
    <oddHeader>&amp;CAvista Corporation Decoupling Mechanism
Washington Jurisdiction
Quarterly Report for 4th Quarter 2020</oddHeader>
    <oddFooter>&amp;Cfile: &amp;F / &amp;A&amp;RPage 16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C34F-0553-4AD1-82B5-237F6395C686}">
  <sheetPr>
    <tabColor rgb="FFFFC000"/>
    <pageSetUpPr fitToPage="1"/>
  </sheetPr>
  <dimension ref="A2:P54"/>
  <sheetViews>
    <sheetView topLeftCell="B29" zoomScaleNormal="100" workbookViewId="0">
      <selection activeCell="B29" sqref="B29"/>
    </sheetView>
  </sheetViews>
  <sheetFormatPr defaultRowHeight="15"/>
  <cols>
    <col min="1" max="1" width="8" style="148" customWidth="1"/>
    <col min="2" max="2" width="32" style="71" customWidth="1"/>
    <col min="3" max="3" width="13" style="71" customWidth="1"/>
    <col min="4" max="4" width="13.140625" style="71" customWidth="1"/>
    <col min="5" max="5" width="12" style="71" customWidth="1"/>
    <col min="6" max="6" width="12.7109375" style="71" customWidth="1"/>
    <col min="7" max="7" width="12.5703125" style="71" customWidth="1"/>
    <col min="8" max="8" width="12.85546875" style="71" customWidth="1"/>
    <col min="9" max="9" width="12.42578125" style="71" customWidth="1"/>
    <col min="10" max="10" width="12.85546875" style="71" customWidth="1"/>
    <col min="11" max="11" width="13.140625" style="71" customWidth="1"/>
    <col min="12" max="12" width="13" style="71" customWidth="1"/>
    <col min="13" max="13" width="12.85546875" style="71" customWidth="1"/>
    <col min="14" max="14" width="13.140625" style="71" customWidth="1"/>
    <col min="15" max="15" width="12.7109375" style="71" customWidth="1"/>
    <col min="16" max="16" width="12.5703125" style="71" customWidth="1"/>
    <col min="17" max="16384" width="9.140625" style="71"/>
  </cols>
  <sheetData>
    <row r="2" spans="1:16" ht="15.75">
      <c r="B2" s="238" t="s">
        <v>197</v>
      </c>
      <c r="C2" s="238"/>
      <c r="D2" s="238"/>
      <c r="E2" s="238"/>
    </row>
    <row r="3" spans="1:16" ht="15.75">
      <c r="B3" s="238" t="s">
        <v>244</v>
      </c>
      <c r="C3" s="238"/>
      <c r="D3" s="238"/>
      <c r="E3" s="238"/>
    </row>
    <row r="5" spans="1:16">
      <c r="P5" s="288" t="s">
        <v>205</v>
      </c>
    </row>
    <row r="6" spans="1:16">
      <c r="A6" s="107" t="s">
        <v>1</v>
      </c>
      <c r="B6" s="107"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c r="P6" s="269" t="s">
        <v>204</v>
      </c>
    </row>
    <row r="7" spans="1:16">
      <c r="B7" s="288"/>
      <c r="C7" s="288"/>
      <c r="D7" s="288"/>
      <c r="E7" s="288"/>
    </row>
    <row r="8" spans="1:16" ht="30" customHeight="1">
      <c r="A8" s="148">
        <v>1</v>
      </c>
      <c r="B8" s="265" t="s">
        <v>234</v>
      </c>
      <c r="C8" s="280">
        <f>'Nat Gas Deferral'!D13</f>
        <v>0</v>
      </c>
      <c r="D8" s="280">
        <f>'Nat Gas Deferral'!E13</f>
        <v>0</v>
      </c>
      <c r="E8" s="280">
        <f>'Nat Gas Deferral'!F13</f>
        <v>0</v>
      </c>
      <c r="F8" s="280">
        <f>'Nat Gas Deferral'!G13</f>
        <v>4208</v>
      </c>
      <c r="G8" s="280">
        <f>'Nat Gas Deferral'!H13</f>
        <v>4233</v>
      </c>
      <c r="H8" s="280">
        <f>'Nat Gas Deferral'!I13</f>
        <v>4349</v>
      </c>
      <c r="I8" s="280">
        <f>'Nat Gas Deferral'!J13</f>
        <v>4745</v>
      </c>
      <c r="J8" s="280">
        <f>'Nat Gas Deferral'!K13</f>
        <v>4977</v>
      </c>
      <c r="K8" s="280">
        <f>'Nat Gas Deferral'!L13</f>
        <v>5290</v>
      </c>
      <c r="L8" s="280">
        <f>'Nat Gas Deferral'!M13</f>
        <v>5449</v>
      </c>
      <c r="M8" s="280">
        <f>'Nat Gas Deferral'!N13</f>
        <v>5715</v>
      </c>
      <c r="N8" s="280">
        <f>'Nat Gas Deferral'!O13</f>
        <v>5901</v>
      </c>
      <c r="O8" s="290">
        <f>SUM(C8:N8)</f>
        <v>44867</v>
      </c>
      <c r="P8" s="290">
        <f>O8/9</f>
        <v>4985.2222222222226</v>
      </c>
    </row>
    <row r="9" spans="1:16" ht="30" customHeight="1">
      <c r="A9" s="148">
        <v>2</v>
      </c>
      <c r="B9" s="265" t="s">
        <v>293</v>
      </c>
      <c r="C9" s="280">
        <f>'Nat Gas Deferral'!D14</f>
        <v>0</v>
      </c>
      <c r="D9" s="280">
        <f>'Nat Gas Deferral'!E14</f>
        <v>0</v>
      </c>
      <c r="E9" s="280">
        <f>'Nat Gas Deferral'!F14</f>
        <v>0</v>
      </c>
      <c r="F9" s="280">
        <f>'Nat Gas Deferral'!G14</f>
        <v>268677</v>
      </c>
      <c r="G9" s="280">
        <f>'Nat Gas Deferral'!H14</f>
        <v>120935.51622</v>
      </c>
      <c r="H9" s="280">
        <f>'Nat Gas Deferral'!I14</f>
        <v>82419.100000000006</v>
      </c>
      <c r="I9" s="280">
        <f>'Nat Gas Deferral'!J14</f>
        <v>54756.319149999996</v>
      </c>
      <c r="J9" s="280">
        <f>'Nat Gas Deferral'!K14</f>
        <v>35744.457240000003</v>
      </c>
      <c r="K9" s="280">
        <f>'Nat Gas Deferral'!L14</f>
        <v>44184.928159999996</v>
      </c>
      <c r="L9" s="280">
        <f>'Nat Gas Deferral'!M14</f>
        <v>100287</v>
      </c>
      <c r="M9" s="280">
        <f>'Nat Gas Deferral'!N14</f>
        <v>370194.34148</v>
      </c>
      <c r="N9" s="280">
        <f>'Nat Gas Deferral'!O14</f>
        <v>614290.78149999992</v>
      </c>
      <c r="O9" s="290">
        <f>SUM(C9:N9)</f>
        <v>1691489.4437500001</v>
      </c>
      <c r="P9" s="290"/>
    </row>
    <row r="10" spans="1:16" ht="30" customHeight="1">
      <c r="A10" s="148">
        <v>3</v>
      </c>
      <c r="B10" s="265" t="s">
        <v>247</v>
      </c>
      <c r="C10" s="280">
        <f t="shared" ref="C10:E10" si="1">IF(C8&gt;0,C9/C8,0)</f>
        <v>0</v>
      </c>
      <c r="D10" s="280">
        <f t="shared" si="1"/>
        <v>0</v>
      </c>
      <c r="E10" s="280">
        <f t="shared" si="1"/>
        <v>0</v>
      </c>
      <c r="F10" s="280">
        <f>IF(F8&gt;0,F9/F8,0)</f>
        <v>63.849096958174904</v>
      </c>
      <c r="G10" s="280">
        <f t="shared" ref="G10:N10" si="2">IF(G8&gt;0,G9/G8,0)</f>
        <v>28.569694358610917</v>
      </c>
      <c r="H10" s="280">
        <f t="shared" si="2"/>
        <v>18.951276155438034</v>
      </c>
      <c r="I10" s="280">
        <f t="shared" si="2"/>
        <v>11.539793287671232</v>
      </c>
      <c r="J10" s="280">
        <f t="shared" si="2"/>
        <v>7.1819283182640152</v>
      </c>
      <c r="K10" s="280">
        <f t="shared" si="2"/>
        <v>8.3525384045368618</v>
      </c>
      <c r="L10" s="280">
        <f t="shared" si="2"/>
        <v>18.404661405762525</v>
      </c>
      <c r="M10" s="280">
        <f t="shared" si="2"/>
        <v>64.775912769903769</v>
      </c>
      <c r="N10" s="280">
        <f t="shared" si="2"/>
        <v>104.09943763768851</v>
      </c>
      <c r="O10" s="280">
        <f>IF(O8&gt;0,O9/O8,0)</f>
        <v>37.700078983439944</v>
      </c>
      <c r="P10" s="290"/>
    </row>
    <row r="11" spans="1:16" ht="30" customHeight="1">
      <c r="A11" s="148">
        <v>4</v>
      </c>
      <c r="B11" s="265" t="s">
        <v>235</v>
      </c>
      <c r="C11" s="280">
        <f>'Nat Gas Deferral'!D39</f>
        <v>0</v>
      </c>
      <c r="D11" s="280">
        <f>'Nat Gas Deferral'!E39</f>
        <v>0</v>
      </c>
      <c r="E11" s="280">
        <f>'Nat Gas Deferral'!F39</f>
        <v>0</v>
      </c>
      <c r="F11" s="280">
        <f>'Nat Gas Deferral'!G39</f>
        <v>41</v>
      </c>
      <c r="G11" s="280">
        <f>'Nat Gas Deferral'!H39</f>
        <v>38</v>
      </c>
      <c r="H11" s="280">
        <f>'Nat Gas Deferral'!I39</f>
        <v>38</v>
      </c>
      <c r="I11" s="280">
        <f>'Nat Gas Deferral'!J39</f>
        <v>38</v>
      </c>
      <c r="J11" s="280">
        <f>'Nat Gas Deferral'!K39</f>
        <v>42</v>
      </c>
      <c r="K11" s="280">
        <f>'Nat Gas Deferral'!L39</f>
        <v>37</v>
      </c>
      <c r="L11" s="280">
        <f>'Nat Gas Deferral'!M39</f>
        <v>36</v>
      </c>
      <c r="M11" s="280">
        <f>'Nat Gas Deferral'!N39</f>
        <v>44</v>
      </c>
      <c r="N11" s="280">
        <f>'Nat Gas Deferral'!O39</f>
        <v>42</v>
      </c>
      <c r="O11" s="290">
        <f>SUM(C11:N11)</f>
        <v>356</v>
      </c>
      <c r="P11" s="290">
        <f>O11/9</f>
        <v>39.555555555555557</v>
      </c>
    </row>
    <row r="12" spans="1:16" ht="30" customHeight="1">
      <c r="A12" s="148">
        <v>5</v>
      </c>
      <c r="B12" s="265" t="s">
        <v>249</v>
      </c>
      <c r="C12" s="280">
        <f>'Nat Gas Deferral'!D40</f>
        <v>0</v>
      </c>
      <c r="D12" s="280">
        <f>'Nat Gas Deferral'!E40</f>
        <v>0</v>
      </c>
      <c r="E12" s="280">
        <f>'Nat Gas Deferral'!F40</f>
        <v>0</v>
      </c>
      <c r="F12" s="280">
        <f>'Nat Gas Deferral'!G40</f>
        <v>108540</v>
      </c>
      <c r="G12" s="280">
        <f>'Nat Gas Deferral'!H40</f>
        <v>55253.154240000003</v>
      </c>
      <c r="H12" s="280">
        <f>'Nat Gas Deferral'!I40</f>
        <v>35573.4</v>
      </c>
      <c r="I12" s="280">
        <f>'Nat Gas Deferral'!J40</f>
        <v>22680.040700000001</v>
      </c>
      <c r="J12" s="280">
        <f>'Nat Gas Deferral'!K40</f>
        <v>15266.382170000001</v>
      </c>
      <c r="K12" s="280">
        <f>'Nat Gas Deferral'!L40</f>
        <v>17846.57302</v>
      </c>
      <c r="L12" s="280">
        <f>'Nat Gas Deferral'!M40</f>
        <v>28994</v>
      </c>
      <c r="M12" s="280">
        <f>'Nat Gas Deferral'!N40</f>
        <v>73865.520610000007</v>
      </c>
      <c r="N12" s="280">
        <f>'Nat Gas Deferral'!O40</f>
        <v>142469.31888000001</v>
      </c>
      <c r="O12" s="290">
        <f>SUM(C12:N12)</f>
        <v>500488.38962000003</v>
      </c>
      <c r="P12" s="290"/>
    </row>
    <row r="13" spans="1:16" ht="30" customHeight="1">
      <c r="A13" s="148">
        <v>6</v>
      </c>
      <c r="B13" s="265" t="s">
        <v>248</v>
      </c>
      <c r="C13" s="280">
        <f t="shared" ref="C13:O13" si="3">IF(C11&gt;0,C12/C11,0)</f>
        <v>0</v>
      </c>
      <c r="D13" s="280">
        <f t="shared" si="3"/>
        <v>0</v>
      </c>
      <c r="E13" s="280">
        <f t="shared" si="3"/>
        <v>0</v>
      </c>
      <c r="F13" s="280">
        <f t="shared" si="3"/>
        <v>2647.3170731707319</v>
      </c>
      <c r="G13" s="280">
        <f t="shared" si="3"/>
        <v>1454.0303747368423</v>
      </c>
      <c r="H13" s="280">
        <f t="shared" si="3"/>
        <v>936.14210526315799</v>
      </c>
      <c r="I13" s="280">
        <f t="shared" si="3"/>
        <v>596.84317631578949</v>
      </c>
      <c r="J13" s="280">
        <f t="shared" si="3"/>
        <v>363.48528976190477</v>
      </c>
      <c r="K13" s="280">
        <f t="shared" si="3"/>
        <v>482.33981135135133</v>
      </c>
      <c r="L13" s="280">
        <f t="shared" si="3"/>
        <v>805.38888888888891</v>
      </c>
      <c r="M13" s="280">
        <f t="shared" si="3"/>
        <v>1678.7618320454546</v>
      </c>
      <c r="N13" s="280">
        <f t="shared" si="3"/>
        <v>3392.12664</v>
      </c>
      <c r="O13" s="280">
        <f t="shared" si="3"/>
        <v>1405.8662629775281</v>
      </c>
      <c r="P13" s="290"/>
    </row>
    <row r="14" spans="1:16" ht="12" customHeight="1">
      <c r="B14" s="265"/>
      <c r="C14" s="280"/>
      <c r="D14" s="280"/>
      <c r="E14" s="280"/>
      <c r="F14" s="280"/>
      <c r="G14" s="280"/>
      <c r="H14" s="280"/>
      <c r="I14" s="280"/>
      <c r="J14" s="280"/>
      <c r="K14" s="280"/>
      <c r="L14" s="280"/>
      <c r="M14" s="280"/>
      <c r="N14" s="280"/>
      <c r="O14" s="280"/>
      <c r="P14" s="266"/>
    </row>
    <row r="15" spans="1:16" ht="30">
      <c r="A15" s="148">
        <v>7</v>
      </c>
      <c r="B15" s="265" t="s">
        <v>291</v>
      </c>
      <c r="C15" s="267">
        <f>'Nat Gas Deferral'!D15</f>
        <v>0</v>
      </c>
      <c r="D15" s="267">
        <f>'Nat Gas Deferral'!E15</f>
        <v>0</v>
      </c>
      <c r="E15" s="267">
        <f>'Nat Gas Deferral'!F15</f>
        <v>0</v>
      </c>
      <c r="F15" s="267">
        <f>'Nat Gas Deferral'!G15</f>
        <v>153300.92000000001</v>
      </c>
      <c r="G15" s="267">
        <f>'Nat Gas Deferral'!H15</f>
        <v>92622.14</v>
      </c>
      <c r="H15" s="267">
        <f>'Nat Gas Deferral'!I15</f>
        <v>77766.52</v>
      </c>
      <c r="I15" s="267">
        <f>'Nat Gas Deferral'!J15</f>
        <v>69541.41</v>
      </c>
      <c r="J15" s="267">
        <f>'Nat Gas Deferral'!K15</f>
        <v>62486.350000000006</v>
      </c>
      <c r="K15" s="267">
        <f>'Nat Gas Deferral'!L15</f>
        <v>69408.45</v>
      </c>
      <c r="L15" s="267">
        <f>'Nat Gas Deferral'!M15</f>
        <v>94794.75</v>
      </c>
      <c r="M15" s="267">
        <f>'Nat Gas Deferral'!N15</f>
        <v>219658.68</v>
      </c>
      <c r="N15" s="267">
        <f>'Nat Gas Deferral'!O15</f>
        <v>343300.71</v>
      </c>
      <c r="O15" s="268">
        <f>SUM(C15:N15)</f>
        <v>1182879.93</v>
      </c>
      <c r="P15" s="268">
        <f>O15/P$8</f>
        <v>237.27727215993934</v>
      </c>
    </row>
    <row r="16" spans="1:16" ht="30" customHeight="1">
      <c r="A16" s="148">
        <v>8</v>
      </c>
      <c r="B16" s="265" t="s">
        <v>292</v>
      </c>
      <c r="C16" s="267">
        <f>'Nat Gas Deferral'!D41</f>
        <v>0</v>
      </c>
      <c r="D16" s="267">
        <f>'Nat Gas Deferral'!E41</f>
        <v>0</v>
      </c>
      <c r="E16" s="267">
        <f>'Nat Gas Deferral'!F41</f>
        <v>0</v>
      </c>
      <c r="F16" s="267">
        <f>'Nat Gas Deferral'!G41</f>
        <v>32148.65</v>
      </c>
      <c r="G16" s="267">
        <f>'Nat Gas Deferral'!H41</f>
        <v>18347.89</v>
      </c>
      <c r="H16" s="267">
        <f>'Nat Gas Deferral'!I41</f>
        <v>13156.25</v>
      </c>
      <c r="I16" s="267">
        <f>'Nat Gas Deferral'!J41</f>
        <v>9775.08</v>
      </c>
      <c r="J16" s="267">
        <f>'Nat Gas Deferral'!K41</f>
        <v>7888.57</v>
      </c>
      <c r="K16" s="267">
        <f>'Nat Gas Deferral'!L41</f>
        <v>8345.41</v>
      </c>
      <c r="L16" s="267">
        <f>'Nat Gas Deferral'!M41</f>
        <v>11208.43</v>
      </c>
      <c r="M16" s="267">
        <f>'Nat Gas Deferral'!N41</f>
        <v>23820.26</v>
      </c>
      <c r="N16" s="267">
        <f>'Nat Gas Deferral'!O41</f>
        <v>41806.769999999997</v>
      </c>
      <c r="O16" s="268">
        <f>SUM(C16:N16)</f>
        <v>166497.31</v>
      </c>
      <c r="P16" s="268">
        <f>O16/P$11</f>
        <v>4209.2016573033707</v>
      </c>
    </row>
    <row r="17" spans="1:16" ht="18.75" customHeight="1">
      <c r="A17" s="148">
        <v>9</v>
      </c>
      <c r="B17" s="278" t="s">
        <v>236</v>
      </c>
      <c r="C17" s="279">
        <f>C15+C16</f>
        <v>0</v>
      </c>
      <c r="D17" s="279">
        <f t="shared" ref="D17:N17" si="4">D15+D16</f>
        <v>0</v>
      </c>
      <c r="E17" s="279">
        <f t="shared" si="4"/>
        <v>0</v>
      </c>
      <c r="F17" s="279">
        <f t="shared" si="4"/>
        <v>185449.57</v>
      </c>
      <c r="G17" s="279">
        <f t="shared" si="4"/>
        <v>110970.03</v>
      </c>
      <c r="H17" s="279">
        <f t="shared" si="4"/>
        <v>90922.77</v>
      </c>
      <c r="I17" s="279">
        <f t="shared" si="4"/>
        <v>79316.490000000005</v>
      </c>
      <c r="J17" s="279">
        <f t="shared" si="4"/>
        <v>70374.920000000013</v>
      </c>
      <c r="K17" s="279">
        <f t="shared" si="4"/>
        <v>77753.86</v>
      </c>
      <c r="L17" s="279">
        <f t="shared" si="4"/>
        <v>106003.18</v>
      </c>
      <c r="M17" s="279">
        <f t="shared" si="4"/>
        <v>243478.94</v>
      </c>
      <c r="N17" s="279">
        <f t="shared" si="4"/>
        <v>385107.48000000004</v>
      </c>
      <c r="O17" s="279">
        <f>SUM(C17:N17)</f>
        <v>1349377.24</v>
      </c>
    </row>
    <row r="18" spans="1:16">
      <c r="B18" s="265"/>
      <c r="C18" s="265"/>
      <c r="D18" s="265"/>
      <c r="E18" s="265"/>
    </row>
    <row r="19" spans="1:16">
      <c r="A19" s="148">
        <v>10</v>
      </c>
      <c r="B19" s="265" t="s">
        <v>245</v>
      </c>
      <c r="C19" s="268">
        <f t="shared" ref="C19:N19" si="5">(C9+C12)*C44</f>
        <v>0</v>
      </c>
      <c r="D19" s="268">
        <f t="shared" si="5"/>
        <v>0</v>
      </c>
      <c r="E19" s="268">
        <f t="shared" si="5"/>
        <v>0</v>
      </c>
      <c r="F19" s="268">
        <f t="shared" si="5"/>
        <v>0</v>
      </c>
      <c r="G19" s="268">
        <f t="shared" si="5"/>
        <v>0</v>
      </c>
      <c r="H19" s="268">
        <f t="shared" si="5"/>
        <v>0</v>
      </c>
      <c r="I19" s="268">
        <f t="shared" si="5"/>
        <v>0</v>
      </c>
      <c r="J19" s="268">
        <f t="shared" si="5"/>
        <v>0</v>
      </c>
      <c r="K19" s="268">
        <f t="shared" si="5"/>
        <v>0</v>
      </c>
      <c r="L19" s="268">
        <f t="shared" si="5"/>
        <v>0</v>
      </c>
      <c r="M19" s="268">
        <f t="shared" si="5"/>
        <v>0</v>
      </c>
      <c r="N19" s="268">
        <f t="shared" si="5"/>
        <v>0</v>
      </c>
      <c r="O19" s="268">
        <f>SUM(C19:N19)</f>
        <v>0</v>
      </c>
      <c r="P19" s="268"/>
    </row>
    <row r="20" spans="1:16">
      <c r="A20" s="148">
        <v>11</v>
      </c>
      <c r="B20" s="265" t="s">
        <v>273</v>
      </c>
      <c r="C20" s="273">
        <v>0</v>
      </c>
      <c r="D20" s="273">
        <v>0</v>
      </c>
      <c r="E20" s="273">
        <v>0</v>
      </c>
      <c r="F20" s="273">
        <v>38708.431444888542</v>
      </c>
      <c r="G20" s="273">
        <v>40519.027981388535</v>
      </c>
      <c r="H20" s="273">
        <v>42949.191478138542</v>
      </c>
      <c r="I20" s="273">
        <v>46039.899965888544</v>
      </c>
      <c r="J20" s="273">
        <v>49133.121838638544</v>
      </c>
      <c r="K20" s="273">
        <v>52158.226642763548</v>
      </c>
      <c r="L20" s="273">
        <v>55764.243904638533</v>
      </c>
      <c r="M20" s="273">
        <v>59063.064324138541</v>
      </c>
      <c r="N20" s="273">
        <v>62681.461577263537</v>
      </c>
      <c r="O20" s="268">
        <f>SUM(C20:N20)</f>
        <v>447016.66915774683</v>
      </c>
      <c r="P20" s="268"/>
    </row>
    <row r="21" spans="1:16">
      <c r="A21" s="148">
        <v>12</v>
      </c>
      <c r="B21" s="265" t="s">
        <v>274</v>
      </c>
      <c r="C21" s="273">
        <v>0</v>
      </c>
      <c r="D21" s="273">
        <v>0</v>
      </c>
      <c r="E21" s="273">
        <v>0</v>
      </c>
      <c r="F21" s="273">
        <v>18980.52048191661</v>
      </c>
      <c r="G21" s="273">
        <v>19869.011524933274</v>
      </c>
      <c r="H21" s="273">
        <v>21061.534793591611</v>
      </c>
      <c r="I21" s="273">
        <v>22578.198916483278</v>
      </c>
      <c r="J21" s="273">
        <v>24096.096400874943</v>
      </c>
      <c r="K21" s="273">
        <v>25580.567661295776</v>
      </c>
      <c r="L21" s="273">
        <v>27350.102714274944</v>
      </c>
      <c r="M21" s="273">
        <v>28968.890962324949</v>
      </c>
      <c r="N21" s="273">
        <v>30744.501091179111</v>
      </c>
      <c r="O21" s="268">
        <f>SUM(C21:N21)</f>
        <v>219229.42454687451</v>
      </c>
      <c r="P21" s="268"/>
    </row>
    <row r="22" spans="1:16">
      <c r="A22" s="148">
        <v>13</v>
      </c>
      <c r="B22" s="265" t="s">
        <v>275</v>
      </c>
      <c r="C22" s="268">
        <f>(C8+C11)*C49</f>
        <v>0</v>
      </c>
      <c r="D22" s="268">
        <f t="shared" ref="D22:M22" si="6">(D8+D11)*D49</f>
        <v>0</v>
      </c>
      <c r="E22" s="268">
        <f t="shared" si="6"/>
        <v>0</v>
      </c>
      <c r="F22" s="268">
        <f t="shared" si="6"/>
        <v>11907.186250439992</v>
      </c>
      <c r="G22" s="268">
        <f t="shared" si="6"/>
        <v>11483.695098504553</v>
      </c>
      <c r="H22" s="268">
        <f t="shared" si="6"/>
        <v>11460.907903589119</v>
      </c>
      <c r="I22" s="268">
        <f t="shared" si="6"/>
        <v>11952.838685698822</v>
      </c>
      <c r="J22" s="268">
        <f t="shared" si="6"/>
        <v>11864.50856733911</v>
      </c>
      <c r="K22" s="268">
        <f t="shared" si="6"/>
        <v>12163.405178235738</v>
      </c>
      <c r="L22" s="268">
        <f t="shared" si="6"/>
        <v>11815.044448419461</v>
      </c>
      <c r="M22" s="268">
        <f t="shared" si="6"/>
        <v>11619.392000136319</v>
      </c>
      <c r="N22" s="268">
        <f>(N8+N11)*N49</f>
        <v>11544.504276197269</v>
      </c>
      <c r="O22" s="268">
        <f t="shared" ref="O22:O26" si="7">SUM(C22:N22)</f>
        <v>105811.48240856038</v>
      </c>
      <c r="P22" s="268"/>
    </row>
    <row r="23" spans="1:16">
      <c r="A23" s="148">
        <v>14</v>
      </c>
      <c r="B23" s="265" t="s">
        <v>276</v>
      </c>
      <c r="C23" s="268">
        <f>(C8+C11)*C50</f>
        <v>0</v>
      </c>
      <c r="D23" s="268">
        <f t="shared" ref="D23:N23" si="8">(D8+D11)*D50</f>
        <v>0</v>
      </c>
      <c r="E23" s="268">
        <f t="shared" si="8"/>
        <v>0</v>
      </c>
      <c r="F23" s="268">
        <f t="shared" si="8"/>
        <v>2035.892208857581</v>
      </c>
      <c r="G23" s="268">
        <f t="shared" si="8"/>
        <v>2097.1959086386655</v>
      </c>
      <c r="H23" s="268">
        <f t="shared" si="8"/>
        <v>2193.9997912590461</v>
      </c>
      <c r="I23" s="268">
        <f t="shared" si="8"/>
        <v>2296.9781892635588</v>
      </c>
      <c r="J23" s="268">
        <f t="shared" si="8"/>
        <v>2436.8012984460884</v>
      </c>
      <c r="K23" s="268">
        <f t="shared" si="8"/>
        <v>2531.926644096669</v>
      </c>
      <c r="L23" s="268">
        <f t="shared" si="8"/>
        <v>2393.3288476310422</v>
      </c>
      <c r="M23" s="268">
        <f t="shared" si="8"/>
        <v>2366.695583084027</v>
      </c>
      <c r="N23" s="268">
        <f t="shared" si="8"/>
        <v>2313.0782012401919</v>
      </c>
      <c r="O23" s="268">
        <f t="shared" si="7"/>
        <v>20665.896672516868</v>
      </c>
      <c r="P23" s="268"/>
    </row>
    <row r="24" spans="1:16">
      <c r="A24" s="148">
        <v>15</v>
      </c>
      <c r="B24" s="265" t="s">
        <v>224</v>
      </c>
      <c r="C24" s="268">
        <f t="shared" ref="C24:E24" si="9">C$17*C45</f>
        <v>0</v>
      </c>
      <c r="D24" s="268">
        <f t="shared" si="9"/>
        <v>0</v>
      </c>
      <c r="E24" s="268">
        <f t="shared" si="9"/>
        <v>0</v>
      </c>
      <c r="F24" s="268">
        <f>F$17*F45</f>
        <v>7116.4417991800001</v>
      </c>
      <c r="G24" s="268">
        <f t="shared" ref="G24:N24" si="10">G$17*G45</f>
        <v>4258.3639312199994</v>
      </c>
      <c r="H24" s="268">
        <f t="shared" si="10"/>
        <v>3489.0703759799999</v>
      </c>
      <c r="I24" s="268">
        <f t="shared" si="10"/>
        <v>3043.6909872599999</v>
      </c>
      <c r="J24" s="268">
        <f t="shared" si="10"/>
        <v>2700.5671800800005</v>
      </c>
      <c r="K24" s="268">
        <f t="shared" si="10"/>
        <v>2983.7266236400001</v>
      </c>
      <c r="L24" s="268">
        <f t="shared" si="10"/>
        <v>4067.7660293199997</v>
      </c>
      <c r="M24" s="268">
        <f t="shared" si="10"/>
        <v>9343.2608435599996</v>
      </c>
      <c r="N24" s="268">
        <f t="shared" si="10"/>
        <v>14778.11443752</v>
      </c>
      <c r="O24" s="268">
        <f t="shared" si="7"/>
        <v>51781.002207760001</v>
      </c>
      <c r="P24" s="268"/>
    </row>
    <row r="25" spans="1:16">
      <c r="A25" s="148">
        <v>16</v>
      </c>
      <c r="B25" s="265" t="s">
        <v>225</v>
      </c>
      <c r="C25" s="268">
        <f t="shared" ref="C25:E25" si="11">C$17*C46</f>
        <v>0</v>
      </c>
      <c r="D25" s="268">
        <f t="shared" si="11"/>
        <v>0</v>
      </c>
      <c r="E25" s="268">
        <f t="shared" si="11"/>
        <v>0</v>
      </c>
      <c r="F25" s="268">
        <f>F$17*F46</f>
        <v>701.18482417000007</v>
      </c>
      <c r="G25" s="268">
        <f t="shared" ref="G25:N25" si="12">G$17*G46</f>
        <v>419.57768342999998</v>
      </c>
      <c r="H25" s="268">
        <f t="shared" si="12"/>
        <v>343.77899337000002</v>
      </c>
      <c r="I25" s="268">
        <f t="shared" si="12"/>
        <v>299.89564869000003</v>
      </c>
      <c r="J25" s="268">
        <f t="shared" si="12"/>
        <v>266.08757252000004</v>
      </c>
      <c r="K25" s="268">
        <f t="shared" si="12"/>
        <v>293.98734466000002</v>
      </c>
      <c r="L25" s="268">
        <f t="shared" si="12"/>
        <v>400.79802358000001</v>
      </c>
      <c r="M25" s="268">
        <f t="shared" si="12"/>
        <v>920.59387214000003</v>
      </c>
      <c r="N25" s="268">
        <f t="shared" si="12"/>
        <v>1456.0913818800002</v>
      </c>
      <c r="O25" s="268">
        <f t="shared" si="7"/>
        <v>5101.9953444400007</v>
      </c>
      <c r="P25" s="268"/>
    </row>
    <row r="26" spans="1:16">
      <c r="A26" s="148">
        <v>17</v>
      </c>
      <c r="B26" s="265" t="s">
        <v>226</v>
      </c>
      <c r="C26" s="268">
        <f t="shared" ref="C26:E26" si="13">C$17*C47</f>
        <v>0</v>
      </c>
      <c r="D26" s="268">
        <f t="shared" si="13"/>
        <v>0</v>
      </c>
      <c r="E26" s="268">
        <f t="shared" si="13"/>
        <v>0</v>
      </c>
      <c r="F26" s="268">
        <f>F$17*F47</f>
        <v>370.89914000000005</v>
      </c>
      <c r="G26" s="268">
        <f t="shared" ref="G26:N26" si="14">G$17*G47</f>
        <v>221.94005999999999</v>
      </c>
      <c r="H26" s="268">
        <f t="shared" si="14"/>
        <v>181.84554</v>
      </c>
      <c r="I26" s="268">
        <f t="shared" si="14"/>
        <v>158.63298</v>
      </c>
      <c r="J26" s="268">
        <f t="shared" si="14"/>
        <v>140.74984000000003</v>
      </c>
      <c r="K26" s="268">
        <f t="shared" si="14"/>
        <v>155.50772000000001</v>
      </c>
      <c r="L26" s="268">
        <f t="shared" si="14"/>
        <v>212.00636</v>
      </c>
      <c r="M26" s="268">
        <f t="shared" si="14"/>
        <v>486.95787999999999</v>
      </c>
      <c r="N26" s="268">
        <f t="shared" si="14"/>
        <v>770.21496000000013</v>
      </c>
      <c r="O26" s="268">
        <f t="shared" si="7"/>
        <v>2698.7544800000001</v>
      </c>
      <c r="P26" s="268"/>
    </row>
    <row r="27" spans="1:16" ht="23.25" customHeight="1">
      <c r="A27" s="148">
        <v>18</v>
      </c>
      <c r="B27" s="278" t="s">
        <v>237</v>
      </c>
      <c r="C27" s="279">
        <f>SUM(C20:C26)</f>
        <v>0</v>
      </c>
      <c r="D27" s="279">
        <f>SUM(D20:D26)</f>
        <v>0</v>
      </c>
      <c r="E27" s="279">
        <f>SUM(E20:E26)</f>
        <v>0</v>
      </c>
      <c r="F27" s="279">
        <f>SUM(F19:F26)</f>
        <v>79820.556149452721</v>
      </c>
      <c r="G27" s="279">
        <f t="shared" ref="G27:O27" si="15">SUM(G20:G26)</f>
        <v>78868.812188115015</v>
      </c>
      <c r="H27" s="279">
        <f t="shared" si="15"/>
        <v>81680.328875928302</v>
      </c>
      <c r="I27" s="279">
        <f t="shared" si="15"/>
        <v>86370.135373284196</v>
      </c>
      <c r="J27" s="279">
        <f t="shared" si="15"/>
        <v>90637.932697898708</v>
      </c>
      <c r="K27" s="279">
        <f t="shared" si="15"/>
        <v>95867.347814691733</v>
      </c>
      <c r="L27" s="279">
        <f t="shared" si="15"/>
        <v>102003.29032786399</v>
      </c>
      <c r="M27" s="279">
        <f t="shared" si="15"/>
        <v>112768.85546538384</v>
      </c>
      <c r="N27" s="279">
        <f t="shared" si="15"/>
        <v>124287.96592528011</v>
      </c>
      <c r="O27" s="279">
        <f t="shared" si="15"/>
        <v>852305.22481789847</v>
      </c>
      <c r="P27" s="268"/>
    </row>
    <row r="28" spans="1:16">
      <c r="B28" s="265"/>
      <c r="C28" s="268"/>
      <c r="D28" s="268"/>
      <c r="E28" s="268"/>
      <c r="F28" s="268"/>
      <c r="G28" s="268"/>
      <c r="H28" s="268"/>
      <c r="I28" s="268"/>
      <c r="J28" s="268"/>
      <c r="K28" s="268"/>
      <c r="L28" s="268"/>
      <c r="M28" s="268"/>
      <c r="N28" s="268"/>
      <c r="O28" s="268"/>
      <c r="P28" s="268"/>
    </row>
    <row r="29" spans="1:16" ht="16.5" customHeight="1">
      <c r="A29" s="148">
        <v>19</v>
      </c>
      <c r="B29" s="265" t="s">
        <v>232</v>
      </c>
      <c r="C29" s="268">
        <f t="shared" ref="C29:N29" si="16">C17-C27</f>
        <v>0</v>
      </c>
      <c r="D29" s="268">
        <f t="shared" si="16"/>
        <v>0</v>
      </c>
      <c r="E29" s="268">
        <f t="shared" si="16"/>
        <v>0</v>
      </c>
      <c r="F29" s="268">
        <f t="shared" si="16"/>
        <v>105629.01385054729</v>
      </c>
      <c r="G29" s="268">
        <f t="shared" si="16"/>
        <v>32101.217811884984</v>
      </c>
      <c r="H29" s="268">
        <f t="shared" si="16"/>
        <v>9242.4411240717018</v>
      </c>
      <c r="I29" s="268">
        <f t="shared" si="16"/>
        <v>-7053.645373284191</v>
      </c>
      <c r="J29" s="268">
        <f t="shared" si="16"/>
        <v>-20263.012697898695</v>
      </c>
      <c r="K29" s="268">
        <f t="shared" si="16"/>
        <v>-18113.487814691733</v>
      </c>
      <c r="L29" s="268">
        <f t="shared" si="16"/>
        <v>3999.889672136007</v>
      </c>
      <c r="M29" s="268">
        <f t="shared" si="16"/>
        <v>130710.08453461617</v>
      </c>
      <c r="N29" s="268">
        <f t="shared" si="16"/>
        <v>260819.51407471992</v>
      </c>
      <c r="O29" s="268">
        <f t="shared" ref="O29:O30" si="17">SUM(C29:N29)</f>
        <v>497072.01518210146</v>
      </c>
      <c r="P29" s="268"/>
    </row>
    <row r="30" spans="1:16">
      <c r="A30" s="148">
        <v>20</v>
      </c>
      <c r="B30" s="265" t="s">
        <v>202</v>
      </c>
      <c r="C30" s="268">
        <f t="shared" ref="C30:N30" si="18">C29*C48</f>
        <v>0</v>
      </c>
      <c r="D30" s="268">
        <f t="shared" si="18"/>
        <v>0</v>
      </c>
      <c r="E30" s="268">
        <f t="shared" si="18"/>
        <v>0</v>
      </c>
      <c r="F30" s="268">
        <f>F29*F48</f>
        <v>22182.09290861493</v>
      </c>
      <c r="G30" s="268">
        <f t="shared" si="18"/>
        <v>6741.2557404958461</v>
      </c>
      <c r="H30" s="268">
        <f t="shared" si="18"/>
        <v>1940.9126360550572</v>
      </c>
      <c r="I30" s="268">
        <f t="shared" si="18"/>
        <v>-1481.26552838968</v>
      </c>
      <c r="J30" s="268">
        <f t="shared" si="18"/>
        <v>-4255.2326665587261</v>
      </c>
      <c r="K30" s="268">
        <f t="shared" si="18"/>
        <v>-3803.8324410852638</v>
      </c>
      <c r="L30" s="268">
        <f t="shared" si="18"/>
        <v>839.97683114856147</v>
      </c>
      <c r="M30" s="268">
        <f t="shared" si="18"/>
        <v>27449.117752269394</v>
      </c>
      <c r="N30" s="268">
        <f t="shared" si="18"/>
        <v>54772.097955691184</v>
      </c>
      <c r="O30" s="268">
        <f t="shared" si="17"/>
        <v>104385.1231882413</v>
      </c>
      <c r="P30" s="268"/>
    </row>
    <row r="31" spans="1:16">
      <c r="A31" s="148">
        <v>21</v>
      </c>
      <c r="B31" s="265" t="s">
        <v>222</v>
      </c>
      <c r="C31" s="268">
        <f t="shared" ref="C31:N31" si="19">(C37*C39*-C48)/12</f>
        <v>0</v>
      </c>
      <c r="D31" s="268">
        <f t="shared" si="19"/>
        <v>0</v>
      </c>
      <c r="E31" s="268">
        <f t="shared" si="19"/>
        <v>0</v>
      </c>
      <c r="F31" s="268">
        <f>(F37*F39*-F48)/12</f>
        <v>-9003.1152825174086</v>
      </c>
      <c r="G31" s="268">
        <f t="shared" si="19"/>
        <v>-9496.4295048000677</v>
      </c>
      <c r="H31" s="268">
        <f t="shared" si="19"/>
        <v>-10083.978437008651</v>
      </c>
      <c r="I31" s="268">
        <f t="shared" si="19"/>
        <v>-10885.47532472889</v>
      </c>
      <c r="J31" s="268">
        <f t="shared" si="19"/>
        <v>-11471.939033250774</v>
      </c>
      <c r="K31" s="268">
        <f t="shared" si="19"/>
        <v>-12239.205240501355</v>
      </c>
      <c r="L31" s="268">
        <f t="shared" si="19"/>
        <v>-13096.047810040334</v>
      </c>
      <c r="M31" s="268">
        <f t="shared" si="19"/>
        <v>-13716.518484808372</v>
      </c>
      <c r="N31" s="268">
        <f t="shared" si="19"/>
        <v>-14720.906598700263</v>
      </c>
      <c r="O31" s="268">
        <f>SUM(C31:N31)</f>
        <v>-104713.61571635613</v>
      </c>
      <c r="P31" s="268"/>
    </row>
    <row r="32" spans="1:16" s="160" customFormat="1">
      <c r="A32" s="285">
        <v>22</v>
      </c>
      <c r="B32" s="286" t="s">
        <v>233</v>
      </c>
      <c r="C32" s="287">
        <f>C29-C30-C31</f>
        <v>0</v>
      </c>
      <c r="D32" s="287">
        <f t="shared" ref="D32:O32" si="20">D29-D30-D31</f>
        <v>0</v>
      </c>
      <c r="E32" s="287">
        <f t="shared" si="20"/>
        <v>0</v>
      </c>
      <c r="F32" s="287">
        <f t="shared" si="20"/>
        <v>92450.036224449766</v>
      </c>
      <c r="G32" s="287">
        <f t="shared" si="20"/>
        <v>34856.391576189206</v>
      </c>
      <c r="H32" s="287">
        <f t="shared" si="20"/>
        <v>17385.506925025296</v>
      </c>
      <c r="I32" s="287">
        <f t="shared" si="20"/>
        <v>5313.0954798343791</v>
      </c>
      <c r="J32" s="287">
        <f t="shared" si="20"/>
        <v>-4535.8409980891956</v>
      </c>
      <c r="K32" s="287">
        <f t="shared" si="20"/>
        <v>-2070.4501331051142</v>
      </c>
      <c r="L32" s="287">
        <f t="shared" si="20"/>
        <v>16255.960651027781</v>
      </c>
      <c r="M32" s="287">
        <f t="shared" si="20"/>
        <v>116977.48526715515</v>
      </c>
      <c r="N32" s="287">
        <f t="shared" si="20"/>
        <v>220768.322717729</v>
      </c>
      <c r="O32" s="287">
        <f t="shared" si="20"/>
        <v>497400.50771021628</v>
      </c>
      <c r="P32" s="287"/>
    </row>
    <row r="33" spans="1:16">
      <c r="B33" s="265"/>
      <c r="C33" s="268"/>
      <c r="D33" s="268"/>
      <c r="E33" s="268"/>
      <c r="F33" s="268"/>
      <c r="G33" s="268"/>
      <c r="H33" s="268"/>
      <c r="I33" s="268"/>
      <c r="J33" s="268"/>
      <c r="K33" s="268"/>
      <c r="L33" s="268"/>
      <c r="M33" s="268"/>
      <c r="N33" s="268"/>
      <c r="O33" s="268"/>
      <c r="P33" s="268"/>
    </row>
    <row r="34" spans="1:16" s="284" customFormat="1" ht="33" customHeight="1">
      <c r="A34" s="148">
        <v>23</v>
      </c>
      <c r="B34" s="281" t="s">
        <v>277</v>
      </c>
      <c r="C34" s="282"/>
      <c r="D34" s="282"/>
      <c r="E34" s="282"/>
      <c r="F34" s="282">
        <v>19937178.765386872</v>
      </c>
      <c r="G34" s="282">
        <v>21065080.615386873</v>
      </c>
      <c r="H34" s="282">
        <v>22398103.825386874</v>
      </c>
      <c r="I34" s="282">
        <v>24194911.995386876</v>
      </c>
      <c r="J34" s="282">
        <v>25530480.405386876</v>
      </c>
      <c r="K34" s="282">
        <v>27258309.265386876</v>
      </c>
      <c r="L34" s="282">
        <v>29182143.455386877</v>
      </c>
      <c r="M34" s="282">
        <v>30598886.905386876</v>
      </c>
      <c r="N34" s="282">
        <v>32846343.205386877</v>
      </c>
      <c r="P34" s="283">
        <f>AVERAGE(F34:N34)</f>
        <v>25890159.826497987</v>
      </c>
    </row>
    <row r="35" spans="1:16">
      <c r="A35" s="148">
        <v>24</v>
      </c>
      <c r="B35" s="265" t="s">
        <v>278</v>
      </c>
      <c r="C35" s="277"/>
      <c r="D35" s="277"/>
      <c r="E35" s="277"/>
      <c r="F35" s="277">
        <v>-326579.5839416844</v>
      </c>
      <c r="G35" s="277">
        <v>-367098.61192307289</v>
      </c>
      <c r="H35" s="277">
        <v>-410047.80340121145</v>
      </c>
      <c r="I35" s="277">
        <v>-456087.70336709998</v>
      </c>
      <c r="J35" s="277">
        <v>-505220.82520573854</v>
      </c>
      <c r="K35" s="277">
        <v>-557379.05184850201</v>
      </c>
      <c r="L35" s="277">
        <v>-613143.29575314058</v>
      </c>
      <c r="M35" s="277">
        <v>-672206.36007727915</v>
      </c>
      <c r="N35" s="277">
        <v>-734887.82165454281</v>
      </c>
      <c r="P35" s="268">
        <f>AVERAGE(F35:N35)</f>
        <v>-515850.1174635858</v>
      </c>
    </row>
    <row r="36" spans="1:16" s="284" customFormat="1">
      <c r="A36" s="148">
        <v>25</v>
      </c>
      <c r="B36" s="281" t="s">
        <v>279</v>
      </c>
      <c r="C36" s="282"/>
      <c r="D36" s="282"/>
      <c r="E36" s="282"/>
      <c r="F36" s="282">
        <v>-196873.50485778687</v>
      </c>
      <c r="G36" s="282">
        <v>-220505.98233157853</v>
      </c>
      <c r="H36" s="282">
        <v>-243628.12547105263</v>
      </c>
      <c r="I36" s="282">
        <v>-266101.2198280993</v>
      </c>
      <c r="J36" s="282">
        <v>-287924.73759186844</v>
      </c>
      <c r="K36" s="282">
        <v>-309112.98334677133</v>
      </c>
      <c r="L36" s="282">
        <v>-329543.96547668043</v>
      </c>
      <c r="M36" s="282">
        <v>-349282.19531849469</v>
      </c>
      <c r="N36" s="282">
        <v>-368260.56173715263</v>
      </c>
      <c r="P36" s="283">
        <f>AVERAGE(F36:N36)</f>
        <v>-285692.58621772059</v>
      </c>
    </row>
    <row r="37" spans="1:16">
      <c r="A37" s="148">
        <v>26</v>
      </c>
      <c r="B37" s="265" t="s">
        <v>200</v>
      </c>
      <c r="C37" s="268">
        <f t="shared" ref="C37:N37" si="21">SUM(C34:C36)</f>
        <v>0</v>
      </c>
      <c r="D37" s="268">
        <f t="shared" si="21"/>
        <v>0</v>
      </c>
      <c r="E37" s="268">
        <f t="shared" si="21"/>
        <v>0</v>
      </c>
      <c r="F37" s="268">
        <f t="shared" si="21"/>
        <v>19413725.676587403</v>
      </c>
      <c r="G37" s="268">
        <f t="shared" si="21"/>
        <v>20477476.021132223</v>
      </c>
      <c r="H37" s="268">
        <f t="shared" si="21"/>
        <v>21744427.896514609</v>
      </c>
      <c r="I37" s="268">
        <f t="shared" si="21"/>
        <v>23472723.072191678</v>
      </c>
      <c r="J37" s="268">
        <f t="shared" si="21"/>
        <v>24737334.842589267</v>
      </c>
      <c r="K37" s="268">
        <f t="shared" si="21"/>
        <v>26391817.230191603</v>
      </c>
      <c r="L37" s="268">
        <f t="shared" si="21"/>
        <v>28239456.194157057</v>
      </c>
      <c r="M37" s="268">
        <f t="shared" si="21"/>
        <v>29577398.349991102</v>
      </c>
      <c r="N37" s="268">
        <f t="shared" si="21"/>
        <v>31743194.82199518</v>
      </c>
      <c r="P37" s="268">
        <f>SUM(P34:P36)</f>
        <v>25088617.122816682</v>
      </c>
    </row>
    <row r="38" spans="1:16">
      <c r="A38" s="148">
        <v>27</v>
      </c>
      <c r="B38" s="265" t="s">
        <v>206</v>
      </c>
      <c r="C38" s="171">
        <v>7.4999999999999997E-2</v>
      </c>
      <c r="D38" s="146">
        <f>C38</f>
        <v>7.4999999999999997E-2</v>
      </c>
      <c r="E38" s="146">
        <f>D38</f>
        <v>7.4999999999999997E-2</v>
      </c>
      <c r="F38" s="171">
        <v>7.2099999999999997E-2</v>
      </c>
      <c r="G38" s="146">
        <f>F38</f>
        <v>7.2099999999999997E-2</v>
      </c>
      <c r="H38" s="146">
        <f t="shared" ref="H38:N39" si="22">G38</f>
        <v>7.2099999999999997E-2</v>
      </c>
      <c r="I38" s="146">
        <f t="shared" si="22"/>
        <v>7.2099999999999997E-2</v>
      </c>
      <c r="J38" s="146">
        <f t="shared" si="22"/>
        <v>7.2099999999999997E-2</v>
      </c>
      <c r="K38" s="146">
        <f t="shared" si="22"/>
        <v>7.2099999999999997E-2</v>
      </c>
      <c r="L38" s="146">
        <f t="shared" si="22"/>
        <v>7.2099999999999997E-2</v>
      </c>
      <c r="M38" s="146">
        <f t="shared" si="22"/>
        <v>7.2099999999999997E-2</v>
      </c>
      <c r="N38" s="146">
        <f t="shared" si="22"/>
        <v>7.2099999999999997E-2</v>
      </c>
    </row>
    <row r="39" spans="1:16">
      <c r="A39" s="148">
        <v>28</v>
      </c>
      <c r="B39" s="265" t="s">
        <v>223</v>
      </c>
      <c r="C39" s="171">
        <v>2.8899999999999999E-2</v>
      </c>
      <c r="D39" s="146">
        <f>C39</f>
        <v>2.8899999999999999E-2</v>
      </c>
      <c r="E39" s="146">
        <f>D39</f>
        <v>2.8899999999999999E-2</v>
      </c>
      <c r="F39" s="171">
        <v>2.6499999999999999E-2</v>
      </c>
      <c r="G39" s="146">
        <f>F39</f>
        <v>2.6499999999999999E-2</v>
      </c>
      <c r="H39" s="146">
        <f t="shared" si="22"/>
        <v>2.6499999999999999E-2</v>
      </c>
      <c r="I39" s="146">
        <f t="shared" si="22"/>
        <v>2.6499999999999999E-2</v>
      </c>
      <c r="J39" s="146">
        <f t="shared" si="22"/>
        <v>2.6499999999999999E-2</v>
      </c>
      <c r="K39" s="146">
        <f t="shared" si="22"/>
        <v>2.6499999999999999E-2</v>
      </c>
      <c r="L39" s="146">
        <f t="shared" si="22"/>
        <v>2.6499999999999999E-2</v>
      </c>
      <c r="M39" s="146">
        <f t="shared" si="22"/>
        <v>2.6499999999999999E-2</v>
      </c>
      <c r="N39" s="146">
        <f t="shared" si="22"/>
        <v>2.6499999999999999E-2</v>
      </c>
    </row>
    <row r="40" spans="1:16" s="160" customFormat="1">
      <c r="A40" s="285">
        <v>29</v>
      </c>
      <c r="B40" s="286" t="s">
        <v>201</v>
      </c>
      <c r="C40" s="287">
        <f t="shared" ref="C40:E40" si="23">C37*C38/12</f>
        <v>0</v>
      </c>
      <c r="D40" s="287">
        <f t="shared" si="23"/>
        <v>0</v>
      </c>
      <c r="E40" s="287">
        <f t="shared" si="23"/>
        <v>0</v>
      </c>
      <c r="F40" s="287">
        <f>F37*F38/12</f>
        <v>116644.1351068293</v>
      </c>
      <c r="G40" s="287">
        <f t="shared" ref="G40:N40" si="24">G37*G38/12</f>
        <v>123035.50176030277</v>
      </c>
      <c r="H40" s="287">
        <f t="shared" si="24"/>
        <v>130647.77094489195</v>
      </c>
      <c r="I40" s="287">
        <f t="shared" si="24"/>
        <v>141031.94445875168</v>
      </c>
      <c r="J40" s="287">
        <f t="shared" si="24"/>
        <v>148630.15351255718</v>
      </c>
      <c r="K40" s="287">
        <f t="shared" si="24"/>
        <v>158570.83519140122</v>
      </c>
      <c r="L40" s="287">
        <f t="shared" si="24"/>
        <v>169672.0659665603</v>
      </c>
      <c r="M40" s="287">
        <f t="shared" si="24"/>
        <v>177710.86841952987</v>
      </c>
      <c r="N40" s="287">
        <f t="shared" si="24"/>
        <v>190723.69555548768</v>
      </c>
      <c r="O40" s="287">
        <f>SUM(C40:N40)</f>
        <v>1356666.9709163117</v>
      </c>
      <c r="P40" s="287"/>
    </row>
    <row r="42" spans="1:16" s="160" customFormat="1">
      <c r="A42" s="285">
        <v>30</v>
      </c>
      <c r="B42" s="286" t="s">
        <v>238</v>
      </c>
      <c r="C42" s="287">
        <f>C32-C40</f>
        <v>0</v>
      </c>
      <c r="D42" s="287">
        <f t="shared" ref="D42:N42" si="25">D32-D40</f>
        <v>0</v>
      </c>
      <c r="E42" s="287">
        <f t="shared" si="25"/>
        <v>0</v>
      </c>
      <c r="F42" s="287">
        <f t="shared" si="25"/>
        <v>-24194.098882379534</v>
      </c>
      <c r="G42" s="287">
        <f t="shared" si="25"/>
        <v>-88179.110184113553</v>
      </c>
      <c r="H42" s="287">
        <f t="shared" si="25"/>
        <v>-113262.26401986665</v>
      </c>
      <c r="I42" s="287">
        <f t="shared" si="25"/>
        <v>-135718.84897891729</v>
      </c>
      <c r="J42" s="287">
        <f t="shared" si="25"/>
        <v>-153165.99451064639</v>
      </c>
      <c r="K42" s="287">
        <f t="shared" si="25"/>
        <v>-160641.28532450635</v>
      </c>
      <c r="L42" s="287">
        <f t="shared" si="25"/>
        <v>-153416.10531553254</v>
      </c>
      <c r="M42" s="287">
        <f t="shared" si="25"/>
        <v>-60733.383152374721</v>
      </c>
      <c r="N42" s="287">
        <f t="shared" si="25"/>
        <v>30044.627162241319</v>
      </c>
      <c r="O42" s="287">
        <f>SUM(C42:N42)</f>
        <v>-859266.46320609562</v>
      </c>
      <c r="P42" s="287"/>
    </row>
    <row r="44" spans="1:16">
      <c r="A44" s="148">
        <v>31</v>
      </c>
      <c r="B44" s="265" t="s">
        <v>246</v>
      </c>
      <c r="C44" s="294">
        <v>0</v>
      </c>
      <c r="D44" s="28">
        <f>C44</f>
        <v>0</v>
      </c>
      <c r="E44" s="28">
        <f>D44</f>
        <v>0</v>
      </c>
      <c r="F44" s="294">
        <v>0</v>
      </c>
      <c r="G44" s="28">
        <f>F44</f>
        <v>0</v>
      </c>
      <c r="H44" s="28">
        <f t="shared" ref="H44:N44" si="26">G44</f>
        <v>0</v>
      </c>
      <c r="I44" s="28">
        <f t="shared" si="26"/>
        <v>0</v>
      </c>
      <c r="J44" s="28">
        <f t="shared" si="26"/>
        <v>0</v>
      </c>
      <c r="K44" s="28">
        <f t="shared" si="26"/>
        <v>0</v>
      </c>
      <c r="L44" s="28">
        <f t="shared" si="26"/>
        <v>0</v>
      </c>
      <c r="M44" s="28">
        <f t="shared" si="26"/>
        <v>0</v>
      </c>
      <c r="N44" s="28">
        <f t="shared" si="26"/>
        <v>0</v>
      </c>
    </row>
    <row r="45" spans="1:16">
      <c r="A45" s="148">
        <v>32</v>
      </c>
      <c r="B45" s="265" t="s">
        <v>228</v>
      </c>
      <c r="C45" s="295">
        <v>3.8281999999999997E-2</v>
      </c>
      <c r="D45" s="71">
        <f>C45</f>
        <v>3.8281999999999997E-2</v>
      </c>
      <c r="E45" s="71">
        <f>D45</f>
        <v>3.8281999999999997E-2</v>
      </c>
      <c r="F45" s="295">
        <v>3.8373999999999998E-2</v>
      </c>
      <c r="G45" s="71">
        <f>F45</f>
        <v>3.8373999999999998E-2</v>
      </c>
      <c r="H45" s="71">
        <f t="shared" ref="H45:N45" si="27">G45</f>
        <v>3.8373999999999998E-2</v>
      </c>
      <c r="I45" s="71">
        <f t="shared" si="27"/>
        <v>3.8373999999999998E-2</v>
      </c>
      <c r="J45" s="71">
        <f t="shared" si="27"/>
        <v>3.8373999999999998E-2</v>
      </c>
      <c r="K45" s="71">
        <f t="shared" si="27"/>
        <v>3.8373999999999998E-2</v>
      </c>
      <c r="L45" s="71">
        <f t="shared" si="27"/>
        <v>3.8373999999999998E-2</v>
      </c>
      <c r="M45" s="71">
        <f t="shared" si="27"/>
        <v>3.8373999999999998E-2</v>
      </c>
      <c r="N45" s="71">
        <f t="shared" si="27"/>
        <v>3.8373999999999998E-2</v>
      </c>
    </row>
    <row r="46" spans="1:16">
      <c r="A46" s="148">
        <v>33</v>
      </c>
      <c r="B46" s="265" t="s">
        <v>229</v>
      </c>
      <c r="C46" s="295">
        <v>6.1830000000000001E-3</v>
      </c>
      <c r="D46" s="71">
        <f t="shared" ref="D46:E48" si="28">C46</f>
        <v>6.1830000000000001E-3</v>
      </c>
      <c r="E46" s="71">
        <f t="shared" si="28"/>
        <v>6.1830000000000001E-3</v>
      </c>
      <c r="F46" s="295">
        <v>3.7810000000000001E-3</v>
      </c>
      <c r="G46" s="71">
        <f t="shared" ref="G46:N48" si="29">F46</f>
        <v>3.7810000000000001E-3</v>
      </c>
      <c r="H46" s="71">
        <f t="shared" si="29"/>
        <v>3.7810000000000001E-3</v>
      </c>
      <c r="I46" s="71">
        <f t="shared" si="29"/>
        <v>3.7810000000000001E-3</v>
      </c>
      <c r="J46" s="71">
        <f t="shared" si="29"/>
        <v>3.7810000000000001E-3</v>
      </c>
      <c r="K46" s="71">
        <f t="shared" si="29"/>
        <v>3.7810000000000001E-3</v>
      </c>
      <c r="L46" s="71">
        <f t="shared" si="29"/>
        <v>3.7810000000000001E-3</v>
      </c>
      <c r="M46" s="71">
        <f t="shared" si="29"/>
        <v>3.7810000000000001E-3</v>
      </c>
      <c r="N46" s="71">
        <f t="shared" si="29"/>
        <v>3.7810000000000001E-3</v>
      </c>
    </row>
    <row r="47" spans="1:16">
      <c r="A47" s="148">
        <v>34</v>
      </c>
      <c r="B47" s="265" t="s">
        <v>230</v>
      </c>
      <c r="C47" s="275">
        <v>2E-3</v>
      </c>
      <c r="D47" s="271">
        <f t="shared" si="28"/>
        <v>2E-3</v>
      </c>
      <c r="E47" s="271">
        <f t="shared" si="28"/>
        <v>2E-3</v>
      </c>
      <c r="F47" s="275">
        <v>2E-3</v>
      </c>
      <c r="G47" s="271">
        <f t="shared" si="29"/>
        <v>2E-3</v>
      </c>
      <c r="H47" s="271">
        <f t="shared" si="29"/>
        <v>2E-3</v>
      </c>
      <c r="I47" s="271">
        <f t="shared" si="29"/>
        <v>2E-3</v>
      </c>
      <c r="J47" s="271">
        <f t="shared" si="29"/>
        <v>2E-3</v>
      </c>
      <c r="K47" s="271">
        <f t="shared" si="29"/>
        <v>2E-3</v>
      </c>
      <c r="L47" s="271">
        <f t="shared" si="29"/>
        <v>2E-3</v>
      </c>
      <c r="M47" s="271">
        <f t="shared" si="29"/>
        <v>2E-3</v>
      </c>
      <c r="N47" s="271">
        <f t="shared" si="29"/>
        <v>2E-3</v>
      </c>
    </row>
    <row r="48" spans="1:16">
      <c r="A48" s="148">
        <v>35</v>
      </c>
      <c r="B48" s="265" t="s">
        <v>231</v>
      </c>
      <c r="C48" s="276">
        <v>0.21</v>
      </c>
      <c r="D48" s="272">
        <f t="shared" si="28"/>
        <v>0.21</v>
      </c>
      <c r="E48" s="272">
        <f t="shared" si="28"/>
        <v>0.21</v>
      </c>
      <c r="F48" s="276">
        <v>0.21</v>
      </c>
      <c r="G48" s="272">
        <f t="shared" si="29"/>
        <v>0.21</v>
      </c>
      <c r="H48" s="272">
        <f t="shared" si="29"/>
        <v>0.21</v>
      </c>
      <c r="I48" s="272">
        <f t="shared" si="29"/>
        <v>0.21</v>
      </c>
      <c r="J48" s="272">
        <f t="shared" si="29"/>
        <v>0.21</v>
      </c>
      <c r="K48" s="272">
        <f t="shared" si="29"/>
        <v>0.21</v>
      </c>
      <c r="L48" s="272">
        <f t="shared" si="29"/>
        <v>0.21</v>
      </c>
      <c r="M48" s="272">
        <f t="shared" si="29"/>
        <v>0.21</v>
      </c>
      <c r="N48" s="272">
        <f t="shared" si="29"/>
        <v>0.21</v>
      </c>
    </row>
    <row r="49" spans="1:15" ht="15" customHeight="1">
      <c r="A49" s="148">
        <v>36</v>
      </c>
      <c r="B49" s="265" t="s">
        <v>241</v>
      </c>
      <c r="C49" s="293">
        <v>3.0103361367355959</v>
      </c>
      <c r="D49" s="293">
        <v>2.9437505476189774</v>
      </c>
      <c r="E49" s="293">
        <v>2.9439028735026973</v>
      </c>
      <c r="F49" s="293">
        <v>2.8023502589879952</v>
      </c>
      <c r="G49" s="293">
        <v>2.6887602665662733</v>
      </c>
      <c r="H49" s="293">
        <v>2.6124704589899976</v>
      </c>
      <c r="I49" s="293">
        <v>2.4990254412918298</v>
      </c>
      <c r="J49" s="293">
        <v>2.3639188219444329</v>
      </c>
      <c r="K49" s="293">
        <v>2.2833499489836191</v>
      </c>
      <c r="L49" s="293">
        <v>2.1540646214073766</v>
      </c>
      <c r="M49" s="293">
        <v>2.017605834369911</v>
      </c>
      <c r="N49" s="293">
        <v>1.9425381585389987</v>
      </c>
    </row>
    <row r="50" spans="1:15" ht="15" customHeight="1">
      <c r="A50" s="148">
        <v>37</v>
      </c>
      <c r="B50" s="265" t="s">
        <v>240</v>
      </c>
      <c r="C50" s="293">
        <v>0.51477476098671204</v>
      </c>
      <c r="D50" s="293">
        <v>0.50355053994000554</v>
      </c>
      <c r="E50" s="293">
        <v>0.48526194373064246</v>
      </c>
      <c r="F50" s="293">
        <v>0.4791462011902991</v>
      </c>
      <c r="G50" s="293">
        <v>0.4910315871315068</v>
      </c>
      <c r="H50" s="293">
        <v>0.5001139255206396</v>
      </c>
      <c r="I50" s="293">
        <v>0.48023796555792569</v>
      </c>
      <c r="J50" s="293">
        <v>0.48551530154335293</v>
      </c>
      <c r="K50" s="293">
        <v>0.47530066530817888</v>
      </c>
      <c r="L50" s="293">
        <v>0.43634071971395483</v>
      </c>
      <c r="M50" s="293">
        <v>0.41095599636812419</v>
      </c>
      <c r="N50" s="293">
        <v>0.38921053360932056</v>
      </c>
    </row>
    <row r="51" spans="1:15">
      <c r="B51" s="265"/>
    </row>
    <row r="52" spans="1:15">
      <c r="A52" s="53" t="s">
        <v>242</v>
      </c>
      <c r="B52" s="305" t="s">
        <v>283</v>
      </c>
      <c r="C52" s="305"/>
      <c r="D52" s="305"/>
      <c r="E52" s="305"/>
      <c r="F52" s="305"/>
      <c r="G52" s="305"/>
      <c r="H52" s="305"/>
      <c r="I52" s="305"/>
      <c r="J52" s="305"/>
      <c r="K52" s="305"/>
      <c r="L52" s="305"/>
      <c r="M52" s="305"/>
      <c r="N52" s="305"/>
      <c r="O52" s="305"/>
    </row>
    <row r="53" spans="1:15">
      <c r="A53" s="148" t="s">
        <v>243</v>
      </c>
      <c r="B53" s="49" t="s">
        <v>284</v>
      </c>
    </row>
    <row r="54" spans="1:15">
      <c r="A54" s="148" t="s">
        <v>282</v>
      </c>
      <c r="B54" s="49" t="s">
        <v>285</v>
      </c>
    </row>
  </sheetData>
  <mergeCells count="1">
    <mergeCell ref="B52:O52"/>
  </mergeCells>
  <printOptions horizontalCentered="1"/>
  <pageMargins left="0.7" right="0.7" top="0.75" bottom="0.75" header="0.3" footer="0.3"/>
  <pageSetup scale="54" orientation="landscape" r:id="rId1"/>
  <headerFooter scaleWithDoc="0">
    <oddHeader>&amp;CAvista Corporation Decoupling Mechanism
Washington Jurisdiction
Quarterly Report for 4th Quarter 2020</oddHeader>
    <oddFooter>&amp;Cfile: &amp;F / &amp;A&amp;RPage 17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74AD-D99B-45BA-83A9-2840EAFDED66}">
  <sheetPr>
    <tabColor rgb="FF92D050"/>
  </sheetPr>
  <dimension ref="A1:Q84"/>
  <sheetViews>
    <sheetView topLeftCell="B23" zoomScaleNormal="100" workbookViewId="0">
      <selection activeCell="B29" sqref="B29"/>
    </sheetView>
  </sheetViews>
  <sheetFormatPr defaultRowHeight="15"/>
  <cols>
    <col min="1" max="1" width="7.28515625" style="292" customWidth="1"/>
    <col min="2" max="2" width="39" customWidth="1"/>
    <col min="3" max="3" width="12.42578125" customWidth="1"/>
    <col min="4" max="5" width="12.7109375" customWidth="1"/>
    <col min="6" max="6" width="12.5703125" customWidth="1"/>
    <col min="7" max="7" width="12.7109375" customWidth="1"/>
    <col min="8" max="8" width="13" customWidth="1"/>
    <col min="9" max="9" width="13.28515625" bestFit="1" customWidth="1"/>
    <col min="10" max="10" width="12.42578125" customWidth="1"/>
    <col min="11" max="11" width="14" customWidth="1"/>
    <col min="12" max="12" width="12.5703125" customWidth="1"/>
    <col min="13" max="13" width="13.140625" customWidth="1"/>
    <col min="14" max="14" width="12.28515625" customWidth="1"/>
    <col min="15" max="15" width="13.5703125" customWidth="1"/>
  </cols>
  <sheetData>
    <row r="1" spans="1:15" s="71" customFormat="1">
      <c r="A1" s="305" t="s">
        <v>207</v>
      </c>
      <c r="B1" s="305"/>
      <c r="C1" s="305"/>
      <c r="D1" s="305"/>
      <c r="E1" s="305"/>
      <c r="F1" s="305"/>
      <c r="G1" s="305"/>
      <c r="H1" s="305"/>
      <c r="I1" s="305"/>
      <c r="J1" s="305"/>
      <c r="K1" s="305"/>
      <c r="L1" s="305"/>
    </row>
    <row r="2" spans="1:15" ht="15.75" customHeight="1">
      <c r="A2" s="311" t="s">
        <v>286</v>
      </c>
      <c r="B2" s="311"/>
      <c r="C2" s="311"/>
      <c r="D2" s="311"/>
      <c r="E2" s="311"/>
      <c r="F2" s="311"/>
      <c r="G2" s="311"/>
      <c r="H2" s="311"/>
      <c r="I2" s="311"/>
      <c r="J2" s="311"/>
      <c r="K2" s="311"/>
      <c r="L2" s="311"/>
    </row>
    <row r="3" spans="1:15" ht="69.75" customHeight="1">
      <c r="A3" s="312" t="s">
        <v>287</v>
      </c>
      <c r="B3" s="312"/>
      <c r="C3" s="312"/>
      <c r="D3" s="312"/>
      <c r="E3" s="312"/>
      <c r="F3" s="312"/>
      <c r="G3" s="312"/>
      <c r="H3" s="312"/>
      <c r="I3" s="312"/>
      <c r="J3" s="312"/>
      <c r="K3" s="312"/>
      <c r="L3" s="312"/>
      <c r="M3" s="312"/>
      <c r="N3" s="312"/>
      <c r="O3" s="312"/>
    </row>
    <row r="4" spans="1:15" s="71" customFormat="1" ht="60.75" customHeight="1">
      <c r="A4" s="312" t="s">
        <v>288</v>
      </c>
      <c r="B4" s="312"/>
      <c r="C4" s="312"/>
      <c r="D4" s="312"/>
      <c r="E4" s="312"/>
      <c r="F4" s="312"/>
      <c r="G4" s="312"/>
      <c r="H4" s="312"/>
      <c r="I4" s="312"/>
      <c r="J4" s="312"/>
      <c r="K4" s="312"/>
      <c r="L4" s="312"/>
      <c r="M4" s="312"/>
      <c r="N4" s="312"/>
      <c r="O4" s="312"/>
    </row>
    <row r="6" spans="1:15">
      <c r="A6" s="107" t="s">
        <v>1</v>
      </c>
      <c r="B6" s="269"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row>
    <row r="8" spans="1:15">
      <c r="A8" s="292">
        <v>1</v>
      </c>
      <c r="B8" t="s">
        <v>211</v>
      </c>
      <c r="C8" s="299">
        <v>951</v>
      </c>
      <c r="D8" s="299">
        <v>861</v>
      </c>
      <c r="E8" s="299">
        <v>809</v>
      </c>
      <c r="F8" s="299">
        <v>513</v>
      </c>
      <c r="G8" s="299">
        <v>292</v>
      </c>
      <c r="H8" s="299">
        <v>139</v>
      </c>
      <c r="I8" s="299">
        <v>21</v>
      </c>
      <c r="J8" s="299">
        <v>11</v>
      </c>
      <c r="K8" s="299">
        <v>88</v>
      </c>
      <c r="L8" s="299">
        <v>524</v>
      </c>
      <c r="M8" s="299">
        <v>826</v>
      </c>
      <c r="N8" s="299">
        <v>1021</v>
      </c>
      <c r="O8" s="266">
        <f>SUM(C8:N8)</f>
        <v>6056</v>
      </c>
    </row>
    <row r="9" spans="1:15">
      <c r="A9" s="292">
        <v>2</v>
      </c>
      <c r="B9" s="71" t="s">
        <v>212</v>
      </c>
      <c r="C9" s="299">
        <v>0</v>
      </c>
      <c r="D9" s="299">
        <v>0</v>
      </c>
      <c r="E9" s="299">
        <v>0</v>
      </c>
      <c r="F9" s="299">
        <v>0</v>
      </c>
      <c r="G9" s="299">
        <v>11</v>
      </c>
      <c r="H9" s="299">
        <v>49</v>
      </c>
      <c r="I9" s="299">
        <v>205</v>
      </c>
      <c r="J9" s="299">
        <v>223</v>
      </c>
      <c r="K9" s="299">
        <v>65</v>
      </c>
      <c r="L9" s="299">
        <v>3</v>
      </c>
      <c r="M9" s="299">
        <v>0</v>
      </c>
      <c r="N9" s="299">
        <v>0</v>
      </c>
      <c r="O9" s="266">
        <f>SUM(C9:N9)</f>
        <v>556</v>
      </c>
    </row>
    <row r="10" spans="1:15" ht="17.25" customHeight="1">
      <c r="B10" s="291" t="s">
        <v>257</v>
      </c>
    </row>
    <row r="11" spans="1:15">
      <c r="A11" s="292">
        <v>3</v>
      </c>
      <c r="B11" t="s">
        <v>208</v>
      </c>
      <c r="C11" s="299">
        <v>1102</v>
      </c>
      <c r="D11" s="299">
        <v>911</v>
      </c>
      <c r="E11" s="299">
        <v>777</v>
      </c>
      <c r="F11" s="299">
        <v>544</v>
      </c>
      <c r="G11" s="299">
        <v>295</v>
      </c>
      <c r="H11" s="299">
        <v>137</v>
      </c>
      <c r="I11" s="299">
        <v>26</v>
      </c>
      <c r="J11" s="299">
        <v>28</v>
      </c>
      <c r="K11" s="299">
        <v>160</v>
      </c>
      <c r="L11" s="299">
        <v>539</v>
      </c>
      <c r="M11" s="299">
        <v>866</v>
      </c>
      <c r="N11" s="299">
        <v>1129</v>
      </c>
      <c r="O11" s="266">
        <f>SUM(C11:N11)</f>
        <v>6514</v>
      </c>
    </row>
    <row r="12" spans="1:15">
      <c r="A12" s="292">
        <v>4</v>
      </c>
      <c r="B12" s="71" t="s">
        <v>209</v>
      </c>
      <c r="C12" s="299">
        <v>0</v>
      </c>
      <c r="D12" s="299">
        <v>0</v>
      </c>
      <c r="E12" s="299">
        <v>0</v>
      </c>
      <c r="F12" s="299">
        <v>0</v>
      </c>
      <c r="G12" s="299">
        <v>15</v>
      </c>
      <c r="H12" s="299">
        <v>53</v>
      </c>
      <c r="I12" s="299">
        <v>209</v>
      </c>
      <c r="J12" s="299">
        <v>187</v>
      </c>
      <c r="K12" s="299">
        <v>41</v>
      </c>
      <c r="L12" s="299">
        <v>1</v>
      </c>
      <c r="M12" s="299">
        <v>0</v>
      </c>
      <c r="N12" s="299">
        <v>0</v>
      </c>
      <c r="O12" s="266">
        <f>SUM(C12:N12)</f>
        <v>506</v>
      </c>
    </row>
    <row r="13" spans="1:15" ht="6.75" customHeight="1"/>
    <row r="14" spans="1:15">
      <c r="A14" s="292">
        <v>5</v>
      </c>
      <c r="B14" t="s">
        <v>210</v>
      </c>
      <c r="C14" s="266">
        <f>C11-C8</f>
        <v>151</v>
      </c>
      <c r="D14" s="266">
        <f t="shared" ref="D14:N14" si="1">D11-D8</f>
        <v>50</v>
      </c>
      <c r="E14" s="266">
        <f t="shared" si="1"/>
        <v>-32</v>
      </c>
      <c r="F14" s="266">
        <f t="shared" si="1"/>
        <v>31</v>
      </c>
      <c r="G14" s="266">
        <f t="shared" si="1"/>
        <v>3</v>
      </c>
      <c r="H14" s="266">
        <f t="shared" si="1"/>
        <v>-2</v>
      </c>
      <c r="I14" s="266">
        <f t="shared" si="1"/>
        <v>5</v>
      </c>
      <c r="J14" s="266">
        <f t="shared" si="1"/>
        <v>17</v>
      </c>
      <c r="K14" s="266">
        <f t="shared" si="1"/>
        <v>72</v>
      </c>
      <c r="L14" s="266">
        <f t="shared" si="1"/>
        <v>15</v>
      </c>
      <c r="M14" s="266">
        <f t="shared" si="1"/>
        <v>40</v>
      </c>
      <c r="N14" s="266">
        <f t="shared" si="1"/>
        <v>108</v>
      </c>
      <c r="O14" s="266">
        <f t="shared" ref="O14:O15" si="2">SUM(C14:N14)</f>
        <v>458</v>
      </c>
    </row>
    <row r="15" spans="1:15">
      <c r="A15" s="292">
        <v>6</v>
      </c>
      <c r="B15" s="71" t="s">
        <v>213</v>
      </c>
      <c r="C15" s="266">
        <f>C12-C9</f>
        <v>0</v>
      </c>
      <c r="D15" s="266">
        <f t="shared" ref="D15:N15" si="3">D12-D9</f>
        <v>0</v>
      </c>
      <c r="E15" s="266">
        <f t="shared" si="3"/>
        <v>0</v>
      </c>
      <c r="F15" s="266">
        <f t="shared" si="3"/>
        <v>0</v>
      </c>
      <c r="G15" s="266">
        <f t="shared" si="3"/>
        <v>4</v>
      </c>
      <c r="H15" s="266">
        <f t="shared" si="3"/>
        <v>4</v>
      </c>
      <c r="I15" s="266">
        <f t="shared" si="3"/>
        <v>4</v>
      </c>
      <c r="J15" s="266">
        <f t="shared" si="3"/>
        <v>-36</v>
      </c>
      <c r="K15" s="266">
        <f t="shared" si="3"/>
        <v>-24</v>
      </c>
      <c r="L15" s="266">
        <f t="shared" si="3"/>
        <v>-2</v>
      </c>
      <c r="M15" s="266">
        <f t="shared" si="3"/>
        <v>0</v>
      </c>
      <c r="N15" s="266">
        <f t="shared" si="3"/>
        <v>0</v>
      </c>
      <c r="O15" s="266">
        <f t="shared" si="2"/>
        <v>-50</v>
      </c>
    </row>
    <row r="16" spans="1:15" ht="7.5" customHeight="1"/>
    <row r="17" spans="1:17">
      <c r="A17" s="292">
        <v>7</v>
      </c>
      <c r="B17" t="s">
        <v>214</v>
      </c>
      <c r="C17" s="299">
        <v>19498541</v>
      </c>
      <c r="D17" s="299">
        <v>6431709</v>
      </c>
      <c r="E17" s="299">
        <v>-4123133</v>
      </c>
      <c r="F17" s="299">
        <v>2883614</v>
      </c>
      <c r="G17" s="299">
        <v>1313098</v>
      </c>
      <c r="H17" s="299">
        <v>850109</v>
      </c>
      <c r="I17" s="299">
        <v>1034937</v>
      </c>
      <c r="J17" s="299">
        <v>-9305973</v>
      </c>
      <c r="K17" s="299">
        <v>-6217553</v>
      </c>
      <c r="L17" s="299">
        <v>875402</v>
      </c>
      <c r="M17" s="299">
        <v>3710709</v>
      </c>
      <c r="N17" s="299">
        <v>13721503</v>
      </c>
      <c r="O17" s="266">
        <f t="shared" ref="O17:O18" si="4">SUM(C17:N17)</f>
        <v>30672963</v>
      </c>
    </row>
    <row r="18" spans="1:17">
      <c r="A18" s="292">
        <v>8</v>
      </c>
      <c r="B18" t="s">
        <v>215</v>
      </c>
      <c r="C18" s="299">
        <v>3571182</v>
      </c>
      <c r="D18" s="299">
        <v>1161251</v>
      </c>
      <c r="E18" s="299">
        <v>-753719</v>
      </c>
      <c r="F18" s="299">
        <v>239990</v>
      </c>
      <c r="G18" s="299">
        <v>342304</v>
      </c>
      <c r="H18" s="299">
        <v>315353</v>
      </c>
      <c r="I18" s="299">
        <v>324611</v>
      </c>
      <c r="J18" s="299">
        <v>-2898390</v>
      </c>
      <c r="K18" s="299">
        <v>-1932666</v>
      </c>
      <c r="L18" s="299">
        <v>-47519</v>
      </c>
      <c r="M18" s="299">
        <v>302760</v>
      </c>
      <c r="N18" s="299">
        <v>2435530</v>
      </c>
      <c r="O18" s="266">
        <f t="shared" si="4"/>
        <v>3060687</v>
      </c>
    </row>
    <row r="19" spans="1:17" s="71" customFormat="1">
      <c r="A19" s="292"/>
    </row>
    <row r="20" spans="1:17">
      <c r="B20" s="291" t="s">
        <v>252</v>
      </c>
      <c r="C20" s="160"/>
    </row>
    <row r="21" spans="1:17">
      <c r="A21" s="292">
        <v>9</v>
      </c>
      <c r="B21" s="71" t="s">
        <v>251</v>
      </c>
      <c r="C21" s="300">
        <v>1434898</v>
      </c>
      <c r="D21" s="300">
        <v>473310</v>
      </c>
      <c r="E21" s="300">
        <v>-303421</v>
      </c>
      <c r="F21" s="300">
        <v>232506</v>
      </c>
      <c r="G21" s="300">
        <v>105875</v>
      </c>
      <c r="H21" s="300">
        <v>68544</v>
      </c>
      <c r="I21" s="300">
        <v>83447</v>
      </c>
      <c r="J21" s="300">
        <v>-750341</v>
      </c>
      <c r="K21" s="300">
        <v>-501321</v>
      </c>
      <c r="L21" s="300">
        <v>70584</v>
      </c>
      <c r="M21" s="300">
        <v>299194</v>
      </c>
      <c r="N21" s="300">
        <v>1106365</v>
      </c>
      <c r="O21" s="268">
        <f>SUM(C21:N21)</f>
        <v>2319640</v>
      </c>
    </row>
    <row r="22" spans="1:17">
      <c r="A22" s="292">
        <v>10</v>
      </c>
      <c r="B22" t="s">
        <v>250</v>
      </c>
      <c r="C22" s="268">
        <f>C23-C21</f>
        <v>435912.25418786518</v>
      </c>
      <c r="D22" s="268">
        <f t="shared" ref="D22" si="5">D23-D21</f>
        <v>147527.71819462813</v>
      </c>
      <c r="E22" s="268">
        <f t="shared" ref="E22" si="6">E23-E21</f>
        <v>103619.32217791863</v>
      </c>
      <c r="F22" s="268">
        <f t="shared" ref="F22" si="7">F23-F21</f>
        <v>-502196.95675537176</v>
      </c>
      <c r="G22" s="268">
        <f t="shared" ref="G22" si="8">G23-G21</f>
        <v>652677.40956937894</v>
      </c>
      <c r="H22" s="268">
        <f t="shared" ref="H22" si="9">H23-H21</f>
        <v>233026.30056972429</v>
      </c>
      <c r="I22" s="268">
        <f t="shared" ref="I22" si="10">I23-I21</f>
        <v>-1169136.6079814602</v>
      </c>
      <c r="J22" s="268">
        <f t="shared" ref="J22" si="11">J23-J21</f>
        <v>82653.950944742188</v>
      </c>
      <c r="K22" s="268">
        <f t="shared" ref="K22" si="12">K23-K21</f>
        <v>-403281.65346350148</v>
      </c>
      <c r="L22" s="268">
        <f t="shared" ref="L22" si="13">L23-L21</f>
        <v>-135010.61172929965</v>
      </c>
      <c r="M22" s="268">
        <f t="shared" ref="M22" si="14">M23-M21</f>
        <v>-1069638.1172892936</v>
      </c>
      <c r="N22" s="268">
        <f t="shared" ref="N22" si="15">N23-N21</f>
        <v>-1606069.1347969882</v>
      </c>
      <c r="O22" s="268">
        <f>SUM(C22:N22)</f>
        <v>-3229916.1263716575</v>
      </c>
    </row>
    <row r="23" spans="1:17">
      <c r="A23" s="292">
        <v>11</v>
      </c>
      <c r="B23" t="s">
        <v>253</v>
      </c>
      <c r="C23" s="296">
        <f>'Electric Deferral'!D$29</f>
        <v>1870810.2541878652</v>
      </c>
      <c r="D23" s="296">
        <f>'Electric Deferral'!E29</f>
        <v>620837.71819462813</v>
      </c>
      <c r="E23" s="296">
        <f>'Electric Deferral'!F29</f>
        <v>-199801.67782208137</v>
      </c>
      <c r="F23" s="296">
        <f>'Electric Deferral'!G29</f>
        <v>-269690.95675537176</v>
      </c>
      <c r="G23" s="296">
        <f>'Electric Deferral'!H29</f>
        <v>758552.40956937894</v>
      </c>
      <c r="H23" s="296">
        <f>'Electric Deferral'!I29</f>
        <v>301570.30056972429</v>
      </c>
      <c r="I23" s="296">
        <f>'Electric Deferral'!J29</f>
        <v>-1085689.6079814602</v>
      </c>
      <c r="J23" s="296">
        <f>'Electric Deferral'!K29</f>
        <v>-667687.04905525781</v>
      </c>
      <c r="K23" s="296">
        <f>'Electric Deferral'!L29</f>
        <v>-904602.65346350148</v>
      </c>
      <c r="L23" s="296">
        <f>'Electric Deferral'!M29</f>
        <v>-64426.61172929965</v>
      </c>
      <c r="M23" s="296">
        <f>'Electric Deferral'!N29</f>
        <v>-770444.11728929356</v>
      </c>
      <c r="N23" s="296">
        <f>'Electric Deferral'!O29</f>
        <v>-499704.13479698822</v>
      </c>
      <c r="O23" s="268">
        <f>SUM(C23:N23)</f>
        <v>-910276.12637165748</v>
      </c>
    </row>
    <row r="25" spans="1:17">
      <c r="A25" s="292">
        <v>12</v>
      </c>
      <c r="B25" s="71" t="s">
        <v>254</v>
      </c>
      <c r="C25" s="300">
        <v>207210</v>
      </c>
      <c r="D25" s="300">
        <v>67508</v>
      </c>
      <c r="E25" s="300">
        <v>-43779</v>
      </c>
      <c r="F25" s="300">
        <v>15753</v>
      </c>
      <c r="G25" s="300">
        <v>19735</v>
      </c>
      <c r="H25" s="300">
        <v>17825</v>
      </c>
      <c r="I25" s="300">
        <v>18503</v>
      </c>
      <c r="J25" s="300">
        <v>-165193</v>
      </c>
      <c r="K25" s="300">
        <v>-110283</v>
      </c>
      <c r="L25" s="300">
        <v>-1710</v>
      </c>
      <c r="M25" s="300">
        <v>19932</v>
      </c>
      <c r="N25" s="300">
        <v>148512</v>
      </c>
      <c r="O25" s="268">
        <f>SUM(C25:N25)</f>
        <v>194013</v>
      </c>
    </row>
    <row r="26" spans="1:17">
      <c r="A26" s="292">
        <v>13</v>
      </c>
      <c r="B26" s="71" t="s">
        <v>255</v>
      </c>
      <c r="C26" s="268">
        <f>C27-C25</f>
        <v>394784.38085491583</v>
      </c>
      <c r="D26" s="268">
        <f t="shared" ref="D26:N26" si="16">D27-D25</f>
        <v>129124.85667991079</v>
      </c>
      <c r="E26" s="268">
        <f t="shared" si="16"/>
        <v>762230.7477283515</v>
      </c>
      <c r="F26" s="268">
        <f t="shared" si="16"/>
        <v>1533587.2608887795</v>
      </c>
      <c r="G26" s="268">
        <f t="shared" si="16"/>
        <v>2048212.7525494006</v>
      </c>
      <c r="H26" s="268">
        <f t="shared" si="16"/>
        <v>1606607.017025236</v>
      </c>
      <c r="I26" s="268">
        <f t="shared" si="16"/>
        <v>1425179.7750932202</v>
      </c>
      <c r="J26" s="268">
        <f t="shared" si="16"/>
        <v>1090399.1564732809</v>
      </c>
      <c r="K26" s="268">
        <f t="shared" si="16"/>
        <v>218624.27472317405</v>
      </c>
      <c r="L26" s="268">
        <f t="shared" si="16"/>
        <v>64388.179447816685</v>
      </c>
      <c r="M26" s="268">
        <f t="shared" si="16"/>
        <v>1565342.8276860081</v>
      </c>
      <c r="N26" s="268">
        <f t="shared" si="16"/>
        <v>542208.69122486562</v>
      </c>
      <c r="O26" s="268">
        <f>SUM(C26:N26)</f>
        <v>11380689.92037496</v>
      </c>
    </row>
    <row r="27" spans="1:17">
      <c r="A27" s="292">
        <v>14</v>
      </c>
      <c r="B27" s="71" t="s">
        <v>256</v>
      </c>
      <c r="C27" s="296">
        <f>'Electric Deferral'!D$57</f>
        <v>601994.38085491583</v>
      </c>
      <c r="D27" s="296">
        <f>'Electric Deferral'!E$57</f>
        <v>196632.85667991079</v>
      </c>
      <c r="E27" s="296">
        <f>'Electric Deferral'!F$57</f>
        <v>718451.7477283515</v>
      </c>
      <c r="F27" s="296">
        <f>'Electric Deferral'!G$57</f>
        <v>1549340.2608887795</v>
      </c>
      <c r="G27" s="296">
        <f>'Electric Deferral'!H$57</f>
        <v>2067947.7525494006</v>
      </c>
      <c r="H27" s="296">
        <f>'Electric Deferral'!I$57</f>
        <v>1624432.017025236</v>
      </c>
      <c r="I27" s="296">
        <f>'Electric Deferral'!J$57</f>
        <v>1443682.7750932202</v>
      </c>
      <c r="J27" s="296">
        <f>'Electric Deferral'!K$57</f>
        <v>925206.15647328086</v>
      </c>
      <c r="K27" s="296">
        <f>'Electric Deferral'!L$57</f>
        <v>108341.27472317405</v>
      </c>
      <c r="L27" s="296">
        <f>'Electric Deferral'!M$57</f>
        <v>62678.179447816685</v>
      </c>
      <c r="M27" s="296">
        <f>'Electric Deferral'!N$57</f>
        <v>1585274.8276860081</v>
      </c>
      <c r="N27" s="296">
        <f>'Electric Deferral'!O$57</f>
        <v>690720.69122486562</v>
      </c>
      <c r="O27" s="268">
        <f>SUM(C27:N27)</f>
        <v>11574702.92037496</v>
      </c>
    </row>
    <row r="29" spans="1:17">
      <c r="B29" s="291" t="s">
        <v>258</v>
      </c>
      <c r="C29" s="71"/>
      <c r="D29" s="71"/>
      <c r="E29" s="71"/>
      <c r="F29" s="71"/>
      <c r="G29" s="71"/>
      <c r="H29" s="71"/>
      <c r="I29" s="71"/>
      <c r="J29" s="71"/>
      <c r="K29" s="71"/>
      <c r="L29" s="71"/>
      <c r="M29" s="71"/>
      <c r="N29" s="71"/>
      <c r="O29" s="71"/>
    </row>
    <row r="30" spans="1:17">
      <c r="A30" s="292">
        <v>15</v>
      </c>
      <c r="B30" s="71" t="s">
        <v>259</v>
      </c>
      <c r="C30" s="299">
        <v>1099</v>
      </c>
      <c r="D30" s="299">
        <v>927</v>
      </c>
      <c r="E30" s="299">
        <v>778</v>
      </c>
      <c r="F30" s="299">
        <v>544</v>
      </c>
      <c r="G30" s="299">
        <v>285</v>
      </c>
      <c r="H30" s="299">
        <v>129</v>
      </c>
      <c r="I30" s="299">
        <v>17</v>
      </c>
      <c r="J30" s="299">
        <v>21</v>
      </c>
      <c r="K30" s="299">
        <v>164</v>
      </c>
      <c r="L30" s="299">
        <v>529</v>
      </c>
      <c r="M30" s="299">
        <v>870</v>
      </c>
      <c r="N30" s="299">
        <v>1125</v>
      </c>
      <c r="O30" s="266">
        <f>SUM(C30:N30)</f>
        <v>6488</v>
      </c>
    </row>
    <row r="31" spans="1:17">
      <c r="A31" s="292">
        <v>16</v>
      </c>
      <c r="B31" s="71" t="s">
        <v>260</v>
      </c>
      <c r="C31" s="299">
        <v>0</v>
      </c>
      <c r="D31" s="299">
        <v>0</v>
      </c>
      <c r="E31" s="299">
        <v>0</v>
      </c>
      <c r="F31" s="299">
        <v>0</v>
      </c>
      <c r="G31" s="299">
        <v>17</v>
      </c>
      <c r="H31" s="299">
        <v>60</v>
      </c>
      <c r="I31" s="299">
        <v>234</v>
      </c>
      <c r="J31" s="299">
        <v>201</v>
      </c>
      <c r="K31" s="299">
        <v>45</v>
      </c>
      <c r="L31" s="299">
        <v>1</v>
      </c>
      <c r="M31" s="299">
        <v>0</v>
      </c>
      <c r="N31" s="299">
        <v>0</v>
      </c>
      <c r="O31" s="266">
        <f>SUM(C31:N31)</f>
        <v>558</v>
      </c>
    </row>
    <row r="32" spans="1:17">
      <c r="B32" s="71"/>
      <c r="C32" s="71"/>
      <c r="D32" s="71"/>
      <c r="E32" s="71"/>
      <c r="F32" s="71"/>
      <c r="G32" s="71"/>
      <c r="H32" s="71"/>
      <c r="I32" s="71"/>
      <c r="J32" s="71"/>
      <c r="K32" s="71"/>
      <c r="L32" s="71"/>
      <c r="M32" s="71"/>
      <c r="N32" s="71"/>
      <c r="O32" s="71"/>
      <c r="Q32" s="71"/>
    </row>
    <row r="33" spans="1:17">
      <c r="A33" s="292">
        <v>17</v>
      </c>
      <c r="B33" s="71" t="s">
        <v>210</v>
      </c>
      <c r="C33" s="266">
        <f>C30-C8</f>
        <v>148</v>
      </c>
      <c r="D33" s="266">
        <f t="shared" ref="D33:N33" si="17">D30-D8</f>
        <v>66</v>
      </c>
      <c r="E33" s="266">
        <f t="shared" si="17"/>
        <v>-31</v>
      </c>
      <c r="F33" s="266">
        <f t="shared" si="17"/>
        <v>31</v>
      </c>
      <c r="G33" s="266">
        <f t="shared" si="17"/>
        <v>-7</v>
      </c>
      <c r="H33" s="266">
        <f t="shared" si="17"/>
        <v>-10</v>
      </c>
      <c r="I33" s="266">
        <f t="shared" si="17"/>
        <v>-4</v>
      </c>
      <c r="J33" s="266">
        <f t="shared" si="17"/>
        <v>10</v>
      </c>
      <c r="K33" s="266">
        <f t="shared" si="17"/>
        <v>76</v>
      </c>
      <c r="L33" s="266">
        <f t="shared" si="17"/>
        <v>5</v>
      </c>
      <c r="M33" s="266">
        <f t="shared" si="17"/>
        <v>44</v>
      </c>
      <c r="N33" s="266">
        <f t="shared" si="17"/>
        <v>104</v>
      </c>
      <c r="O33" s="266">
        <f t="shared" ref="O33:O34" si="18">SUM(C33:N33)</f>
        <v>432</v>
      </c>
      <c r="Q33" s="71"/>
    </row>
    <row r="34" spans="1:17">
      <c r="A34" s="292">
        <v>18</v>
      </c>
      <c r="B34" s="71" t="s">
        <v>213</v>
      </c>
      <c r="C34" s="266">
        <f>C31-C9</f>
        <v>0</v>
      </c>
      <c r="D34" s="266">
        <f t="shared" ref="D34:N34" si="19">D31-D9</f>
        <v>0</v>
      </c>
      <c r="E34" s="266">
        <f t="shared" si="19"/>
        <v>0</v>
      </c>
      <c r="F34" s="266">
        <f t="shared" si="19"/>
        <v>0</v>
      </c>
      <c r="G34" s="266">
        <f t="shared" si="19"/>
        <v>6</v>
      </c>
      <c r="H34" s="266">
        <f t="shared" si="19"/>
        <v>11</v>
      </c>
      <c r="I34" s="266">
        <f t="shared" si="19"/>
        <v>29</v>
      </c>
      <c r="J34" s="266">
        <f t="shared" si="19"/>
        <v>-22</v>
      </c>
      <c r="K34" s="266">
        <f t="shared" si="19"/>
        <v>-20</v>
      </c>
      <c r="L34" s="266">
        <f t="shared" si="19"/>
        <v>-2</v>
      </c>
      <c r="M34" s="266">
        <f t="shared" si="19"/>
        <v>0</v>
      </c>
      <c r="N34" s="266">
        <f t="shared" si="19"/>
        <v>0</v>
      </c>
      <c r="O34" s="266">
        <f t="shared" si="18"/>
        <v>2</v>
      </c>
      <c r="Q34" s="71"/>
    </row>
    <row r="35" spans="1:17">
      <c r="B35" s="71"/>
      <c r="C35" s="71"/>
      <c r="D35" s="71"/>
      <c r="E35" s="71"/>
      <c r="F35" s="71"/>
      <c r="G35" s="71"/>
      <c r="H35" s="71"/>
      <c r="I35" s="71"/>
      <c r="J35" s="71"/>
      <c r="K35" s="71"/>
      <c r="L35" s="71"/>
      <c r="M35" s="71"/>
      <c r="N35" s="71"/>
      <c r="O35" s="71"/>
    </row>
    <row r="36" spans="1:17">
      <c r="A36" s="292">
        <v>19</v>
      </c>
      <c r="B36" s="71" t="s">
        <v>261</v>
      </c>
      <c r="C36" s="299">
        <v>19111152</v>
      </c>
      <c r="D36" s="299">
        <v>8489856</v>
      </c>
      <c r="E36" s="299">
        <v>-3994286</v>
      </c>
      <c r="F36" s="299">
        <v>2883614</v>
      </c>
      <c r="G36" s="299">
        <v>902430</v>
      </c>
      <c r="H36" s="299">
        <v>1919691</v>
      </c>
      <c r="I36" s="299">
        <v>7503294</v>
      </c>
      <c r="J36" s="299">
        <v>-5686983</v>
      </c>
      <c r="K36" s="299">
        <v>-5181294</v>
      </c>
      <c r="L36" s="299">
        <v>-53383</v>
      </c>
      <c r="M36" s="299">
        <v>4081780</v>
      </c>
      <c r="N36" s="299">
        <v>13213299</v>
      </c>
      <c r="O36" s="266">
        <f t="shared" ref="O36:O37" si="20">SUM(C36:N36)</f>
        <v>43189170</v>
      </c>
    </row>
    <row r="37" spans="1:17">
      <c r="A37" s="292">
        <v>20</v>
      </c>
      <c r="B37" s="71" t="s">
        <v>262</v>
      </c>
      <c r="C37" s="299">
        <v>3500232</v>
      </c>
      <c r="D37" s="299">
        <v>1532850</v>
      </c>
      <c r="E37" s="299">
        <v>-730163</v>
      </c>
      <c r="F37" s="299">
        <v>239990</v>
      </c>
      <c r="G37" s="299">
        <v>425919</v>
      </c>
      <c r="H37" s="299">
        <v>831872</v>
      </c>
      <c r="I37" s="299">
        <v>2353424</v>
      </c>
      <c r="J37" s="299">
        <v>-1771238</v>
      </c>
      <c r="K37" s="299">
        <v>-1610555</v>
      </c>
      <c r="L37" s="299">
        <v>-124076</v>
      </c>
      <c r="M37" s="299">
        <v>333037</v>
      </c>
      <c r="N37" s="299">
        <v>2345327</v>
      </c>
      <c r="O37" s="266">
        <f t="shared" si="20"/>
        <v>7326619</v>
      </c>
    </row>
    <row r="38" spans="1:17">
      <c r="B38" s="71"/>
      <c r="C38" s="71"/>
      <c r="D38" s="71"/>
      <c r="E38" s="71"/>
      <c r="F38" s="71"/>
      <c r="G38" s="71"/>
      <c r="H38" s="71"/>
      <c r="I38" s="71"/>
      <c r="J38" s="71"/>
      <c r="K38" s="71"/>
      <c r="L38" s="71"/>
      <c r="M38" s="71"/>
      <c r="N38" s="71"/>
      <c r="O38" s="71"/>
    </row>
    <row r="39" spans="1:17">
      <c r="B39" s="291" t="s">
        <v>252</v>
      </c>
      <c r="C39" s="160"/>
      <c r="D39" s="71"/>
      <c r="E39" s="71"/>
      <c r="F39" s="71"/>
      <c r="G39" s="71"/>
      <c r="H39" s="71"/>
      <c r="I39" s="71"/>
      <c r="J39" s="71"/>
      <c r="K39" s="71"/>
      <c r="L39" s="71"/>
      <c r="M39" s="71"/>
      <c r="N39" s="71"/>
      <c r="O39" s="71"/>
    </row>
    <row r="40" spans="1:17">
      <c r="A40" s="292">
        <v>21</v>
      </c>
      <c r="B40" s="71" t="s">
        <v>251</v>
      </c>
      <c r="C40" s="300">
        <v>1406390</v>
      </c>
      <c r="D40" s="300">
        <v>624769</v>
      </c>
      <c r="E40" s="300">
        <v>-293940</v>
      </c>
      <c r="F40" s="300">
        <v>232506</v>
      </c>
      <c r="G40" s="300">
        <v>72763</v>
      </c>
      <c r="H40" s="300">
        <v>154785</v>
      </c>
      <c r="I40" s="300">
        <v>604991</v>
      </c>
      <c r="J40" s="300">
        <v>-458542</v>
      </c>
      <c r="K40" s="300">
        <v>-417767</v>
      </c>
      <c r="L40" s="300">
        <v>-4304</v>
      </c>
      <c r="M40" s="300">
        <v>329114</v>
      </c>
      <c r="N40" s="300">
        <v>1065388</v>
      </c>
      <c r="O40" s="268">
        <f>SUM(C40:N40)</f>
        <v>3316153</v>
      </c>
    </row>
    <row r="41" spans="1:17">
      <c r="A41" s="292">
        <v>22</v>
      </c>
      <c r="B41" s="71" t="s">
        <v>250</v>
      </c>
      <c r="C41" s="268">
        <f>C42-C40</f>
        <v>464420.25418786518</v>
      </c>
      <c r="D41" s="268">
        <f t="shared" ref="D41" si="21">D42-D40</f>
        <v>-3931.2818053718656</v>
      </c>
      <c r="E41" s="268">
        <f t="shared" ref="E41" si="22">E42-E40</f>
        <v>94138.322177918628</v>
      </c>
      <c r="F41" s="268">
        <f>F42-F40</f>
        <v>-502196.95675537176</v>
      </c>
      <c r="G41" s="268">
        <f t="shared" ref="G41" si="23">G42-G40</f>
        <v>685789.40956937894</v>
      </c>
      <c r="H41" s="268">
        <f t="shared" ref="H41" si="24">H42-H40</f>
        <v>146785.30056972429</v>
      </c>
      <c r="I41" s="268">
        <f t="shared" ref="I41" si="25">I42-I40</f>
        <v>-1690680.6079814602</v>
      </c>
      <c r="J41" s="268">
        <f t="shared" ref="J41" si="26">J42-J40</f>
        <v>-209145.04905525781</v>
      </c>
      <c r="K41" s="268">
        <f t="shared" ref="K41" si="27">K42-K40</f>
        <v>-486835.65346350148</v>
      </c>
      <c r="L41" s="268">
        <f t="shared" ref="L41" si="28">L42-L40</f>
        <v>-60122.61172929965</v>
      </c>
      <c r="M41" s="268">
        <f t="shared" ref="M41" si="29">M42-M40</f>
        <v>-1099558.1172892936</v>
      </c>
      <c r="N41" s="268">
        <f t="shared" ref="N41" si="30">N42-N40</f>
        <v>-1565092.1347969882</v>
      </c>
      <c r="O41" s="268">
        <f>SUM(C41:N41)</f>
        <v>-4226429.1263716575</v>
      </c>
    </row>
    <row r="42" spans="1:17">
      <c r="A42" s="292">
        <v>23</v>
      </c>
      <c r="B42" s="71" t="s">
        <v>253</v>
      </c>
      <c r="C42" s="296">
        <f>'Electric Deferral'!D$29</f>
        <v>1870810.2541878652</v>
      </c>
      <c r="D42" s="296">
        <f>'Electric Deferral'!E$29</f>
        <v>620837.71819462813</v>
      </c>
      <c r="E42" s="296">
        <f>'Electric Deferral'!F$29</f>
        <v>-199801.67782208137</v>
      </c>
      <c r="F42" s="296">
        <f>'Electric Deferral'!G$29</f>
        <v>-269690.95675537176</v>
      </c>
      <c r="G42" s="296">
        <f>'Electric Deferral'!H$29</f>
        <v>758552.40956937894</v>
      </c>
      <c r="H42" s="296">
        <f>'Electric Deferral'!I$29</f>
        <v>301570.30056972429</v>
      </c>
      <c r="I42" s="296">
        <f>'Electric Deferral'!J$29</f>
        <v>-1085689.6079814602</v>
      </c>
      <c r="J42" s="296">
        <f>'Electric Deferral'!K$29</f>
        <v>-667687.04905525781</v>
      </c>
      <c r="K42" s="296">
        <f>'Electric Deferral'!L$29</f>
        <v>-904602.65346350148</v>
      </c>
      <c r="L42" s="296">
        <f>'Electric Deferral'!M$29</f>
        <v>-64426.61172929965</v>
      </c>
      <c r="M42" s="296">
        <f>'Electric Deferral'!N$29</f>
        <v>-770444.11728929356</v>
      </c>
      <c r="N42" s="296">
        <f>'Electric Deferral'!O$29</f>
        <v>-499704.13479698822</v>
      </c>
      <c r="O42" s="268">
        <f>SUM(C42:N42)</f>
        <v>-910276.12637165748</v>
      </c>
    </row>
    <row r="43" spans="1:17">
      <c r="B43" s="71"/>
      <c r="C43" s="71"/>
      <c r="D43" s="71"/>
      <c r="E43" s="71"/>
      <c r="F43" s="71"/>
      <c r="G43" s="71"/>
      <c r="H43" s="71"/>
      <c r="I43" s="71"/>
      <c r="J43" s="71"/>
      <c r="K43" s="71"/>
      <c r="L43" s="71"/>
      <c r="M43" s="71"/>
      <c r="N43" s="71"/>
      <c r="O43" s="71"/>
    </row>
    <row r="44" spans="1:17">
      <c r="A44" s="292">
        <v>24</v>
      </c>
      <c r="B44" s="71" t="s">
        <v>254</v>
      </c>
      <c r="C44" s="300">
        <v>203094</v>
      </c>
      <c r="D44" s="300">
        <v>89111</v>
      </c>
      <c r="E44" s="300">
        <v>-42410</v>
      </c>
      <c r="F44" s="300">
        <v>15753</v>
      </c>
      <c r="G44" s="300">
        <v>23844</v>
      </c>
      <c r="H44" s="300">
        <v>46700</v>
      </c>
      <c r="I44" s="300">
        <v>134143</v>
      </c>
      <c r="J44" s="300">
        <v>-100951</v>
      </c>
      <c r="K44" s="300">
        <v>-91903</v>
      </c>
      <c r="L44" s="300">
        <v>-6738</v>
      </c>
      <c r="M44" s="300">
        <v>21925</v>
      </c>
      <c r="N44" s="300">
        <v>143011</v>
      </c>
      <c r="O44" s="268">
        <f>SUM(C44:N44)</f>
        <v>435579</v>
      </c>
    </row>
    <row r="45" spans="1:17">
      <c r="A45" s="292">
        <v>25</v>
      </c>
      <c r="B45" s="71" t="s">
        <v>255</v>
      </c>
      <c r="C45" s="268">
        <f>C46-C44</f>
        <v>398900.38085491583</v>
      </c>
      <c r="D45" s="268">
        <f t="shared" ref="D45" si="31">D46-D44</f>
        <v>107521.85667991079</v>
      </c>
      <c r="E45" s="268">
        <f t="shared" ref="E45" si="32">E46-E44</f>
        <v>760861.7477283515</v>
      </c>
      <c r="F45" s="268">
        <f t="shared" ref="F45" si="33">F46-F44</f>
        <v>1533587.2608887795</v>
      </c>
      <c r="G45" s="268">
        <f t="shared" ref="G45" si="34">G46-G44</f>
        <v>2044103.7525494006</v>
      </c>
      <c r="H45" s="268">
        <f t="shared" ref="H45" si="35">H46-H44</f>
        <v>1577732.017025236</v>
      </c>
      <c r="I45" s="268">
        <f t="shared" ref="I45" si="36">I46-I44</f>
        <v>1309539.7750932202</v>
      </c>
      <c r="J45" s="268">
        <f t="shared" ref="J45" si="37">J46-J44</f>
        <v>1026157.1564732809</v>
      </c>
      <c r="K45" s="268">
        <f t="shared" ref="K45" si="38">K46-K44</f>
        <v>200244.27472317405</v>
      </c>
      <c r="L45" s="268">
        <f t="shared" ref="L45" si="39">L46-L44</f>
        <v>69416.179447816685</v>
      </c>
      <c r="M45" s="268">
        <f t="shared" ref="M45" si="40">M46-M44</f>
        <v>1563349.8276860081</v>
      </c>
      <c r="N45" s="268">
        <f t="shared" ref="N45" si="41">N46-N44</f>
        <v>547709.69122486562</v>
      </c>
      <c r="O45" s="268">
        <f>SUM(C45:N45)</f>
        <v>11139123.92037496</v>
      </c>
    </row>
    <row r="46" spans="1:17">
      <c r="A46" s="292">
        <v>26</v>
      </c>
      <c r="B46" s="71" t="s">
        <v>256</v>
      </c>
      <c r="C46" s="296">
        <f>'Electric Deferral'!D$57</f>
        <v>601994.38085491583</v>
      </c>
      <c r="D46" s="296">
        <f>'Electric Deferral'!E$57</f>
        <v>196632.85667991079</v>
      </c>
      <c r="E46" s="296">
        <f>'Electric Deferral'!F$57</f>
        <v>718451.7477283515</v>
      </c>
      <c r="F46" s="296">
        <f>'Electric Deferral'!G$57</f>
        <v>1549340.2608887795</v>
      </c>
      <c r="G46" s="296">
        <f>'Electric Deferral'!H$57</f>
        <v>2067947.7525494006</v>
      </c>
      <c r="H46" s="296">
        <f>'Electric Deferral'!I$57</f>
        <v>1624432.017025236</v>
      </c>
      <c r="I46" s="296">
        <f>'Electric Deferral'!J$57</f>
        <v>1443682.7750932202</v>
      </c>
      <c r="J46" s="296">
        <f>'Electric Deferral'!K$57</f>
        <v>925206.15647328086</v>
      </c>
      <c r="K46" s="296">
        <f>'Electric Deferral'!L$57</f>
        <v>108341.27472317405</v>
      </c>
      <c r="L46" s="296">
        <f>'Electric Deferral'!M$57</f>
        <v>62678.179447816685</v>
      </c>
      <c r="M46" s="296">
        <f>'Electric Deferral'!N$57</f>
        <v>1585274.8276860081</v>
      </c>
      <c r="N46" s="296">
        <f>'Electric Deferral'!O$57</f>
        <v>690720.69122486562</v>
      </c>
      <c r="O46" s="268">
        <f>SUM(C46:N46)</f>
        <v>11574702.92037496</v>
      </c>
    </row>
    <row r="48" spans="1:17">
      <c r="B48" s="291" t="s">
        <v>263</v>
      </c>
      <c r="C48" s="71"/>
      <c r="D48" s="71"/>
      <c r="E48" s="71"/>
      <c r="F48" s="71"/>
      <c r="G48" s="71"/>
      <c r="H48" s="71"/>
      <c r="I48" s="71"/>
      <c r="J48" s="71"/>
      <c r="K48" s="71"/>
      <c r="L48" s="71"/>
      <c r="M48" s="71"/>
      <c r="N48" s="71"/>
      <c r="O48" s="71"/>
    </row>
    <row r="49" spans="1:15">
      <c r="A49" s="292">
        <v>27</v>
      </c>
      <c r="B49" s="71" t="s">
        <v>264</v>
      </c>
      <c r="C49" s="299">
        <v>1098</v>
      </c>
      <c r="D49" s="299">
        <v>925</v>
      </c>
      <c r="E49" s="299">
        <v>780</v>
      </c>
      <c r="F49" s="299">
        <v>541</v>
      </c>
      <c r="G49" s="299">
        <v>269</v>
      </c>
      <c r="H49" s="299">
        <v>123</v>
      </c>
      <c r="I49" s="299">
        <v>14</v>
      </c>
      <c r="J49" s="299">
        <v>19</v>
      </c>
      <c r="K49" s="299">
        <v>154</v>
      </c>
      <c r="L49" s="299">
        <v>522</v>
      </c>
      <c r="M49" s="299">
        <v>852</v>
      </c>
      <c r="N49" s="299">
        <v>1137</v>
      </c>
      <c r="O49" s="266">
        <f>SUM(C49:N49)</f>
        <v>6434</v>
      </c>
    </row>
    <row r="50" spans="1:15">
      <c r="A50" s="292">
        <v>28</v>
      </c>
      <c r="B50" s="71" t="s">
        <v>265</v>
      </c>
      <c r="C50" s="299">
        <v>0</v>
      </c>
      <c r="D50" s="299">
        <v>0</v>
      </c>
      <c r="E50" s="299">
        <v>0</v>
      </c>
      <c r="F50" s="299">
        <v>1</v>
      </c>
      <c r="G50" s="299">
        <v>19</v>
      </c>
      <c r="H50" s="299">
        <v>63</v>
      </c>
      <c r="I50" s="299">
        <v>240</v>
      </c>
      <c r="J50" s="299">
        <v>210</v>
      </c>
      <c r="K50" s="299">
        <v>49</v>
      </c>
      <c r="L50" s="299">
        <v>1</v>
      </c>
      <c r="M50" s="299">
        <v>0</v>
      </c>
      <c r="N50" s="299">
        <v>0</v>
      </c>
      <c r="O50" s="266">
        <f>SUM(C50:N50)</f>
        <v>583</v>
      </c>
    </row>
    <row r="51" spans="1:15">
      <c r="B51" s="71"/>
      <c r="C51" s="71"/>
      <c r="D51" s="71"/>
      <c r="E51" s="71"/>
      <c r="F51" s="71"/>
      <c r="G51" s="71"/>
      <c r="H51" s="71"/>
      <c r="I51" s="71"/>
      <c r="J51" s="71"/>
      <c r="K51" s="71"/>
      <c r="L51" s="71"/>
      <c r="M51" s="71"/>
      <c r="N51" s="71"/>
      <c r="O51" s="71"/>
    </row>
    <row r="52" spans="1:15">
      <c r="A52" s="292">
        <v>29</v>
      </c>
      <c r="B52" s="71" t="s">
        <v>210</v>
      </c>
      <c r="C52" s="266">
        <f>C49-C8</f>
        <v>147</v>
      </c>
      <c r="D52" s="266">
        <f t="shared" ref="D52:N52" si="42">D49-D8</f>
        <v>64</v>
      </c>
      <c r="E52" s="266">
        <f t="shared" si="42"/>
        <v>-29</v>
      </c>
      <c r="F52" s="266">
        <f t="shared" si="42"/>
        <v>28</v>
      </c>
      <c r="G52" s="266">
        <f t="shared" si="42"/>
        <v>-23</v>
      </c>
      <c r="H52" s="266">
        <f t="shared" si="42"/>
        <v>-16</v>
      </c>
      <c r="I52" s="266">
        <f t="shared" si="42"/>
        <v>-7</v>
      </c>
      <c r="J52" s="266">
        <f t="shared" si="42"/>
        <v>8</v>
      </c>
      <c r="K52" s="266">
        <f t="shared" si="42"/>
        <v>66</v>
      </c>
      <c r="L52" s="266">
        <f t="shared" si="42"/>
        <v>-2</v>
      </c>
      <c r="M52" s="266">
        <f t="shared" si="42"/>
        <v>26</v>
      </c>
      <c r="N52" s="266">
        <f t="shared" si="42"/>
        <v>116</v>
      </c>
      <c r="O52" s="266">
        <f t="shared" ref="O52:O53" si="43">SUM(C52:N52)</f>
        <v>378</v>
      </c>
    </row>
    <row r="53" spans="1:15">
      <c r="A53" s="292">
        <v>30</v>
      </c>
      <c r="B53" s="71" t="s">
        <v>213</v>
      </c>
      <c r="C53" s="266">
        <f>C50-C9</f>
        <v>0</v>
      </c>
      <c r="D53" s="266">
        <f t="shared" ref="D53:N53" si="44">D50-D9</f>
        <v>0</v>
      </c>
      <c r="E53" s="266">
        <f t="shared" si="44"/>
        <v>0</v>
      </c>
      <c r="F53" s="266">
        <f t="shared" si="44"/>
        <v>1</v>
      </c>
      <c r="G53" s="266">
        <f t="shared" si="44"/>
        <v>8</v>
      </c>
      <c r="H53" s="266">
        <f t="shared" si="44"/>
        <v>14</v>
      </c>
      <c r="I53" s="266">
        <f t="shared" si="44"/>
        <v>35</v>
      </c>
      <c r="J53" s="266">
        <f t="shared" si="44"/>
        <v>-13</v>
      </c>
      <c r="K53" s="266">
        <f t="shared" si="44"/>
        <v>-16</v>
      </c>
      <c r="L53" s="266">
        <f t="shared" si="44"/>
        <v>-2</v>
      </c>
      <c r="M53" s="266">
        <f t="shared" si="44"/>
        <v>0</v>
      </c>
      <c r="N53" s="266">
        <f t="shared" si="44"/>
        <v>0</v>
      </c>
      <c r="O53" s="266">
        <f t="shared" si="43"/>
        <v>27</v>
      </c>
    </row>
    <row r="54" spans="1:15">
      <c r="B54" s="71"/>
      <c r="C54" s="71"/>
      <c r="D54" s="71"/>
      <c r="E54" s="71"/>
      <c r="F54" s="71"/>
      <c r="G54" s="71"/>
      <c r="H54" s="71"/>
      <c r="I54" s="71"/>
      <c r="J54" s="71"/>
      <c r="K54" s="71"/>
      <c r="L54" s="71"/>
      <c r="M54" s="71"/>
      <c r="N54" s="71"/>
      <c r="O54" s="71"/>
    </row>
    <row r="55" spans="1:15">
      <c r="A55" s="292">
        <v>31</v>
      </c>
      <c r="B55" s="71" t="s">
        <v>266</v>
      </c>
      <c r="C55" s="299">
        <v>18982023</v>
      </c>
      <c r="D55" s="299">
        <v>8232587</v>
      </c>
      <c r="E55" s="299">
        <v>-3736590</v>
      </c>
      <c r="F55" s="299">
        <v>2863836</v>
      </c>
      <c r="G55" s="299">
        <v>-65048</v>
      </c>
      <c r="H55" s="299">
        <v>2139165</v>
      </c>
      <c r="I55" s="299">
        <v>9055699</v>
      </c>
      <c r="J55" s="299">
        <v>-3360490</v>
      </c>
      <c r="K55" s="299">
        <v>-4145036</v>
      </c>
      <c r="L55" s="299">
        <v>-703533</v>
      </c>
      <c r="M55" s="299">
        <v>2411961</v>
      </c>
      <c r="N55" s="299">
        <v>14737910</v>
      </c>
      <c r="O55" s="266">
        <f t="shared" ref="O55:O56" si="45">SUM(C55:N55)</f>
        <v>46412484</v>
      </c>
    </row>
    <row r="56" spans="1:15">
      <c r="A56" s="292">
        <v>32</v>
      </c>
      <c r="B56" s="71" t="s">
        <v>267</v>
      </c>
      <c r="C56" s="299">
        <v>3476582</v>
      </c>
      <c r="D56" s="299">
        <v>1486400</v>
      </c>
      <c r="E56" s="299">
        <v>-683056</v>
      </c>
      <c r="F56" s="299">
        <v>299140</v>
      </c>
      <c r="G56" s="299">
        <v>463861</v>
      </c>
      <c r="H56" s="299">
        <v>1033039</v>
      </c>
      <c r="I56" s="299">
        <v>2840340</v>
      </c>
      <c r="J56" s="299">
        <v>-1046642</v>
      </c>
      <c r="K56" s="299">
        <v>-1288444</v>
      </c>
      <c r="L56" s="299">
        <v>-177666</v>
      </c>
      <c r="M56" s="299">
        <v>196795</v>
      </c>
      <c r="N56" s="299">
        <v>2615941</v>
      </c>
      <c r="O56" s="266">
        <f t="shared" si="45"/>
        <v>9216290</v>
      </c>
    </row>
    <row r="57" spans="1:15">
      <c r="B57" s="71"/>
      <c r="C57" s="71"/>
      <c r="D57" s="71"/>
      <c r="E57" s="71"/>
      <c r="F57" s="71"/>
      <c r="G57" s="71"/>
      <c r="H57" s="71"/>
      <c r="I57" s="71"/>
      <c r="J57" s="71"/>
      <c r="K57" s="71"/>
      <c r="L57" s="71"/>
      <c r="M57" s="71"/>
      <c r="N57" s="71"/>
      <c r="O57" s="71"/>
    </row>
    <row r="58" spans="1:15">
      <c r="B58" s="291" t="s">
        <v>252</v>
      </c>
      <c r="C58" s="160"/>
      <c r="D58" s="71"/>
      <c r="E58" s="71"/>
      <c r="F58" s="71"/>
      <c r="G58" s="71"/>
      <c r="H58" s="71"/>
      <c r="I58" s="71"/>
      <c r="J58" s="71"/>
      <c r="K58" s="71"/>
      <c r="L58" s="71"/>
      <c r="M58" s="71"/>
      <c r="N58" s="71"/>
      <c r="O58" s="71"/>
    </row>
    <row r="59" spans="1:15">
      <c r="A59" s="292">
        <v>33</v>
      </c>
      <c r="B59" s="71" t="s">
        <v>251</v>
      </c>
      <c r="C59" s="300">
        <v>1396888</v>
      </c>
      <c r="D59" s="300">
        <v>605836</v>
      </c>
      <c r="E59" s="300">
        <v>-274976</v>
      </c>
      <c r="F59" s="300">
        <v>230911</v>
      </c>
      <c r="G59" s="300">
        <v>-5244</v>
      </c>
      <c r="H59" s="300">
        <v>172481</v>
      </c>
      <c r="I59" s="300">
        <v>730162</v>
      </c>
      <c r="J59" s="300">
        <v>-270957</v>
      </c>
      <c r="K59" s="300">
        <v>-334215</v>
      </c>
      <c r="L59" s="300">
        <v>-56726</v>
      </c>
      <c r="M59" s="300">
        <v>194476</v>
      </c>
      <c r="N59" s="300">
        <v>1188318</v>
      </c>
      <c r="O59" s="268">
        <f>SUM(C59:N59)</f>
        <v>3576954</v>
      </c>
    </row>
    <row r="60" spans="1:15">
      <c r="A60" s="292">
        <v>34</v>
      </c>
      <c r="B60" s="71" t="s">
        <v>250</v>
      </c>
      <c r="C60" s="268">
        <f>C61-C59</f>
        <v>473922.25418786518</v>
      </c>
      <c r="D60" s="268">
        <f t="shared" ref="D60" si="46">D61-D59</f>
        <v>15001.718194628134</v>
      </c>
      <c r="E60" s="268">
        <f t="shared" ref="E60" si="47">E61-E59</f>
        <v>75174.322177918628</v>
      </c>
      <c r="F60" s="268">
        <f>F61-F59</f>
        <v>-500601.95675537176</v>
      </c>
      <c r="G60" s="268">
        <f t="shared" ref="G60" si="48">G61-G59</f>
        <v>763796.40956937894</v>
      </c>
      <c r="H60" s="268">
        <f t="shared" ref="H60" si="49">H61-H59</f>
        <v>129089.30056972429</v>
      </c>
      <c r="I60" s="268">
        <f t="shared" ref="I60" si="50">I61-I59</f>
        <v>-1815851.6079814602</v>
      </c>
      <c r="J60" s="268">
        <f t="shared" ref="J60" si="51">J61-J59</f>
        <v>-396730.04905525781</v>
      </c>
      <c r="K60" s="268">
        <f t="shared" ref="K60" si="52">K61-K59</f>
        <v>-570387.65346350148</v>
      </c>
      <c r="L60" s="268">
        <f t="shared" ref="L60" si="53">L61-L59</f>
        <v>-7700.6117292996496</v>
      </c>
      <c r="M60" s="268">
        <f t="shared" ref="M60" si="54">M61-M59</f>
        <v>-964920.11728929356</v>
      </c>
      <c r="N60" s="268">
        <f t="shared" ref="N60" si="55">N61-N59</f>
        <v>-1688022.1347969882</v>
      </c>
      <c r="O60" s="268">
        <f>SUM(C60:N60)</f>
        <v>-4487230.1263716575</v>
      </c>
    </row>
    <row r="61" spans="1:15">
      <c r="A61" s="292">
        <v>35</v>
      </c>
      <c r="B61" s="71" t="s">
        <v>253</v>
      </c>
      <c r="C61" s="296">
        <f>'Electric Deferral'!D$29</f>
        <v>1870810.2541878652</v>
      </c>
      <c r="D61" s="296">
        <f>'Electric Deferral'!E$29</f>
        <v>620837.71819462813</v>
      </c>
      <c r="E61" s="296">
        <f>'Electric Deferral'!F$29</f>
        <v>-199801.67782208137</v>
      </c>
      <c r="F61" s="296">
        <f>'Electric Deferral'!G$29</f>
        <v>-269690.95675537176</v>
      </c>
      <c r="G61" s="296">
        <f>'Electric Deferral'!H$29</f>
        <v>758552.40956937894</v>
      </c>
      <c r="H61" s="296">
        <f>'Electric Deferral'!I$29</f>
        <v>301570.30056972429</v>
      </c>
      <c r="I61" s="296">
        <f>'Electric Deferral'!J$29</f>
        <v>-1085689.6079814602</v>
      </c>
      <c r="J61" s="296">
        <f>'Electric Deferral'!K$29</f>
        <v>-667687.04905525781</v>
      </c>
      <c r="K61" s="296">
        <f>'Electric Deferral'!L$29</f>
        <v>-904602.65346350148</v>
      </c>
      <c r="L61" s="296">
        <f>'Electric Deferral'!M$29</f>
        <v>-64426.61172929965</v>
      </c>
      <c r="M61" s="296">
        <f>'Electric Deferral'!N$29</f>
        <v>-770444.11728929356</v>
      </c>
      <c r="N61" s="296">
        <f>'Electric Deferral'!O$29</f>
        <v>-499704.13479698822</v>
      </c>
      <c r="O61" s="268">
        <f>SUM(C61:N61)</f>
        <v>-910276.12637165748</v>
      </c>
    </row>
    <row r="62" spans="1:15">
      <c r="B62" s="71"/>
      <c r="C62" s="71"/>
      <c r="D62" s="71"/>
      <c r="E62" s="71"/>
      <c r="F62" s="71"/>
      <c r="G62" s="71"/>
      <c r="H62" s="71"/>
      <c r="I62" s="71"/>
      <c r="J62" s="71"/>
      <c r="K62" s="71"/>
      <c r="L62" s="71"/>
      <c r="M62" s="71"/>
      <c r="N62" s="71"/>
      <c r="O62" s="71"/>
    </row>
    <row r="63" spans="1:15">
      <c r="A63" s="292">
        <v>36</v>
      </c>
      <c r="B63" s="71" t="s">
        <v>254</v>
      </c>
      <c r="C63" s="300">
        <v>201722</v>
      </c>
      <c r="D63" s="300">
        <v>86410</v>
      </c>
      <c r="E63" s="300">
        <v>-39674</v>
      </c>
      <c r="F63" s="300">
        <v>18916</v>
      </c>
      <c r="G63" s="300">
        <v>24948</v>
      </c>
      <c r="H63" s="300">
        <v>57752</v>
      </c>
      <c r="I63" s="300">
        <v>161897</v>
      </c>
      <c r="J63" s="300">
        <v>-59653</v>
      </c>
      <c r="K63" s="300">
        <v>-73522</v>
      </c>
      <c r="L63" s="300">
        <v>-10257</v>
      </c>
      <c r="M63" s="300">
        <v>12955</v>
      </c>
      <c r="N63" s="300">
        <v>159512</v>
      </c>
      <c r="O63" s="268">
        <f>SUM(C63:N63)</f>
        <v>541006</v>
      </c>
    </row>
    <row r="64" spans="1:15">
      <c r="A64" s="292">
        <v>37</v>
      </c>
      <c r="B64" s="71" t="s">
        <v>255</v>
      </c>
      <c r="C64" s="268">
        <f>C65-C63</f>
        <v>400272.38085491583</v>
      </c>
      <c r="D64" s="268">
        <f t="shared" ref="D64" si="56">D65-D63</f>
        <v>110222.85667991079</v>
      </c>
      <c r="E64" s="268">
        <f t="shared" ref="E64" si="57">E65-E63</f>
        <v>758125.7477283515</v>
      </c>
      <c r="F64" s="268">
        <f t="shared" ref="F64" si="58">F65-F63</f>
        <v>1530424.2608887795</v>
      </c>
      <c r="G64" s="268">
        <f t="shared" ref="G64" si="59">G65-G63</f>
        <v>2042999.7525494006</v>
      </c>
      <c r="H64" s="268">
        <f t="shared" ref="H64" si="60">H65-H63</f>
        <v>1566680.017025236</v>
      </c>
      <c r="I64" s="268">
        <f t="shared" ref="I64" si="61">I65-I63</f>
        <v>1281785.7750932202</v>
      </c>
      <c r="J64" s="268">
        <f t="shared" ref="J64" si="62">J65-J63</f>
        <v>984859.15647328086</v>
      </c>
      <c r="K64" s="268">
        <f t="shared" ref="K64" si="63">K65-K63</f>
        <v>181863.27472317405</v>
      </c>
      <c r="L64" s="268">
        <f t="shared" ref="L64" si="64">L65-L63</f>
        <v>72935.179447816685</v>
      </c>
      <c r="M64" s="268">
        <f t="shared" ref="M64" si="65">M65-M63</f>
        <v>1572319.8276860081</v>
      </c>
      <c r="N64" s="268">
        <f t="shared" ref="N64" si="66">N65-N63</f>
        <v>531208.69122486562</v>
      </c>
      <c r="O64" s="268">
        <f>SUM(C64:N64)</f>
        <v>11033696.92037496</v>
      </c>
    </row>
    <row r="65" spans="1:15">
      <c r="A65" s="292">
        <v>38</v>
      </c>
      <c r="B65" s="71" t="s">
        <v>256</v>
      </c>
      <c r="C65" s="296">
        <f>'Electric Deferral'!D$57</f>
        <v>601994.38085491583</v>
      </c>
      <c r="D65" s="296">
        <f>'Electric Deferral'!E$57</f>
        <v>196632.85667991079</v>
      </c>
      <c r="E65" s="296">
        <f>'Electric Deferral'!F$57</f>
        <v>718451.7477283515</v>
      </c>
      <c r="F65" s="296">
        <f>'Electric Deferral'!G$57</f>
        <v>1549340.2608887795</v>
      </c>
      <c r="G65" s="296">
        <f>'Electric Deferral'!H$57</f>
        <v>2067947.7525494006</v>
      </c>
      <c r="H65" s="296">
        <f>'Electric Deferral'!I$57</f>
        <v>1624432.017025236</v>
      </c>
      <c r="I65" s="296">
        <f>'Electric Deferral'!J$57</f>
        <v>1443682.7750932202</v>
      </c>
      <c r="J65" s="296">
        <f>'Electric Deferral'!K$57</f>
        <v>925206.15647328086</v>
      </c>
      <c r="K65" s="296">
        <f>'Electric Deferral'!L$57</f>
        <v>108341.27472317405</v>
      </c>
      <c r="L65" s="296">
        <f>'Electric Deferral'!M$57</f>
        <v>62678.179447816685</v>
      </c>
      <c r="M65" s="296">
        <f>'Electric Deferral'!N$57</f>
        <v>1585274.8276860081</v>
      </c>
      <c r="N65" s="296">
        <f>'Electric Deferral'!O$57</f>
        <v>690720.69122486562</v>
      </c>
      <c r="O65" s="268">
        <f>SUM(C65:N65)</f>
        <v>11574702.92037496</v>
      </c>
    </row>
    <row r="67" spans="1:15">
      <c r="B67" s="291" t="s">
        <v>268</v>
      </c>
      <c r="C67" s="71"/>
      <c r="D67" s="71"/>
      <c r="E67" s="71"/>
      <c r="F67" s="71"/>
      <c r="G67" s="71"/>
      <c r="H67" s="71"/>
      <c r="I67" s="71"/>
      <c r="J67" s="71"/>
      <c r="K67" s="71"/>
      <c r="L67" s="71"/>
      <c r="M67" s="71"/>
      <c r="N67" s="71"/>
      <c r="O67" s="71"/>
    </row>
    <row r="68" spans="1:15">
      <c r="A68" s="292">
        <v>39</v>
      </c>
      <c r="B68" s="71" t="s">
        <v>269</v>
      </c>
      <c r="C68" s="299">
        <v>1095</v>
      </c>
      <c r="D68" s="299">
        <v>940</v>
      </c>
      <c r="E68" s="299">
        <v>766</v>
      </c>
      <c r="F68" s="299">
        <v>523</v>
      </c>
      <c r="G68" s="299">
        <v>247</v>
      </c>
      <c r="H68" s="299">
        <v>115</v>
      </c>
      <c r="I68" s="299">
        <v>16</v>
      </c>
      <c r="J68" s="299">
        <v>13</v>
      </c>
      <c r="K68" s="299">
        <v>148</v>
      </c>
      <c r="L68" s="299">
        <v>504</v>
      </c>
      <c r="M68" s="299">
        <v>848</v>
      </c>
      <c r="N68" s="299">
        <v>1097</v>
      </c>
      <c r="O68" s="266">
        <f>SUM(C68:N68)</f>
        <v>6312</v>
      </c>
    </row>
    <row r="69" spans="1:15">
      <c r="A69" s="292">
        <v>40</v>
      </c>
      <c r="B69" s="71" t="s">
        <v>270</v>
      </c>
      <c r="C69" s="299">
        <v>0</v>
      </c>
      <c r="D69" s="299">
        <v>0</v>
      </c>
      <c r="E69" s="299">
        <v>0</v>
      </c>
      <c r="F69" s="299">
        <v>1</v>
      </c>
      <c r="G69" s="299">
        <v>18</v>
      </c>
      <c r="H69" s="299">
        <v>69</v>
      </c>
      <c r="I69" s="299">
        <v>238</v>
      </c>
      <c r="J69" s="299">
        <v>230</v>
      </c>
      <c r="K69" s="299">
        <v>52</v>
      </c>
      <c r="L69" s="299">
        <v>0</v>
      </c>
      <c r="M69" s="299">
        <v>0</v>
      </c>
      <c r="N69" s="299">
        <v>0</v>
      </c>
      <c r="O69" s="266">
        <f>SUM(C69:N69)</f>
        <v>608</v>
      </c>
    </row>
    <row r="70" spans="1:15">
      <c r="B70" s="71"/>
      <c r="C70" s="71"/>
      <c r="D70" s="71"/>
      <c r="E70" s="71"/>
      <c r="F70" s="71"/>
      <c r="G70" s="71"/>
      <c r="H70" s="71"/>
      <c r="I70" s="71"/>
      <c r="J70" s="71"/>
      <c r="K70" s="71"/>
      <c r="L70" s="71"/>
      <c r="M70" s="71"/>
      <c r="N70" s="71"/>
      <c r="O70" s="71"/>
    </row>
    <row r="71" spans="1:15">
      <c r="A71" s="292">
        <v>41</v>
      </c>
      <c r="B71" s="71" t="s">
        <v>210</v>
      </c>
      <c r="C71" s="266">
        <f>C68-C8</f>
        <v>144</v>
      </c>
      <c r="D71" s="266">
        <f t="shared" ref="D71:N71" si="67">D68-D8</f>
        <v>79</v>
      </c>
      <c r="E71" s="266">
        <f t="shared" si="67"/>
        <v>-43</v>
      </c>
      <c r="F71" s="266">
        <f t="shared" si="67"/>
        <v>10</v>
      </c>
      <c r="G71" s="266">
        <f t="shared" si="67"/>
        <v>-45</v>
      </c>
      <c r="H71" s="266">
        <f t="shared" si="67"/>
        <v>-24</v>
      </c>
      <c r="I71" s="266">
        <f t="shared" si="67"/>
        <v>-5</v>
      </c>
      <c r="J71" s="266">
        <f t="shared" si="67"/>
        <v>2</v>
      </c>
      <c r="K71" s="266">
        <f t="shared" si="67"/>
        <v>60</v>
      </c>
      <c r="L71" s="266">
        <f t="shared" si="67"/>
        <v>-20</v>
      </c>
      <c r="M71" s="266">
        <f t="shared" si="67"/>
        <v>22</v>
      </c>
      <c r="N71" s="266">
        <f t="shared" si="67"/>
        <v>76</v>
      </c>
      <c r="O71" s="266">
        <f t="shared" ref="O71:O72" si="68">SUM(C71:N71)</f>
        <v>256</v>
      </c>
    </row>
    <row r="72" spans="1:15">
      <c r="A72" s="292">
        <v>42</v>
      </c>
      <c r="B72" s="71" t="s">
        <v>213</v>
      </c>
      <c r="C72" s="266">
        <f>C69-C9</f>
        <v>0</v>
      </c>
      <c r="D72" s="266">
        <f t="shared" ref="D72:N72" si="69">D69-D9</f>
        <v>0</v>
      </c>
      <c r="E72" s="266">
        <f t="shared" si="69"/>
        <v>0</v>
      </c>
      <c r="F72" s="266">
        <f t="shared" si="69"/>
        <v>1</v>
      </c>
      <c r="G72" s="266">
        <f t="shared" si="69"/>
        <v>7</v>
      </c>
      <c r="H72" s="266">
        <f t="shared" si="69"/>
        <v>20</v>
      </c>
      <c r="I72" s="266">
        <f t="shared" si="69"/>
        <v>33</v>
      </c>
      <c r="J72" s="266">
        <f t="shared" si="69"/>
        <v>7</v>
      </c>
      <c r="K72" s="266">
        <f t="shared" si="69"/>
        <v>-13</v>
      </c>
      <c r="L72" s="266">
        <f t="shared" si="69"/>
        <v>-3</v>
      </c>
      <c r="M72" s="266">
        <f t="shared" si="69"/>
        <v>0</v>
      </c>
      <c r="N72" s="266">
        <f t="shared" si="69"/>
        <v>0</v>
      </c>
      <c r="O72" s="266">
        <f t="shared" si="68"/>
        <v>52</v>
      </c>
    </row>
    <row r="73" spans="1:15">
      <c r="B73" s="71"/>
      <c r="C73" s="71"/>
      <c r="D73" s="71"/>
      <c r="E73" s="71"/>
      <c r="F73" s="71"/>
      <c r="G73" s="71"/>
      <c r="H73" s="71"/>
      <c r="I73" s="71"/>
      <c r="J73" s="71"/>
      <c r="K73" s="71"/>
      <c r="L73" s="71"/>
      <c r="M73" s="71"/>
      <c r="N73" s="71"/>
      <c r="O73" s="71"/>
    </row>
    <row r="74" spans="1:15">
      <c r="A74" s="292">
        <v>43</v>
      </c>
      <c r="B74" s="71" t="s">
        <v>271</v>
      </c>
      <c r="C74" s="299">
        <v>18594635</v>
      </c>
      <c r="D74" s="299">
        <v>10162100</v>
      </c>
      <c r="E74" s="299">
        <v>-5540461</v>
      </c>
      <c r="F74" s="299">
        <v>1189480</v>
      </c>
      <c r="G74" s="299">
        <v>-2365355</v>
      </c>
      <c r="H74" s="299">
        <v>2949765</v>
      </c>
      <c r="I74" s="299">
        <v>8538231</v>
      </c>
      <c r="J74" s="299">
        <v>1809495</v>
      </c>
      <c r="K74" s="299">
        <v>-3367841</v>
      </c>
      <c r="L74" s="299">
        <v>-2634236</v>
      </c>
      <c r="M74" s="299">
        <v>2040890</v>
      </c>
      <c r="N74" s="299">
        <v>9655872</v>
      </c>
      <c r="O74" s="266">
        <f t="shared" ref="O74:O75" si="70">SUM(C74:N74)</f>
        <v>41032575</v>
      </c>
    </row>
    <row r="75" spans="1:15">
      <c r="A75" s="292">
        <v>44</v>
      </c>
      <c r="B75" s="71" t="s">
        <v>272</v>
      </c>
      <c r="C75" s="299">
        <v>3405633</v>
      </c>
      <c r="D75" s="299">
        <v>1834775</v>
      </c>
      <c r="E75" s="299">
        <v>-1012809</v>
      </c>
      <c r="F75" s="299">
        <v>159791</v>
      </c>
      <c r="G75" s="299">
        <v>216529</v>
      </c>
      <c r="H75" s="299">
        <v>1466792</v>
      </c>
      <c r="I75" s="299">
        <v>2678035</v>
      </c>
      <c r="J75" s="299">
        <v>563575</v>
      </c>
      <c r="K75" s="299">
        <v>-1046860</v>
      </c>
      <c r="L75" s="299">
        <v>-396643</v>
      </c>
      <c r="M75" s="299">
        <v>166518</v>
      </c>
      <c r="N75" s="299">
        <v>1713892</v>
      </c>
      <c r="O75" s="266">
        <f t="shared" si="70"/>
        <v>9749228</v>
      </c>
    </row>
    <row r="76" spans="1:15">
      <c r="B76" s="71"/>
      <c r="C76" s="71"/>
      <c r="D76" s="71"/>
      <c r="E76" s="71"/>
      <c r="F76" s="71"/>
      <c r="G76" s="71"/>
      <c r="H76" s="71"/>
      <c r="I76" s="71"/>
      <c r="J76" s="71"/>
      <c r="K76" s="71"/>
      <c r="L76" s="71"/>
      <c r="M76" s="71"/>
      <c r="N76" s="71"/>
      <c r="O76" s="71"/>
    </row>
    <row r="77" spans="1:15">
      <c r="B77" s="291" t="s">
        <v>252</v>
      </c>
      <c r="C77" s="160"/>
      <c r="D77" s="71"/>
      <c r="E77" s="71"/>
      <c r="F77" s="71"/>
      <c r="G77" s="71"/>
      <c r="H77" s="71"/>
      <c r="I77" s="71"/>
      <c r="J77" s="71"/>
      <c r="K77" s="71"/>
      <c r="L77" s="71"/>
      <c r="M77" s="71"/>
      <c r="N77" s="71"/>
      <c r="O77" s="71"/>
    </row>
    <row r="78" spans="1:15">
      <c r="A78" s="292">
        <v>45</v>
      </c>
      <c r="B78" s="71" t="s">
        <v>251</v>
      </c>
      <c r="C78" s="300">
        <v>1368379</v>
      </c>
      <c r="D78" s="300">
        <v>747829</v>
      </c>
      <c r="E78" s="300">
        <v>-407722</v>
      </c>
      <c r="F78" s="300">
        <v>95907</v>
      </c>
      <c r="G78" s="300">
        <v>-190719</v>
      </c>
      <c r="H78" s="300">
        <v>237840</v>
      </c>
      <c r="I78" s="300">
        <v>688438</v>
      </c>
      <c r="J78" s="300">
        <v>145900</v>
      </c>
      <c r="K78" s="300">
        <v>-271549</v>
      </c>
      <c r="L78" s="300">
        <v>-212398</v>
      </c>
      <c r="M78" s="300">
        <v>164557</v>
      </c>
      <c r="N78" s="300">
        <v>778553</v>
      </c>
      <c r="O78" s="268">
        <f>SUM(C78:N78)</f>
        <v>3145015</v>
      </c>
    </row>
    <row r="79" spans="1:15">
      <c r="A79" s="292">
        <v>46</v>
      </c>
      <c r="B79" s="71" t="s">
        <v>250</v>
      </c>
      <c r="C79" s="268">
        <f>C80-C78</f>
        <v>502431.25418786518</v>
      </c>
      <c r="D79" s="268">
        <f t="shared" ref="D79" si="71">D80-D78</f>
        <v>-126991.28180537187</v>
      </c>
      <c r="E79" s="268">
        <f t="shared" ref="E79" si="72">E80-E78</f>
        <v>207920.32217791863</v>
      </c>
      <c r="F79" s="268">
        <f>F80-F78</f>
        <v>-365597.95675537176</v>
      </c>
      <c r="G79" s="268">
        <f t="shared" ref="G79" si="73">G80-G78</f>
        <v>949271.40956937894</v>
      </c>
      <c r="H79" s="268">
        <f t="shared" ref="H79" si="74">H80-H78</f>
        <v>63730.300569724292</v>
      </c>
      <c r="I79" s="268">
        <f t="shared" ref="I79" si="75">I80-I78</f>
        <v>-1774127.6079814602</v>
      </c>
      <c r="J79" s="268">
        <f t="shared" ref="J79" si="76">J80-J78</f>
        <v>-813587.04905525781</v>
      </c>
      <c r="K79" s="268">
        <f t="shared" ref="K79" si="77">K80-K78</f>
        <v>-633053.65346350148</v>
      </c>
      <c r="L79" s="268">
        <f t="shared" ref="L79" si="78">L80-L78</f>
        <v>147971.38827070035</v>
      </c>
      <c r="M79" s="268">
        <f t="shared" ref="M79" si="79">M80-M78</f>
        <v>-935001.11728929356</v>
      </c>
      <c r="N79" s="268">
        <f t="shared" ref="N79" si="80">N80-N78</f>
        <v>-1278257.1347969882</v>
      </c>
      <c r="O79" s="268">
        <f>SUM(C79:N79)</f>
        <v>-4055291.1263716575</v>
      </c>
    </row>
    <row r="80" spans="1:15">
      <c r="A80" s="292">
        <v>47</v>
      </c>
      <c r="B80" s="71" t="s">
        <v>253</v>
      </c>
      <c r="C80" s="296">
        <f>'Electric Deferral'!D$29</f>
        <v>1870810.2541878652</v>
      </c>
      <c r="D80" s="296">
        <f>'Electric Deferral'!E$29</f>
        <v>620837.71819462813</v>
      </c>
      <c r="E80" s="296">
        <f>'Electric Deferral'!F$29</f>
        <v>-199801.67782208137</v>
      </c>
      <c r="F80" s="296">
        <f>'Electric Deferral'!G$29</f>
        <v>-269690.95675537176</v>
      </c>
      <c r="G80" s="296">
        <f>'Electric Deferral'!H$29</f>
        <v>758552.40956937894</v>
      </c>
      <c r="H80" s="296">
        <f>'Electric Deferral'!I$29</f>
        <v>301570.30056972429</v>
      </c>
      <c r="I80" s="296">
        <f>'Electric Deferral'!J$29</f>
        <v>-1085689.6079814602</v>
      </c>
      <c r="J80" s="296">
        <f>'Electric Deferral'!K$29</f>
        <v>-667687.04905525781</v>
      </c>
      <c r="K80" s="296">
        <f>'Electric Deferral'!L$29</f>
        <v>-904602.65346350148</v>
      </c>
      <c r="L80" s="296">
        <f>'Electric Deferral'!M$29</f>
        <v>-64426.61172929965</v>
      </c>
      <c r="M80" s="296">
        <f>'Electric Deferral'!N$29</f>
        <v>-770444.11728929356</v>
      </c>
      <c r="N80" s="296">
        <f>'Electric Deferral'!O$29</f>
        <v>-499704.13479698822</v>
      </c>
      <c r="O80" s="268">
        <f>SUM(C80:N80)</f>
        <v>-910276.12637165748</v>
      </c>
    </row>
    <row r="81" spans="1:15">
      <c r="B81" s="71"/>
      <c r="C81" s="71"/>
      <c r="D81" s="71"/>
      <c r="E81" s="71"/>
      <c r="F81" s="71"/>
      <c r="G81" s="71"/>
      <c r="H81" s="71"/>
      <c r="I81" s="71"/>
      <c r="J81" s="71"/>
      <c r="K81" s="71"/>
      <c r="L81" s="71"/>
      <c r="M81" s="71"/>
      <c r="N81" s="71"/>
      <c r="O81" s="71"/>
    </row>
    <row r="82" spans="1:15">
      <c r="A82" s="292">
        <v>48</v>
      </c>
      <c r="B82" s="71" t="s">
        <v>254</v>
      </c>
      <c r="C82" s="300">
        <v>197605</v>
      </c>
      <c r="D82" s="300">
        <v>106663</v>
      </c>
      <c r="E82" s="300">
        <v>-58828</v>
      </c>
      <c r="F82" s="300">
        <v>9768</v>
      </c>
      <c r="G82" s="300">
        <v>9372</v>
      </c>
      <c r="H82" s="300">
        <v>81915</v>
      </c>
      <c r="I82" s="300">
        <v>152646</v>
      </c>
      <c r="J82" s="300">
        <v>32120</v>
      </c>
      <c r="K82" s="300">
        <v>-59736</v>
      </c>
      <c r="L82" s="300">
        <v>-23935</v>
      </c>
      <c r="M82" s="300">
        <v>10962</v>
      </c>
      <c r="N82" s="300">
        <v>104509</v>
      </c>
      <c r="O82" s="268">
        <f>SUM(C82:N82)</f>
        <v>563061</v>
      </c>
    </row>
    <row r="83" spans="1:15">
      <c r="A83" s="292">
        <v>49</v>
      </c>
      <c r="B83" s="71" t="s">
        <v>255</v>
      </c>
      <c r="C83" s="268">
        <f>C84-C82</f>
        <v>404389.38085491583</v>
      </c>
      <c r="D83" s="268">
        <f t="shared" ref="D83" si="81">D84-D82</f>
        <v>89969.856679910794</v>
      </c>
      <c r="E83" s="268">
        <f t="shared" ref="E83" si="82">E84-E82</f>
        <v>777279.7477283515</v>
      </c>
      <c r="F83" s="268">
        <f t="shared" ref="F83" si="83">F84-F82</f>
        <v>1539572.2608887795</v>
      </c>
      <c r="G83" s="268">
        <f t="shared" ref="G83" si="84">G84-G82</f>
        <v>2058575.7525494006</v>
      </c>
      <c r="H83" s="268">
        <f t="shared" ref="H83" si="85">H84-H82</f>
        <v>1542517.017025236</v>
      </c>
      <c r="I83" s="268">
        <f t="shared" ref="I83" si="86">I84-I82</f>
        <v>1291036.7750932202</v>
      </c>
      <c r="J83" s="268">
        <f t="shared" ref="J83" si="87">J84-J82</f>
        <v>893086.15647328086</v>
      </c>
      <c r="K83" s="268">
        <f t="shared" ref="K83" si="88">K84-K82</f>
        <v>168077.27472317405</v>
      </c>
      <c r="L83" s="268">
        <f t="shared" ref="L83" si="89">L84-L82</f>
        <v>86613.179447816685</v>
      </c>
      <c r="M83" s="268">
        <f t="shared" ref="M83" si="90">M84-M82</f>
        <v>1574312.8276860081</v>
      </c>
      <c r="N83" s="268">
        <f t="shared" ref="N83" si="91">N84-N82</f>
        <v>586211.69122486562</v>
      </c>
      <c r="O83" s="268">
        <f>SUM(C83:N83)</f>
        <v>11011641.92037496</v>
      </c>
    </row>
    <row r="84" spans="1:15">
      <c r="A84" s="292">
        <v>50</v>
      </c>
      <c r="B84" s="71" t="s">
        <v>256</v>
      </c>
      <c r="C84" s="296">
        <f>'Electric Deferral'!D$57</f>
        <v>601994.38085491583</v>
      </c>
      <c r="D84" s="296">
        <f>'Electric Deferral'!E$57</f>
        <v>196632.85667991079</v>
      </c>
      <c r="E84" s="296">
        <f>'Electric Deferral'!F$57</f>
        <v>718451.7477283515</v>
      </c>
      <c r="F84" s="296">
        <f>'Electric Deferral'!G$57</f>
        <v>1549340.2608887795</v>
      </c>
      <c r="G84" s="296">
        <f>'Electric Deferral'!H$57</f>
        <v>2067947.7525494006</v>
      </c>
      <c r="H84" s="296">
        <f>'Electric Deferral'!I$57</f>
        <v>1624432.017025236</v>
      </c>
      <c r="I84" s="296">
        <f>'Electric Deferral'!J$57</f>
        <v>1443682.7750932202</v>
      </c>
      <c r="J84" s="296">
        <f>'Electric Deferral'!K$57</f>
        <v>925206.15647328086</v>
      </c>
      <c r="K84" s="296">
        <f>'Electric Deferral'!L$57</f>
        <v>108341.27472317405</v>
      </c>
      <c r="L84" s="296">
        <f>'Electric Deferral'!M$57</f>
        <v>62678.179447816685</v>
      </c>
      <c r="M84" s="296">
        <f>'Electric Deferral'!N$57</f>
        <v>1585274.8276860081</v>
      </c>
      <c r="N84" s="296">
        <f>'Electric Deferral'!O$57</f>
        <v>690720.69122486562</v>
      </c>
      <c r="O84" s="268">
        <f>SUM(C84:N84)</f>
        <v>11574702.92037496</v>
      </c>
    </row>
  </sheetData>
  <mergeCells count="4">
    <mergeCell ref="A2:L2"/>
    <mergeCell ref="A3:O3"/>
    <mergeCell ref="A1:L1"/>
    <mergeCell ref="A4:O4"/>
  </mergeCells>
  <printOptions horizontalCentered="1"/>
  <pageMargins left="0.7" right="0.7" top="1.25" bottom="0.75" header="0.3" footer="0.3"/>
  <pageSetup scale="57" firstPageNumber="18"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2205C63B94AE449311544B3965B0C3" ma:contentTypeVersion="36" ma:contentTypeDescription="" ma:contentTypeScope="" ma:versionID="ccd77095434834d8c252c667db74e2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210379</DocketNumber>
    <DelegatedOrder xmlns="dc463f71-b30c-4ab2-9473-d307f9d35888">false</DelegatedOrder>
  </documentManagement>
</p:properties>
</file>

<file path=customXml/itemProps1.xml><?xml version="1.0" encoding="utf-8"?>
<ds:datastoreItem xmlns:ds="http://schemas.openxmlformats.org/officeDocument/2006/customXml" ds:itemID="{67A50BCB-0AF2-41AC-83C6-9C741558653A}"/>
</file>

<file path=customXml/itemProps2.xml><?xml version="1.0" encoding="utf-8"?>
<ds:datastoreItem xmlns:ds="http://schemas.openxmlformats.org/officeDocument/2006/customXml" ds:itemID="{9E5665C8-8896-48B8-B193-A2EE651C8C40}"/>
</file>

<file path=customXml/itemProps3.xml><?xml version="1.0" encoding="utf-8"?>
<ds:datastoreItem xmlns:ds="http://schemas.openxmlformats.org/officeDocument/2006/customXml" ds:itemID="{E9462FAB-448E-4A02-BAA5-14603E48BE8E}"/>
</file>

<file path=customXml/itemProps4.xml><?xml version="1.0" encoding="utf-8"?>
<ds:datastoreItem xmlns:ds="http://schemas.openxmlformats.org/officeDocument/2006/customXml" ds:itemID="{BCD1429F-F2CC-4D2E-A390-8FB513AA39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Electric Deferral</vt:lpstr>
      <vt:lpstr>Nat Gas Deferral</vt:lpstr>
      <vt:lpstr>Accounting Balances</vt:lpstr>
      <vt:lpstr>Interest Reconciliation</vt:lpstr>
      <vt:lpstr>Notes</vt:lpstr>
      <vt:lpstr>Electric New Customer Status</vt:lpstr>
      <vt:lpstr>Natural Gas New Customer Status</vt:lpstr>
      <vt:lpstr>Electric Weather Component</vt:lpstr>
      <vt:lpstr>Natural Gas Weather Component</vt:lpstr>
      <vt:lpstr>'Accounting Balances'!Print_Area</vt:lpstr>
      <vt:lpstr>'Electric Deferral'!Print_Area</vt:lpstr>
      <vt:lpstr>'Electric New Customer Status'!Print_Area</vt:lpstr>
      <vt:lpstr>'Interest Reconciliation'!Print_Area</vt:lpstr>
      <vt:lpstr>'Natural Gas New Customer Status'!Print_Area</vt:lpstr>
      <vt:lpstr>Notes!Print_Area</vt:lpstr>
      <vt:lpstr>'Electric Deferral'!Print_Titles</vt:lpstr>
      <vt:lpstr>'Electric Weather Component'!Print_Titles</vt:lpstr>
      <vt:lpstr>'Interest Reconciliation'!Print_Titles</vt:lpstr>
      <vt:lpstr>'Nat Gas Deferral'!Print_Titles</vt:lpstr>
      <vt:lpstr>'Natural Gas Weather Component'!Print_Titles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2021-02-25T18:41:00Z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68e8279a-228d-4ef7-9917-676435e5cd08</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0x0101006E56B4D1795A2E4DB2F0B01679ED314A00CA2205C63B94AE449311544B3965B0C3</vt:lpwstr>
  </property>
  <property fmtid="{D5CDD505-2E9C-101B-9397-08002B2CF9AE}" pid="6" name="_docset_NoMedatataSyncRequired">
    <vt:lpwstr>False</vt:lpwstr>
  </property>
  <property fmtid="{D5CDD505-2E9C-101B-9397-08002B2CF9AE}" pid="7" name="IsEFSEC">
    <vt:bool>false</vt:bool>
  </property>
</Properties>
</file>