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3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2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JEANNE\Allocation Factors\2019 Data for 2020\Factors 4, 7, 8, 9\"/>
    </mc:Choice>
  </mc:AlternateContent>
  <bookViews>
    <workbookView xWindow="132" yWindow="36" windowWidth="15168" windowHeight="9048" tabRatio="755" firstSheet="6" activeTab="9"/>
  </bookViews>
  <sheets>
    <sheet name="Cover" sheetId="82" r:id="rId1"/>
    <sheet name="Notes" sheetId="56" r:id="rId2"/>
    <sheet name="Expenses-2019" sheetId="65" r:id="rId3"/>
    <sheet name="UtilityPlt-2019" sheetId="74" r:id="rId4"/>
    <sheet name="UtilityAccDep-2019" sheetId="75" r:id="rId5"/>
    <sheet name="UtilityNetPlt-2019" sheetId="76" r:id="rId6"/>
    <sheet name="7-2019" sheetId="63" r:id="rId7"/>
    <sheet name="8-2019" sheetId="66" r:id="rId8"/>
    <sheet name="9-2019" sheetId="68" r:id="rId9"/>
    <sheet name="NewMemo" sheetId="37" r:id="rId10"/>
    <sheet name="GasPlt-2019" sheetId="77" r:id="rId11"/>
    <sheet name="GasNetPlt-2019" sheetId="78" r:id="rId12"/>
    <sheet name="GAS-2019" sheetId="72" r:id="rId13"/>
    <sheet name="GAS-Variance" sheetId="73" r:id="rId14"/>
    <sheet name="ElecPlt-2019" sheetId="79" r:id="rId15"/>
    <sheet name="ElecNetPlt-2019" sheetId="80" r:id="rId16"/>
    <sheet name="ELEC-2019" sheetId="70" r:id="rId17"/>
    <sheet name="Historic%" sheetId="38" r:id="rId18"/>
  </sheets>
  <definedNames>
    <definedName name="DEPREC" localSheetId="4">'UtilityAccDep-2019'!$A$9:$J$42</definedName>
    <definedName name="DEPREC">#REF!</definedName>
    <definedName name="ELEC_ADM" localSheetId="6">#REF!</definedName>
    <definedName name="ELEC_ADM" localSheetId="7">#REF!</definedName>
    <definedName name="ELEC_ADM" localSheetId="8">#REF!</definedName>
    <definedName name="ELEC_ADM" localSheetId="16">#REF!</definedName>
    <definedName name="ELEC_ADM" localSheetId="15">#REF!</definedName>
    <definedName name="ELEC_ADM" localSheetId="14">#REF!</definedName>
    <definedName name="ELEC_ADM" localSheetId="2">#REF!</definedName>
    <definedName name="ELEC_ADM" localSheetId="12">#REF!</definedName>
    <definedName name="ELEC_ADM" localSheetId="11">#REF!</definedName>
    <definedName name="ELEC_ADM" localSheetId="10">#REF!</definedName>
    <definedName name="ELEC_ADM" localSheetId="13">#REF!</definedName>
    <definedName name="ELEC_ADM" localSheetId="4">#REF!</definedName>
    <definedName name="ELEC_ADM" localSheetId="5">#REF!</definedName>
    <definedName name="ELEC_ADM" localSheetId="3">#REF!</definedName>
    <definedName name="ELEC_ADM">#REF!</definedName>
    <definedName name="ELEC_GENERAL" localSheetId="14">'ElecPlt-2019'!$A$9:$G$38</definedName>
    <definedName name="ELEC_GENERAL">#REF!</definedName>
    <definedName name="ELEC_OPS" localSheetId="6">#REF!</definedName>
    <definedName name="ELEC_OPS" localSheetId="7">#REF!</definedName>
    <definedName name="ELEC_OPS" localSheetId="8">#REF!</definedName>
    <definedName name="ELEC_OPS" localSheetId="16">#REF!</definedName>
    <definedName name="ELEC_OPS" localSheetId="15">#REF!</definedName>
    <definedName name="ELEC_OPS" localSheetId="14">#REF!</definedName>
    <definedName name="ELEC_OPS" localSheetId="2">#REF!</definedName>
    <definedName name="ELEC_OPS" localSheetId="12">#REF!</definedName>
    <definedName name="ELEC_OPS" localSheetId="11">#REF!</definedName>
    <definedName name="ELEC_OPS" localSheetId="10">#REF!</definedName>
    <definedName name="ELEC_OPS" localSheetId="13">#REF!</definedName>
    <definedName name="ELEC_OPS" localSheetId="4">#REF!</definedName>
    <definedName name="ELEC_OPS" localSheetId="5">#REF!</definedName>
    <definedName name="ELEC_OPS" localSheetId="3">#REF!</definedName>
    <definedName name="ELEC_OPS">#REF!</definedName>
    <definedName name="ELECTRIC" localSheetId="16">'ELEC-2019'!$A$9:$E$44</definedName>
    <definedName name="ELECTRIC">#REF!</definedName>
    <definedName name="GAS_ADM" localSheetId="6">#REF!</definedName>
    <definedName name="GAS_ADM" localSheetId="7">#REF!</definedName>
    <definedName name="GAS_ADM" localSheetId="8">#REF!</definedName>
    <definedName name="GAS_ADM" localSheetId="16">#REF!</definedName>
    <definedName name="GAS_ADM" localSheetId="15">#REF!</definedName>
    <definedName name="GAS_ADM" localSheetId="14">#REF!</definedName>
    <definedName name="GAS_ADM" localSheetId="2">#REF!</definedName>
    <definedName name="GAS_ADM" localSheetId="12">#REF!</definedName>
    <definedName name="GAS_ADM" localSheetId="11">#REF!</definedName>
    <definedName name="GAS_ADM" localSheetId="10">#REF!</definedName>
    <definedName name="GAS_ADM" localSheetId="13">#REF!</definedName>
    <definedName name="GAS_ADM" localSheetId="4">#REF!</definedName>
    <definedName name="GAS_ADM" localSheetId="5">#REF!</definedName>
    <definedName name="GAS_ADM" localSheetId="3">#REF!</definedName>
    <definedName name="GAS_ADM">#REF!</definedName>
    <definedName name="GAS_OPTS" localSheetId="6">#REF!</definedName>
    <definedName name="GAS_OPTS" localSheetId="7">#REF!</definedName>
    <definedName name="GAS_OPTS" localSheetId="8">#REF!</definedName>
    <definedName name="GAS_OPTS" localSheetId="16">#REF!</definedName>
    <definedName name="GAS_OPTS" localSheetId="15">#REF!</definedName>
    <definedName name="GAS_OPTS" localSheetId="14">#REF!</definedName>
    <definedName name="GAS_OPTS" localSheetId="2">#REF!</definedName>
    <definedName name="GAS_OPTS" localSheetId="12">#REF!</definedName>
    <definedName name="GAS_OPTS" localSheetId="11">#REF!</definedName>
    <definedName name="GAS_OPTS" localSheetId="10">#REF!</definedName>
    <definedName name="GAS_OPTS" localSheetId="13">#REF!</definedName>
    <definedName name="GAS_OPTS" localSheetId="4">#REF!</definedName>
    <definedName name="GAS_OPTS" localSheetId="5">#REF!</definedName>
    <definedName name="GAS_OPTS" localSheetId="3">#REF!</definedName>
    <definedName name="GAS_OPTS">#REF!</definedName>
    <definedName name="GAS_PLANT" localSheetId="11">'GasNetPlt-2019'!$A$9:$I$56</definedName>
    <definedName name="GAS_PLANT">#REF!</definedName>
    <definedName name="GENERAL_PLANT" localSheetId="10">'GasPlt-2019'!$A$11:$G$42</definedName>
    <definedName name="GENERAL_PLANT">#REF!</definedName>
    <definedName name="INTANGIBLE_PLT" localSheetId="3">'UtilityPlt-2019'!$A$9:$J$53</definedName>
    <definedName name="INTANGIBLE_PLT">#REF!</definedName>
    <definedName name="NET_ELEC_PLANT" localSheetId="15">'ElecNetPlt-2019'!$A$8:$I$59</definedName>
    <definedName name="NET_ELEC_PLANT">#REF!</definedName>
    <definedName name="NET_PLANT" localSheetId="5">'UtilityNetPlt-2019'!$A$9:$J$42</definedName>
    <definedName name="NET_PLANT">#REF!</definedName>
    <definedName name="PAGE_1" localSheetId="6">#REF!</definedName>
    <definedName name="PAGE_1" localSheetId="7">#REF!</definedName>
    <definedName name="PAGE_1" localSheetId="8">#REF!</definedName>
    <definedName name="PAGE_1" localSheetId="16">#REF!</definedName>
    <definedName name="PAGE_1" localSheetId="15">#REF!</definedName>
    <definedName name="PAGE_1" localSheetId="14">#REF!</definedName>
    <definedName name="PAGE_1" localSheetId="2">#REF!</definedName>
    <definedName name="PAGE_1" localSheetId="12">#REF!</definedName>
    <definedName name="PAGE_1" localSheetId="11">#REF!</definedName>
    <definedName name="PAGE_1" localSheetId="10">#REF!</definedName>
    <definedName name="PAGE_1" localSheetId="13">#REF!</definedName>
    <definedName name="PAGE_1" localSheetId="4">#REF!</definedName>
    <definedName name="PAGE_1" localSheetId="5">#REF!</definedName>
    <definedName name="PAGE_1" localSheetId="3">#REF!</definedName>
    <definedName name="PAGE_1">#REF!</definedName>
    <definedName name="PAGE_2" localSheetId="6">#REF!</definedName>
    <definedName name="PAGE_2" localSheetId="7">#REF!</definedName>
    <definedName name="PAGE_2" localSheetId="8">#REF!</definedName>
    <definedName name="PAGE_2" localSheetId="16">#REF!</definedName>
    <definedName name="PAGE_2" localSheetId="15">#REF!</definedName>
    <definedName name="PAGE_2" localSheetId="14">#REF!</definedName>
    <definedName name="PAGE_2" localSheetId="2">#REF!</definedName>
    <definedName name="PAGE_2" localSheetId="12">#REF!</definedName>
    <definedName name="PAGE_2" localSheetId="11">#REF!</definedName>
    <definedName name="PAGE_2" localSheetId="10">#REF!</definedName>
    <definedName name="PAGE_2" localSheetId="13">#REF!</definedName>
    <definedName name="PAGE_2" localSheetId="4">#REF!</definedName>
    <definedName name="PAGE_2" localSheetId="5">#REF!</definedName>
    <definedName name="PAGE_2" localSheetId="3">#REF!</definedName>
    <definedName name="PAGE_2">#REF!</definedName>
    <definedName name="_xlnm.Print_Area" localSheetId="6">'7-2019'!$A$1:$O$48</definedName>
    <definedName name="_xlnm.Print_Area" localSheetId="0">Cover!$A$1:$E$37</definedName>
    <definedName name="_xlnm.Print_Area" localSheetId="15">'ElecNetPlt-2019'!$A$1:$I$58</definedName>
    <definedName name="_xlnm.Print_Area" localSheetId="14">'ElecPlt-2019'!$A$1:$G$38</definedName>
    <definedName name="_xlnm.Print_Area" localSheetId="2">'Expenses-2019'!$A$1:$Q$33</definedName>
    <definedName name="_xlnm.Print_Area" localSheetId="12">'GAS-2019'!$A$1:$E$41</definedName>
    <definedName name="_xlnm.Print_Area" localSheetId="11">'GasNetPlt-2019'!$A$1:$I$55</definedName>
    <definedName name="_xlnm.Print_Area" localSheetId="10">'GasPlt-2019'!$A$1:$G$40</definedName>
    <definedName name="_xlnm.Print_Area" localSheetId="13">'GAS-Variance'!$A$1:$E$39</definedName>
    <definedName name="_xlnm.Print_Area" localSheetId="9">NewMemo!$A$1:$J$33</definedName>
    <definedName name="_xlnm.Print_Area" localSheetId="4">'UtilityAccDep-2019'!$A$1:$J$46</definedName>
    <definedName name="_xlnm.Print_Area" localSheetId="5">#REF!</definedName>
    <definedName name="_xlnm.Print_Area" localSheetId="3">'UtilityPlt-2019'!$A$1:$J$55</definedName>
    <definedName name="_xlnm.Print_Area">#REF!</definedName>
    <definedName name="_xlnm.Print_Titles" localSheetId="0">#REF!</definedName>
    <definedName name="_xlnm.Print_Titles" localSheetId="15">#REF!</definedName>
    <definedName name="_xlnm.Print_Titles" localSheetId="14">#REF!</definedName>
    <definedName name="_xlnm.Print_Titles" localSheetId="11">#REF!</definedName>
    <definedName name="_xlnm.Print_Titles" localSheetId="10">#REF!</definedName>
    <definedName name="_xlnm.Print_Titles" localSheetId="17">'Historic%'!$4:$4</definedName>
    <definedName name="_xlnm.Print_Titles" localSheetId="4">#REF!</definedName>
    <definedName name="_xlnm.Print_Titles" localSheetId="5">#REF!</definedName>
    <definedName name="_xlnm.Print_Titles">#REF!</definedName>
    <definedName name="PRINT_TITLES_MI" localSheetId="6">#REF!</definedName>
    <definedName name="PRINT_TITLES_MI" localSheetId="7">#REF!</definedName>
    <definedName name="PRINT_TITLES_MI" localSheetId="8">#REF!</definedName>
    <definedName name="PRINT_TITLES_MI" localSheetId="16">#REF!</definedName>
    <definedName name="PRINT_TITLES_MI" localSheetId="15">#REF!</definedName>
    <definedName name="PRINT_TITLES_MI" localSheetId="14">#REF!</definedName>
    <definedName name="PRINT_TITLES_MI" localSheetId="2">#REF!</definedName>
    <definedName name="PRINT_TITLES_MI" localSheetId="12">#REF!</definedName>
    <definedName name="PRINT_TITLES_MI" localSheetId="11">#REF!</definedName>
    <definedName name="PRINT_TITLES_MI" localSheetId="10">#REF!</definedName>
    <definedName name="PRINT_TITLES_MI" localSheetId="13">#REF!</definedName>
    <definedName name="PRINT_TITLES_MI" localSheetId="4">#REF!</definedName>
    <definedName name="PRINT_TITLES_MI" localSheetId="5">#REF!</definedName>
    <definedName name="PRINT_TITLES_MI" localSheetId="3">#REF!</definedName>
    <definedName name="PRINT_TITLES_MI">#REF!</definedName>
    <definedName name="UTILITY_7" localSheetId="6">'7-2019'!$A$9:$G$49</definedName>
    <definedName name="UTILITY_7">#REF!</definedName>
    <definedName name="UTILITY_8" localSheetId="7">'8-2019'!$A$9:$G$43</definedName>
    <definedName name="UTILITY_8">#REF!</definedName>
    <definedName name="UTILITY_9" localSheetId="8">'9-2019'!$A$9:$G$44</definedName>
    <definedName name="UTILITY_9">#REF!</definedName>
    <definedName name="WPNG" localSheetId="6">#REF!</definedName>
    <definedName name="WPNG" localSheetId="7">#REF!</definedName>
    <definedName name="WPNG" localSheetId="8">#REF!</definedName>
    <definedName name="WPNG" localSheetId="16">#REF!</definedName>
    <definedName name="WPNG" localSheetId="15">#REF!</definedName>
    <definedName name="WPNG" localSheetId="14">#REF!</definedName>
    <definedName name="WPNG" localSheetId="2">#REF!</definedName>
    <definedName name="WPNG" localSheetId="12">#REF!</definedName>
    <definedName name="WPNG" localSheetId="11">#REF!</definedName>
    <definedName name="WPNG" localSheetId="10">#REF!</definedName>
    <definedName name="WPNG" localSheetId="13">#REF!</definedName>
    <definedName name="WPNG" localSheetId="4">#REF!</definedName>
    <definedName name="WPNG" localSheetId="5">#REF!</definedName>
    <definedName name="WPNG" localSheetId="3">#REF!</definedName>
    <definedName name="WPNG">#REF!</definedName>
    <definedName name="WPNG_901_035" localSheetId="6">#REF!</definedName>
    <definedName name="WPNG_901_035" localSheetId="7">#REF!</definedName>
    <definedName name="WPNG_901_035" localSheetId="8">#REF!</definedName>
    <definedName name="WPNG_901_035" localSheetId="16">#REF!</definedName>
    <definedName name="WPNG_901_035" localSheetId="15">#REF!</definedName>
    <definedName name="WPNG_901_035" localSheetId="14">#REF!</definedName>
    <definedName name="WPNG_901_035" localSheetId="2">#REF!</definedName>
    <definedName name="WPNG_901_035" localSheetId="12">#REF!</definedName>
    <definedName name="WPNG_901_035" localSheetId="11">#REF!</definedName>
    <definedName name="WPNG_901_035" localSheetId="10">#REF!</definedName>
    <definedName name="WPNG_901_035" localSheetId="13">#REF!</definedName>
    <definedName name="WPNG_901_035" localSheetId="4">#REF!</definedName>
    <definedName name="WPNG_901_035" localSheetId="5">#REF!</definedName>
    <definedName name="WPNG_901_035" localSheetId="3">#REF!</definedName>
    <definedName name="WPNG_901_035">#REF!</definedName>
    <definedName name="WPNG_ADM" localSheetId="6">#REF!</definedName>
    <definedName name="WPNG_ADM" localSheetId="7">#REF!</definedName>
    <definedName name="WPNG_ADM" localSheetId="8">#REF!</definedName>
    <definedName name="WPNG_ADM" localSheetId="16">#REF!</definedName>
    <definedName name="WPNG_ADM" localSheetId="15">#REF!</definedName>
    <definedName name="WPNG_ADM" localSheetId="14">#REF!</definedName>
    <definedName name="WPNG_ADM" localSheetId="2">#REF!</definedName>
    <definedName name="WPNG_ADM" localSheetId="12">#REF!</definedName>
    <definedName name="WPNG_ADM" localSheetId="11">#REF!</definedName>
    <definedName name="WPNG_ADM" localSheetId="10">#REF!</definedName>
    <definedName name="WPNG_ADM" localSheetId="13">#REF!</definedName>
    <definedName name="WPNG_ADM" localSheetId="4">#REF!</definedName>
    <definedName name="WPNG_ADM" localSheetId="5">#REF!</definedName>
    <definedName name="WPNG_ADM" localSheetId="3">#REF!</definedName>
    <definedName name="WPNG_ADM">#REF!</definedName>
    <definedName name="WPNG_GENERAL" localSheetId="6">#REF!</definedName>
    <definedName name="WPNG_GENERAL" localSheetId="7">#REF!</definedName>
    <definedName name="WPNG_GENERAL" localSheetId="8">#REF!</definedName>
    <definedName name="WPNG_GENERAL" localSheetId="16">#REF!</definedName>
    <definedName name="WPNG_GENERAL" localSheetId="15">#REF!</definedName>
    <definedName name="WPNG_GENERAL" localSheetId="14">#REF!</definedName>
    <definedName name="WPNG_GENERAL" localSheetId="2">#REF!</definedName>
    <definedName name="WPNG_GENERAL" localSheetId="12">#REF!</definedName>
    <definedName name="WPNG_GENERAL" localSheetId="11">#REF!</definedName>
    <definedName name="WPNG_GENERAL" localSheetId="10">#REF!</definedName>
    <definedName name="WPNG_GENERAL" localSheetId="13">#REF!</definedName>
    <definedName name="WPNG_GENERAL" localSheetId="4">#REF!</definedName>
    <definedName name="WPNG_GENERAL" localSheetId="5">#REF!</definedName>
    <definedName name="WPNG_GENERAL" localSheetId="3">#REF!</definedName>
    <definedName name="WPNG_GENERAL">#REF!</definedName>
    <definedName name="WPNG_NET_PLANT" localSheetId="6">#REF!</definedName>
    <definedName name="WPNG_NET_PLANT" localSheetId="7">#REF!</definedName>
    <definedName name="WPNG_NET_PLANT" localSheetId="8">#REF!</definedName>
    <definedName name="WPNG_NET_PLANT" localSheetId="16">#REF!</definedName>
    <definedName name="WPNG_NET_PLANT" localSheetId="15">#REF!</definedName>
    <definedName name="WPNG_NET_PLANT" localSheetId="14">#REF!</definedName>
    <definedName name="WPNG_NET_PLANT" localSheetId="2">#REF!</definedName>
    <definedName name="WPNG_NET_PLANT" localSheetId="12">#REF!</definedName>
    <definedName name="WPNG_NET_PLANT" localSheetId="11">#REF!</definedName>
    <definedName name="WPNG_NET_PLANT" localSheetId="10">#REF!</definedName>
    <definedName name="WPNG_NET_PLANT" localSheetId="13">#REF!</definedName>
    <definedName name="WPNG_NET_PLANT" localSheetId="4">#REF!</definedName>
    <definedName name="WPNG_NET_PLANT" localSheetId="5">#REF!</definedName>
    <definedName name="WPNG_NET_PLANT" localSheetId="3">#REF!</definedName>
    <definedName name="WPNG_NET_PLANT">#REF!</definedName>
    <definedName name="WWP_GAS" localSheetId="12">'GAS-2019'!$A$9:$E$40</definedName>
    <definedName name="WWP_GAS" localSheetId="13">'GAS-Variance'!$A$9:$E$45</definedName>
    <definedName name="WWP_GAS">#REF!</definedName>
  </definedNames>
  <calcPr calcId="152511"/>
</workbook>
</file>

<file path=xl/calcChain.xml><?xml version="1.0" encoding="utf-8"?>
<calcChain xmlns="http://schemas.openxmlformats.org/spreadsheetml/2006/main">
  <c r="D40" i="68" l="1"/>
  <c r="D26" i="63"/>
  <c r="C38" i="72"/>
  <c r="J32" i="80"/>
  <c r="I33" i="80"/>
  <c r="I34" i="80"/>
  <c r="J16" i="80"/>
  <c r="H16" i="80"/>
  <c r="G16" i="80"/>
  <c r="I29" i="78"/>
  <c r="H13" i="78"/>
  <c r="G13" i="78"/>
  <c r="J13" i="78"/>
  <c r="E35" i="76"/>
  <c r="I78" i="38" l="1"/>
  <c r="J53" i="38"/>
  <c r="I53" i="38"/>
  <c r="I51" i="80"/>
  <c r="I35" i="80"/>
  <c r="I15" i="80"/>
  <c r="I9" i="80"/>
  <c r="J9" i="80"/>
  <c r="I48" i="78"/>
  <c r="I28" i="78"/>
  <c r="F38" i="77" l="1"/>
  <c r="G37" i="77"/>
  <c r="F37" i="77"/>
  <c r="E37" i="77"/>
  <c r="G36" i="77"/>
  <c r="F36" i="77"/>
  <c r="E36" i="77"/>
  <c r="G34" i="77"/>
  <c r="F34" i="77"/>
  <c r="E34" i="77"/>
  <c r="G33" i="77"/>
  <c r="F33" i="77"/>
  <c r="E33" i="77"/>
  <c r="G32" i="77"/>
  <c r="F32" i="77"/>
  <c r="E32" i="77"/>
  <c r="G31" i="77"/>
  <c r="F31" i="77"/>
  <c r="E31" i="77"/>
  <c r="E30" i="77"/>
  <c r="G30" i="77"/>
  <c r="F30" i="77"/>
  <c r="G29" i="77"/>
  <c r="F29" i="77"/>
  <c r="E29" i="77"/>
  <c r="G16" i="79"/>
  <c r="I37" i="75"/>
  <c r="E37" i="75"/>
  <c r="D37" i="75"/>
  <c r="D35" i="75"/>
  <c r="E34" i="75"/>
  <c r="K30" i="75"/>
  <c r="K26" i="75"/>
  <c r="K25" i="75"/>
  <c r="K24" i="75"/>
  <c r="D24" i="75"/>
  <c r="J17" i="75"/>
  <c r="I13" i="75"/>
  <c r="D13" i="75"/>
  <c r="E12" i="75"/>
  <c r="F26" i="74" l="1"/>
  <c r="E26" i="74"/>
  <c r="J49" i="74"/>
  <c r="D34" i="74"/>
  <c r="K29" i="74"/>
  <c r="D26" i="74"/>
  <c r="D20" i="74"/>
  <c r="D12" i="74"/>
  <c r="D34" i="63"/>
  <c r="Q26" i="65"/>
  <c r="B20" i="82" l="1"/>
  <c r="J38" i="80"/>
  <c r="H17" i="80"/>
  <c r="G17" i="80"/>
  <c r="J17" i="80"/>
  <c r="J33" i="78"/>
  <c r="J14" i="78"/>
  <c r="H14" i="78"/>
  <c r="G14" i="78"/>
  <c r="L14" i="78" l="1"/>
  <c r="L17" i="80"/>
  <c r="H101" i="38" l="1"/>
  <c r="I101" i="38"/>
  <c r="H89" i="38"/>
  <c r="I89" i="38"/>
  <c r="H77" i="38"/>
  <c r="I77" i="38"/>
  <c r="I52" i="38"/>
  <c r="J52" i="38"/>
  <c r="H28" i="38"/>
  <c r="I28" i="38"/>
  <c r="J28" i="38"/>
  <c r="H97" i="38" l="1"/>
  <c r="I97" i="38"/>
  <c r="H98" i="38"/>
  <c r="I98" i="38"/>
  <c r="H99" i="38"/>
  <c r="I99" i="38"/>
  <c r="H100" i="38"/>
  <c r="I100" i="38"/>
  <c r="H96" i="38"/>
  <c r="H85" i="38"/>
  <c r="I85" i="38"/>
  <c r="H86" i="38"/>
  <c r="I86" i="38"/>
  <c r="H87" i="38"/>
  <c r="I87" i="38"/>
  <c r="H88" i="38"/>
  <c r="I88" i="38"/>
  <c r="H84" i="38"/>
  <c r="H76" i="38"/>
  <c r="H73" i="38"/>
  <c r="I73" i="38"/>
  <c r="H74" i="38"/>
  <c r="I74" i="38"/>
  <c r="H75" i="38"/>
  <c r="I75" i="38"/>
  <c r="I76" i="38"/>
  <c r="H72" i="38"/>
  <c r="I51" i="38"/>
  <c r="I48" i="38"/>
  <c r="J48" i="38"/>
  <c r="I49" i="38"/>
  <c r="J49" i="38"/>
  <c r="I50" i="38"/>
  <c r="J50" i="38"/>
  <c r="J51" i="38"/>
  <c r="I47" i="38"/>
  <c r="H24" i="38"/>
  <c r="I24" i="38"/>
  <c r="J24" i="38"/>
  <c r="H25" i="38"/>
  <c r="I25" i="38"/>
  <c r="J25" i="38"/>
  <c r="H26" i="38"/>
  <c r="I26" i="38"/>
  <c r="J26" i="38"/>
  <c r="H27" i="38"/>
  <c r="I27" i="38"/>
  <c r="J27" i="38"/>
  <c r="H23" i="38"/>
  <c r="J102" i="38"/>
  <c r="J100" i="38"/>
  <c r="J99" i="38"/>
  <c r="J98" i="38"/>
  <c r="J97" i="38"/>
  <c r="J96" i="38"/>
  <c r="I96" i="38"/>
  <c r="J95" i="38"/>
  <c r="J90" i="38"/>
  <c r="J88" i="38"/>
  <c r="J87" i="38"/>
  <c r="J86" i="38"/>
  <c r="J85" i="38"/>
  <c r="J84" i="38"/>
  <c r="I84" i="38"/>
  <c r="J83" i="38"/>
  <c r="J78" i="38"/>
  <c r="J76" i="38"/>
  <c r="J75" i="38"/>
  <c r="J74" i="38"/>
  <c r="J73" i="38"/>
  <c r="J72" i="38"/>
  <c r="I72" i="38"/>
  <c r="J71" i="38"/>
  <c r="I71" i="38"/>
  <c r="H71" i="38"/>
  <c r="H53" i="38"/>
  <c r="H51" i="38"/>
  <c r="H50" i="38"/>
  <c r="H49" i="38"/>
  <c r="H48" i="38"/>
  <c r="J47" i="38"/>
  <c r="H47" i="38"/>
  <c r="J46" i="38"/>
  <c r="I46" i="38"/>
  <c r="H46" i="38"/>
  <c r="I23" i="38"/>
  <c r="J23" i="38"/>
  <c r="I22" i="38"/>
  <c r="J22" i="38"/>
  <c r="H22" i="38"/>
  <c r="C91" i="38" l="1"/>
  <c r="C92" i="38"/>
  <c r="C93" i="38"/>
  <c r="C94" i="38"/>
  <c r="C95" i="38"/>
  <c r="C96" i="38"/>
  <c r="C97" i="38"/>
  <c r="C98" i="38"/>
  <c r="C99" i="38"/>
  <c r="C100" i="38"/>
  <c r="C83" i="38"/>
  <c r="C84" i="38"/>
  <c r="C85" i="38"/>
  <c r="C86" i="38"/>
  <c r="C87" i="38"/>
  <c r="C88" i="38"/>
  <c r="B97" i="38"/>
  <c r="B98" i="38"/>
  <c r="B99" i="38"/>
  <c r="B95" i="38"/>
  <c r="B84" i="38"/>
  <c r="B96" i="38" s="1"/>
  <c r="B85" i="38"/>
  <c r="B86" i="38"/>
  <c r="B87" i="38"/>
  <c r="B88" i="38"/>
  <c r="B100" i="38" s="1"/>
  <c r="B83" i="38"/>
  <c r="E38" i="77" l="1"/>
  <c r="J46" i="74" l="1"/>
  <c r="K46" i="74" s="1"/>
  <c r="J45" i="74"/>
  <c r="K45" i="74" s="1"/>
  <c r="A3" i="70" l="1"/>
  <c r="R16" i="65" l="1"/>
  <c r="R22" i="65"/>
  <c r="T6" i="65"/>
  <c r="R6" i="65" s="1"/>
  <c r="T7" i="65"/>
  <c r="R7" i="65" s="1"/>
  <c r="T8" i="65"/>
  <c r="R8" i="65" s="1"/>
  <c r="T9" i="65"/>
  <c r="R9" i="65" s="1"/>
  <c r="T10" i="65"/>
  <c r="R10" i="65" s="1"/>
  <c r="T11" i="65"/>
  <c r="R11" i="65" s="1"/>
  <c r="T12" i="65"/>
  <c r="R12" i="65" s="1"/>
  <c r="T13" i="65"/>
  <c r="R13" i="65" s="1"/>
  <c r="T14" i="65"/>
  <c r="R14" i="65" s="1"/>
  <c r="T15" i="65"/>
  <c r="R15" i="65" s="1"/>
  <c r="T16" i="65"/>
  <c r="T17" i="65"/>
  <c r="R17" i="65" s="1"/>
  <c r="T18" i="65"/>
  <c r="R18" i="65" s="1"/>
  <c r="T19" i="65"/>
  <c r="R19" i="65" s="1"/>
  <c r="T20" i="65"/>
  <c r="R20" i="65" s="1"/>
  <c r="T21" i="65"/>
  <c r="R21" i="65" s="1"/>
  <c r="T22" i="65"/>
  <c r="T5" i="65"/>
  <c r="R5" i="65" s="1"/>
  <c r="H14" i="77"/>
  <c r="B53" i="38"/>
  <c r="B78" i="38" s="1"/>
  <c r="B90" i="38" s="1"/>
  <c r="B102" i="38" s="1"/>
  <c r="C64" i="38"/>
  <c r="C69" i="38" l="1"/>
  <c r="C44" i="38"/>
  <c r="C20" i="38"/>
  <c r="A1" i="80"/>
  <c r="A1" i="79"/>
  <c r="A1" i="78"/>
  <c r="A1" i="77"/>
  <c r="A1" i="68"/>
  <c r="A1" i="66"/>
  <c r="A1" i="76"/>
  <c r="A1" i="75"/>
  <c r="D27" i="70"/>
  <c r="C27" i="70"/>
  <c r="D26" i="72"/>
  <c r="C26" i="72"/>
  <c r="D15" i="77"/>
  <c r="I16" i="75" l="1"/>
  <c r="H20" i="78"/>
  <c r="G20" i="78"/>
  <c r="H19" i="78"/>
  <c r="G19" i="78"/>
  <c r="F52" i="78"/>
  <c r="F55" i="80" s="1"/>
  <c r="F51" i="78"/>
  <c r="F54" i="80" s="1"/>
  <c r="F32" i="78"/>
  <c r="F31" i="78"/>
  <c r="G23" i="80"/>
  <c r="G22" i="80"/>
  <c r="H23" i="80"/>
  <c r="H22" i="80"/>
  <c r="F37" i="80"/>
  <c r="F36" i="80"/>
  <c r="H22" i="77"/>
  <c r="H21" i="77"/>
  <c r="H20" i="77"/>
  <c r="H19" i="77"/>
  <c r="H18" i="77"/>
  <c r="H17" i="77"/>
  <c r="H16" i="77"/>
  <c r="H15" i="77"/>
  <c r="H13" i="77"/>
  <c r="G36" i="79"/>
  <c r="F36" i="79"/>
  <c r="E36" i="79"/>
  <c r="G35" i="79"/>
  <c r="F35" i="79"/>
  <c r="E35" i="79"/>
  <c r="G34" i="79"/>
  <c r="F34" i="79"/>
  <c r="E34" i="79"/>
  <c r="G33" i="79"/>
  <c r="F33" i="79"/>
  <c r="E33" i="79"/>
  <c r="G32" i="79"/>
  <c r="F32" i="79"/>
  <c r="E32" i="79"/>
  <c r="G31" i="79"/>
  <c r="F31" i="79"/>
  <c r="E31" i="79"/>
  <c r="G30" i="79"/>
  <c r="F30" i="79"/>
  <c r="E30" i="79"/>
  <c r="G29" i="79"/>
  <c r="F29" i="79"/>
  <c r="E29" i="79"/>
  <c r="G28" i="79"/>
  <c r="F28" i="79"/>
  <c r="E28" i="79"/>
  <c r="G27" i="79"/>
  <c r="F27" i="79"/>
  <c r="E27" i="79"/>
  <c r="H20" i="79"/>
  <c r="H19" i="79"/>
  <c r="H18" i="79"/>
  <c r="H17" i="79"/>
  <c r="H16" i="79"/>
  <c r="H15" i="79"/>
  <c r="H14" i="79"/>
  <c r="H13" i="79"/>
  <c r="H12" i="79"/>
  <c r="H11" i="79"/>
  <c r="J15" i="75"/>
  <c r="K15" i="75" s="1"/>
  <c r="H32" i="79" l="1"/>
  <c r="H36" i="79"/>
  <c r="H29" i="79"/>
  <c r="H33" i="79"/>
  <c r="H35" i="79"/>
  <c r="H34" i="79"/>
  <c r="H31" i="79"/>
  <c r="H30" i="79"/>
  <c r="H28" i="79"/>
  <c r="H27" i="79"/>
  <c r="B46" i="38"/>
  <c r="B71" i="38" s="1"/>
  <c r="B47" i="38"/>
  <c r="B72" i="38" s="1"/>
  <c r="A30" i="72" l="1"/>
  <c r="A31" i="70"/>
  <c r="A32" i="68"/>
  <c r="A30" i="66"/>
  <c r="I27" i="76"/>
  <c r="H27" i="76"/>
  <c r="G27" i="76"/>
  <c r="F27" i="76"/>
  <c r="E27" i="76"/>
  <c r="D27" i="76"/>
  <c r="I26" i="76"/>
  <c r="H26" i="76"/>
  <c r="G26" i="76"/>
  <c r="F26" i="76"/>
  <c r="E26" i="76"/>
  <c r="D26" i="76"/>
  <c r="I25" i="76"/>
  <c r="H25" i="76"/>
  <c r="G25" i="76"/>
  <c r="F25" i="76"/>
  <c r="E25" i="76"/>
  <c r="D25" i="76"/>
  <c r="F24" i="76"/>
  <c r="E24" i="76"/>
  <c r="I23" i="76"/>
  <c r="H23" i="76"/>
  <c r="G23" i="76"/>
  <c r="F23" i="76"/>
  <c r="E23" i="76"/>
  <c r="D23" i="76"/>
  <c r="I22" i="76"/>
  <c r="H22" i="76"/>
  <c r="G22" i="76"/>
  <c r="F22" i="76"/>
  <c r="E22" i="76"/>
  <c r="D22" i="76"/>
  <c r="I16" i="76"/>
  <c r="H16" i="76"/>
  <c r="G16" i="76"/>
  <c r="F16" i="76"/>
  <c r="E16" i="76"/>
  <c r="D16" i="76"/>
  <c r="H15" i="76"/>
  <c r="G15" i="76"/>
  <c r="F15" i="76"/>
  <c r="E15" i="76"/>
  <c r="D15" i="76"/>
  <c r="I14" i="76"/>
  <c r="H14" i="76"/>
  <c r="G14" i="76"/>
  <c r="F14" i="76"/>
  <c r="E14" i="76"/>
  <c r="D14" i="76"/>
  <c r="F13" i="76"/>
  <c r="I11" i="76"/>
  <c r="A26" i="72"/>
  <c r="A26" i="70"/>
  <c r="A27" i="68"/>
  <c r="A25" i="66"/>
  <c r="A3" i="80"/>
  <c r="F56" i="80"/>
  <c r="F35" i="80"/>
  <c r="F34" i="80"/>
  <c r="F33" i="80"/>
  <c r="F32" i="80"/>
  <c r="F31" i="80"/>
  <c r="F22" i="80"/>
  <c r="F15" i="80"/>
  <c r="F14" i="80"/>
  <c r="F13" i="80"/>
  <c r="F12" i="80"/>
  <c r="F11" i="80"/>
  <c r="F10" i="80"/>
  <c r="F9" i="80"/>
  <c r="A3" i="79"/>
  <c r="D36" i="79"/>
  <c r="D34" i="79"/>
  <c r="D32" i="79"/>
  <c r="D30" i="79"/>
  <c r="D28" i="79"/>
  <c r="G37" i="79"/>
  <c r="I49" i="80" s="1"/>
  <c r="F37" i="79"/>
  <c r="H42" i="80" s="1"/>
  <c r="H49" i="80" s="1"/>
  <c r="G21" i="79"/>
  <c r="F21" i="79"/>
  <c r="H21" i="80" s="1"/>
  <c r="H24" i="80" s="1"/>
  <c r="E21" i="79"/>
  <c r="G21" i="80" s="1"/>
  <c r="D20" i="79"/>
  <c r="D19" i="79"/>
  <c r="D18" i="79"/>
  <c r="D17" i="79"/>
  <c r="D16" i="79"/>
  <c r="D15" i="79"/>
  <c r="D14" i="79"/>
  <c r="D13" i="79"/>
  <c r="D12" i="79"/>
  <c r="D11" i="79"/>
  <c r="A3" i="77"/>
  <c r="A3" i="78"/>
  <c r="F53" i="78"/>
  <c r="F30" i="78"/>
  <c r="I30" i="78" s="1"/>
  <c r="F29" i="78"/>
  <c r="F28" i="78"/>
  <c r="F19" i="78"/>
  <c r="F12" i="78"/>
  <c r="I12" i="78" s="1"/>
  <c r="F11" i="78"/>
  <c r="F10" i="78"/>
  <c r="I10" i="78" s="1"/>
  <c r="D38" i="77"/>
  <c r="H38" i="77" s="1"/>
  <c r="D37" i="77"/>
  <c r="H37" i="77" s="1"/>
  <c r="D36" i="77"/>
  <c r="H36" i="77" s="1"/>
  <c r="D35" i="77"/>
  <c r="H35" i="77" s="1"/>
  <c r="D34" i="77"/>
  <c r="H34" i="77" s="1"/>
  <c r="D33" i="77"/>
  <c r="H33" i="77" s="1"/>
  <c r="D32" i="77"/>
  <c r="H32" i="77" s="1"/>
  <c r="D31" i="77"/>
  <c r="H31" i="77" s="1"/>
  <c r="D30" i="77"/>
  <c r="H30" i="77" s="1"/>
  <c r="G39" i="77"/>
  <c r="I46" i="78" s="1"/>
  <c r="F39" i="77"/>
  <c r="E39" i="77"/>
  <c r="D29" i="77"/>
  <c r="H29" i="77" s="1"/>
  <c r="G23" i="77"/>
  <c r="F23" i="77"/>
  <c r="H18" i="78" s="1"/>
  <c r="H21" i="78" s="1"/>
  <c r="E23" i="77"/>
  <c r="G18" i="78" s="1"/>
  <c r="D22" i="77"/>
  <c r="D21" i="77"/>
  <c r="D20" i="77"/>
  <c r="D19" i="77"/>
  <c r="D18" i="77"/>
  <c r="D17" i="77"/>
  <c r="D16" i="77"/>
  <c r="D14" i="77"/>
  <c r="D13" i="77"/>
  <c r="A3" i="73"/>
  <c r="A3" i="72"/>
  <c r="A4" i="68"/>
  <c r="A4" i="66"/>
  <c r="A4" i="63"/>
  <c r="A4" i="75"/>
  <c r="A3" i="76"/>
  <c r="A3" i="74"/>
  <c r="H8" i="76"/>
  <c r="G8" i="76"/>
  <c r="I39" i="75"/>
  <c r="G28" i="76" s="1"/>
  <c r="G39" i="75"/>
  <c r="I28" i="76" s="1"/>
  <c r="F39" i="75"/>
  <c r="F28" i="76" s="1"/>
  <c r="J38" i="75"/>
  <c r="H39" i="75"/>
  <c r="H28" i="76" s="1"/>
  <c r="E39" i="75"/>
  <c r="E28" i="76" s="1"/>
  <c r="D39" i="75"/>
  <c r="D28" i="76" s="1"/>
  <c r="J34" i="75"/>
  <c r="K34" i="75" s="1"/>
  <c r="J32" i="75"/>
  <c r="K32" i="75" s="1"/>
  <c r="J30" i="75"/>
  <c r="I28" i="75"/>
  <c r="G24" i="76" s="1"/>
  <c r="H28" i="75"/>
  <c r="H24" i="76" s="1"/>
  <c r="G28" i="75"/>
  <c r="I24" i="76" s="1"/>
  <c r="F28" i="75"/>
  <c r="E28" i="75"/>
  <c r="D28" i="75"/>
  <c r="J27" i="75"/>
  <c r="J26" i="75"/>
  <c r="J25" i="75"/>
  <c r="J24" i="75"/>
  <c r="I21" i="75"/>
  <c r="H21" i="75"/>
  <c r="G21" i="75"/>
  <c r="F21" i="75"/>
  <c r="E21" i="75"/>
  <c r="D21" i="75"/>
  <c r="J20" i="75"/>
  <c r="J19" i="75"/>
  <c r="J21" i="75" s="1"/>
  <c r="G16" i="75"/>
  <c r="I21" i="76" s="1"/>
  <c r="F16" i="75"/>
  <c r="F21" i="76" s="1"/>
  <c r="J14" i="75"/>
  <c r="K14" i="75" s="1"/>
  <c r="H16" i="75"/>
  <c r="H21" i="76" s="1"/>
  <c r="J13" i="75"/>
  <c r="K13" i="75" s="1"/>
  <c r="G21" i="76"/>
  <c r="E16" i="75"/>
  <c r="E21" i="76" s="1"/>
  <c r="J11" i="75"/>
  <c r="K11" i="75" s="1"/>
  <c r="D16" i="75"/>
  <c r="D21" i="76" s="1"/>
  <c r="I48" i="74"/>
  <c r="G12" i="76" s="1"/>
  <c r="H48" i="74"/>
  <c r="H12" i="76" s="1"/>
  <c r="G48" i="74"/>
  <c r="I12" i="76" s="1"/>
  <c r="F48" i="74"/>
  <c r="F12" i="76" s="1"/>
  <c r="E48" i="74"/>
  <c r="E12" i="76" s="1"/>
  <c r="D48" i="74"/>
  <c r="J47" i="74"/>
  <c r="K47" i="74" s="1"/>
  <c r="J44" i="74"/>
  <c r="K44" i="74" s="1"/>
  <c r="J43" i="74"/>
  <c r="K43" i="74" s="1"/>
  <c r="J42" i="74"/>
  <c r="K42" i="74" s="1"/>
  <c r="I39" i="74"/>
  <c r="G17" i="76" s="1"/>
  <c r="H39" i="74"/>
  <c r="H17" i="76" s="1"/>
  <c r="G39" i="74"/>
  <c r="I17" i="76" s="1"/>
  <c r="F39" i="74"/>
  <c r="F17" i="76" s="1"/>
  <c r="E39" i="74"/>
  <c r="E17" i="76" s="1"/>
  <c r="D39" i="74"/>
  <c r="J38" i="74"/>
  <c r="K38" i="74" s="1"/>
  <c r="J37" i="74"/>
  <c r="K37" i="74" s="1"/>
  <c r="J36" i="74"/>
  <c r="K36" i="74" s="1"/>
  <c r="J35" i="74"/>
  <c r="K35" i="74" s="1"/>
  <c r="J34" i="74"/>
  <c r="K34" i="74" s="1"/>
  <c r="J33" i="74"/>
  <c r="K33" i="74" s="1"/>
  <c r="J32" i="74"/>
  <c r="K32" i="74" s="1"/>
  <c r="J31" i="74"/>
  <c r="K31" i="74" s="1"/>
  <c r="J30" i="74"/>
  <c r="K30" i="74" s="1"/>
  <c r="J29" i="74"/>
  <c r="J25" i="74"/>
  <c r="J23" i="74"/>
  <c r="J21" i="74"/>
  <c r="I19" i="74"/>
  <c r="G13" i="76" s="1"/>
  <c r="H19" i="74"/>
  <c r="H13" i="76" s="1"/>
  <c r="G19" i="74"/>
  <c r="I13" i="76" s="1"/>
  <c r="F19" i="74"/>
  <c r="E19" i="74"/>
  <c r="D19" i="74"/>
  <c r="J18" i="74"/>
  <c r="J17" i="74"/>
  <c r="J16" i="74"/>
  <c r="I14" i="74"/>
  <c r="G11" i="76" s="1"/>
  <c r="H14" i="74"/>
  <c r="H11" i="76" s="1"/>
  <c r="G14" i="74"/>
  <c r="F14" i="74"/>
  <c r="F11" i="76" s="1"/>
  <c r="E14" i="74"/>
  <c r="E11" i="76" s="1"/>
  <c r="J13" i="74"/>
  <c r="D14" i="74"/>
  <c r="J11" i="74"/>
  <c r="J10" i="74"/>
  <c r="A1" i="74"/>
  <c r="A1" i="65"/>
  <c r="D21" i="72"/>
  <c r="C21" i="72"/>
  <c r="D20" i="72"/>
  <c r="C20" i="72"/>
  <c r="D19" i="72"/>
  <c r="C19" i="72"/>
  <c r="D13" i="72"/>
  <c r="C13" i="72"/>
  <c r="D12" i="72"/>
  <c r="C12" i="72"/>
  <c r="D11" i="72"/>
  <c r="C11" i="72"/>
  <c r="A1" i="73"/>
  <c r="A1" i="72"/>
  <c r="D21" i="70"/>
  <c r="C21" i="70"/>
  <c r="D20" i="70"/>
  <c r="C20" i="70"/>
  <c r="D19" i="70"/>
  <c r="C19" i="70"/>
  <c r="D13" i="70"/>
  <c r="C13" i="70"/>
  <c r="D12" i="70"/>
  <c r="C12" i="70"/>
  <c r="D11" i="70"/>
  <c r="C11" i="70"/>
  <c r="B33" i="70"/>
  <c r="A1" i="70"/>
  <c r="E21" i="68"/>
  <c r="D21" i="68"/>
  <c r="E20" i="68"/>
  <c r="D20" i="68"/>
  <c r="E11" i="68"/>
  <c r="D11" i="68"/>
  <c r="E10" i="68"/>
  <c r="D10" i="68"/>
  <c r="A28" i="68"/>
  <c r="F23" i="68"/>
  <c r="F15" i="68"/>
  <c r="A14" i="68"/>
  <c r="A13" i="68"/>
  <c r="E20" i="66"/>
  <c r="C20" i="66" s="1"/>
  <c r="F19" i="66"/>
  <c r="E19" i="66"/>
  <c r="F18" i="66"/>
  <c r="E18" i="66"/>
  <c r="E12" i="66"/>
  <c r="C12" i="66" s="1"/>
  <c r="F11" i="66"/>
  <c r="E11" i="66"/>
  <c r="F10" i="66"/>
  <c r="E10" i="66"/>
  <c r="A26" i="66"/>
  <c r="D21" i="66"/>
  <c r="D13" i="66"/>
  <c r="N23" i="63"/>
  <c r="M23" i="63" s="1"/>
  <c r="J23" i="63"/>
  <c r="D23" i="63"/>
  <c r="O22" i="63"/>
  <c r="N22" i="63"/>
  <c r="K22" i="63"/>
  <c r="J22" i="63"/>
  <c r="D22" i="63"/>
  <c r="O21" i="63"/>
  <c r="N21" i="63"/>
  <c r="K21" i="63"/>
  <c r="J21" i="63"/>
  <c r="D21" i="63"/>
  <c r="N12" i="63"/>
  <c r="M12" i="63" s="1"/>
  <c r="J12" i="63"/>
  <c r="I12" i="63" s="1"/>
  <c r="D12" i="63"/>
  <c r="O11" i="63"/>
  <c r="N11" i="63"/>
  <c r="K11" i="63"/>
  <c r="J11" i="63"/>
  <c r="D11" i="63"/>
  <c r="O10" i="63"/>
  <c r="N10" i="63"/>
  <c r="K10" i="63"/>
  <c r="J10" i="63"/>
  <c r="D10" i="63"/>
  <c r="F32" i="63"/>
  <c r="F26" i="66" s="1"/>
  <c r="E32" i="63"/>
  <c r="C31" i="63"/>
  <c r="D32" i="63"/>
  <c r="C29" i="63"/>
  <c r="C15" i="63"/>
  <c r="C14" i="63"/>
  <c r="A1" i="63"/>
  <c r="E13" i="76" l="1"/>
  <c r="E18" i="76" s="1"/>
  <c r="E19" i="76" s="1"/>
  <c r="D28" i="68"/>
  <c r="J16" i="76"/>
  <c r="K16" i="63"/>
  <c r="O16" i="63"/>
  <c r="C10" i="68"/>
  <c r="J22" i="76"/>
  <c r="J23" i="76"/>
  <c r="D21" i="73"/>
  <c r="I10" i="63"/>
  <c r="B13" i="72"/>
  <c r="F21" i="66"/>
  <c r="H38" i="78"/>
  <c r="H46" i="78"/>
  <c r="G38" i="78"/>
  <c r="G46" i="78"/>
  <c r="J26" i="76"/>
  <c r="J25" i="76"/>
  <c r="H21" i="79"/>
  <c r="D13" i="76"/>
  <c r="D11" i="76"/>
  <c r="J11" i="76" s="1"/>
  <c r="C18" i="66"/>
  <c r="C19" i="66"/>
  <c r="E23" i="68"/>
  <c r="N24" i="63"/>
  <c r="C11" i="66"/>
  <c r="D23" i="68"/>
  <c r="Q33" i="65"/>
  <c r="G18" i="76"/>
  <c r="F46" i="78" s="1"/>
  <c r="J14" i="76"/>
  <c r="J15" i="76"/>
  <c r="D19" i="73"/>
  <c r="D12" i="73"/>
  <c r="I22" i="63"/>
  <c r="M10" i="63"/>
  <c r="D11" i="73"/>
  <c r="D13" i="73"/>
  <c r="D20" i="73"/>
  <c r="D14" i="70"/>
  <c r="D14" i="72"/>
  <c r="C11" i="73"/>
  <c r="C13" i="73"/>
  <c r="C20" i="73"/>
  <c r="B21" i="72"/>
  <c r="C12" i="73"/>
  <c r="B12" i="73" s="1"/>
  <c r="C19" i="73"/>
  <c r="J27" i="76"/>
  <c r="F33" i="78"/>
  <c r="F38" i="80"/>
  <c r="D23" i="77"/>
  <c r="D24" i="77" s="1"/>
  <c r="H23" i="77"/>
  <c r="D21" i="79"/>
  <c r="D22" i="79" s="1"/>
  <c r="G29" i="76"/>
  <c r="G30" i="76" s="1"/>
  <c r="H29" i="76"/>
  <c r="H30" i="76" s="1"/>
  <c r="I29" i="76"/>
  <c r="I30" i="76" s="1"/>
  <c r="F29" i="76"/>
  <c r="F30" i="76" s="1"/>
  <c r="J28" i="76"/>
  <c r="E29" i="76"/>
  <c r="E30" i="76" s="1"/>
  <c r="J28" i="75"/>
  <c r="D24" i="76"/>
  <c r="F18" i="76"/>
  <c r="F19" i="76" s="1"/>
  <c r="J48" i="74"/>
  <c r="H18" i="76"/>
  <c r="H19" i="76" s="1"/>
  <c r="I18" i="76"/>
  <c r="I19" i="76" s="1"/>
  <c r="D12" i="76"/>
  <c r="J12" i="76" s="1"/>
  <c r="J39" i="74"/>
  <c r="J40" i="74" s="1"/>
  <c r="D17" i="76"/>
  <c r="J17" i="76" s="1"/>
  <c r="J19" i="74"/>
  <c r="E12" i="63"/>
  <c r="C32" i="63"/>
  <c r="E28" i="68"/>
  <c r="E26" i="66"/>
  <c r="C26" i="66" s="1"/>
  <c r="D28" i="66" s="1"/>
  <c r="G24" i="80"/>
  <c r="F21" i="80"/>
  <c r="F16" i="80"/>
  <c r="F17" i="80" s="1"/>
  <c r="F23" i="80"/>
  <c r="H28" i="80" s="1"/>
  <c r="E37" i="79"/>
  <c r="D27" i="79"/>
  <c r="D29" i="79"/>
  <c r="D31" i="79"/>
  <c r="D33" i="79"/>
  <c r="D35" i="79"/>
  <c r="G21" i="78"/>
  <c r="F18" i="78"/>
  <c r="F13" i="78"/>
  <c r="F14" i="78" s="1"/>
  <c r="F20" i="78"/>
  <c r="H25" i="78" s="1"/>
  <c r="D39" i="77"/>
  <c r="D40" i="77" s="1"/>
  <c r="J21" i="76"/>
  <c r="J10" i="75"/>
  <c r="K10" i="75" s="1"/>
  <c r="J12" i="75"/>
  <c r="K12" i="75" s="1"/>
  <c r="J37" i="75"/>
  <c r="K37" i="75" s="1"/>
  <c r="J12" i="74"/>
  <c r="J14" i="74" s="1"/>
  <c r="D22" i="72"/>
  <c r="J16" i="63"/>
  <c r="I11" i="63"/>
  <c r="K24" i="63"/>
  <c r="O24" i="63"/>
  <c r="M22" i="63"/>
  <c r="F13" i="66"/>
  <c r="I21" i="63"/>
  <c r="M21" i="63"/>
  <c r="C22" i="72"/>
  <c r="C21" i="68"/>
  <c r="B20" i="72"/>
  <c r="C21" i="73"/>
  <c r="I23" i="63"/>
  <c r="E23" i="63" s="1"/>
  <c r="C14" i="72"/>
  <c r="B11" i="72"/>
  <c r="M11" i="63"/>
  <c r="E13" i="66"/>
  <c r="E15" i="68"/>
  <c r="F12" i="63"/>
  <c r="B19" i="70"/>
  <c r="B20" i="70"/>
  <c r="D22" i="70"/>
  <c r="B21" i="70"/>
  <c r="D16" i="63"/>
  <c r="D15" i="68"/>
  <c r="C11" i="68"/>
  <c r="B12" i="70"/>
  <c r="C14" i="70"/>
  <c r="B13" i="70"/>
  <c r="B12" i="72"/>
  <c r="B19" i="72"/>
  <c r="B26" i="72"/>
  <c r="D28" i="72" s="1"/>
  <c r="B11" i="70"/>
  <c r="C22" i="70"/>
  <c r="C20" i="68"/>
  <c r="E21" i="66"/>
  <c r="C10" i="66"/>
  <c r="N16" i="63"/>
  <c r="D24" i="63"/>
  <c r="J24" i="63"/>
  <c r="C30" i="63"/>
  <c r="C15" i="68" l="1"/>
  <c r="E17" i="68" s="1"/>
  <c r="J13" i="76"/>
  <c r="H18" i="37"/>
  <c r="E34" i="63"/>
  <c r="I18" i="37" s="1"/>
  <c r="C21" i="66"/>
  <c r="D23" i="66" s="1"/>
  <c r="B21" i="73"/>
  <c r="B14" i="72"/>
  <c r="C16" i="72" s="1"/>
  <c r="F10" i="63"/>
  <c r="F23" i="63"/>
  <c r="I16" i="63"/>
  <c r="J46" i="78"/>
  <c r="K46" i="78" s="1"/>
  <c r="F38" i="78"/>
  <c r="J16" i="75"/>
  <c r="H31" i="76"/>
  <c r="F31" i="76"/>
  <c r="F31" i="66" s="1"/>
  <c r="E31" i="76"/>
  <c r="E33" i="68" s="1"/>
  <c r="J51" i="74"/>
  <c r="J55" i="74" s="1"/>
  <c r="F22" i="63"/>
  <c r="E10" i="63"/>
  <c r="M16" i="63"/>
  <c r="C13" i="66"/>
  <c r="D15" i="66" s="1"/>
  <c r="C12" i="63"/>
  <c r="C23" i="68"/>
  <c r="E25" i="68" s="1"/>
  <c r="B22" i="70"/>
  <c r="D24" i="70" s="1"/>
  <c r="D22" i="73"/>
  <c r="B19" i="73"/>
  <c r="G19" i="76"/>
  <c r="G31" i="76"/>
  <c r="F49" i="80"/>
  <c r="C14" i="73"/>
  <c r="B20" i="73"/>
  <c r="B11" i="73"/>
  <c r="D14" i="73"/>
  <c r="E22" i="63"/>
  <c r="M24" i="63"/>
  <c r="F11" i="63"/>
  <c r="B13" i="73"/>
  <c r="C22" i="73"/>
  <c r="E11" i="63"/>
  <c r="J18" i="76"/>
  <c r="J19" i="76" s="1"/>
  <c r="H37" i="79"/>
  <c r="G42" i="80"/>
  <c r="H24" i="37"/>
  <c r="I31" i="76"/>
  <c r="I41" i="76" s="1"/>
  <c r="F35" i="78"/>
  <c r="D18" i="76"/>
  <c r="D19" i="76" s="1"/>
  <c r="G48" i="78"/>
  <c r="H48" i="78"/>
  <c r="F39" i="80"/>
  <c r="J24" i="76"/>
  <c r="J29" i="76" s="1"/>
  <c r="D29" i="76"/>
  <c r="D30" i="76" s="1"/>
  <c r="B14" i="70"/>
  <c r="D16" i="70" s="1"/>
  <c r="B22" i="72"/>
  <c r="C24" i="72" s="1"/>
  <c r="I24" i="63"/>
  <c r="C28" i="68"/>
  <c r="E28" i="66"/>
  <c r="F28" i="66"/>
  <c r="F34" i="63"/>
  <c r="J18" i="37" s="1"/>
  <c r="G28" i="80"/>
  <c r="G37" i="80" s="1"/>
  <c r="H37" i="80" s="1"/>
  <c r="F24" i="80"/>
  <c r="H26" i="80" s="1"/>
  <c r="D37" i="79"/>
  <c r="D38" i="79" s="1"/>
  <c r="F21" i="78"/>
  <c r="H23" i="78" s="1"/>
  <c r="G25" i="78"/>
  <c r="G32" i="78" s="1"/>
  <c r="H32" i="78" s="1"/>
  <c r="J39" i="75"/>
  <c r="E21" i="63"/>
  <c r="F21" i="63"/>
  <c r="C28" i="72"/>
  <c r="C23" i="63" l="1"/>
  <c r="D17" i="68"/>
  <c r="F17" i="68"/>
  <c r="J43" i="75"/>
  <c r="J46" i="75" s="1"/>
  <c r="E16" i="63"/>
  <c r="F16" i="63"/>
  <c r="C10" i="63"/>
  <c r="F23" i="66"/>
  <c r="E23" i="66"/>
  <c r="D16" i="72"/>
  <c r="B16" i="72" s="1"/>
  <c r="E31" i="66"/>
  <c r="J30" i="76"/>
  <c r="H51" i="80"/>
  <c r="H54" i="80" s="1"/>
  <c r="C22" i="63"/>
  <c r="C11" i="63"/>
  <c r="B22" i="73"/>
  <c r="D24" i="72"/>
  <c r="B24" i="72" s="1"/>
  <c r="F15" i="66"/>
  <c r="E15" i="66"/>
  <c r="C24" i="70"/>
  <c r="B24" i="70" s="1"/>
  <c r="F25" i="68"/>
  <c r="D25" i="68"/>
  <c r="C16" i="70"/>
  <c r="B16" i="70" s="1"/>
  <c r="B14" i="73"/>
  <c r="F42" i="80"/>
  <c r="G49" i="80"/>
  <c r="G51" i="80" s="1"/>
  <c r="I24" i="37"/>
  <c r="J24" i="37"/>
  <c r="B28" i="72"/>
  <c r="F48" i="78"/>
  <c r="J48" i="78" s="1"/>
  <c r="G51" i="78"/>
  <c r="G52" i="78"/>
  <c r="H51" i="78"/>
  <c r="H52" i="78"/>
  <c r="G23" i="78"/>
  <c r="G26" i="80"/>
  <c r="G36" i="80" s="1"/>
  <c r="J31" i="76"/>
  <c r="D31" i="76"/>
  <c r="D33" i="68" s="1"/>
  <c r="C34" i="63"/>
  <c r="G34" i="63" s="1"/>
  <c r="B27" i="70"/>
  <c r="B26" i="70" s="1"/>
  <c r="C28" i="66"/>
  <c r="G28" i="66" s="1"/>
  <c r="F30" i="68"/>
  <c r="E30" i="68"/>
  <c r="D30" i="68"/>
  <c r="F28" i="80"/>
  <c r="F25" i="78"/>
  <c r="C21" i="63"/>
  <c r="F24" i="63"/>
  <c r="E24" i="63"/>
  <c r="F23" i="78" l="1"/>
  <c r="G31" i="78"/>
  <c r="H36" i="80"/>
  <c r="H38" i="80" s="1"/>
  <c r="H39" i="80" s="1"/>
  <c r="G38" i="80"/>
  <c r="C16" i="63"/>
  <c r="D18" i="63" s="1"/>
  <c r="C17" i="68"/>
  <c r="G17" i="68" s="1"/>
  <c r="C23" i="66"/>
  <c r="G23" i="66" s="1"/>
  <c r="H55" i="80"/>
  <c r="H56" i="80" s="1"/>
  <c r="F51" i="80"/>
  <c r="C24" i="63"/>
  <c r="C25" i="68"/>
  <c r="G25" i="68" s="1"/>
  <c r="C15" i="66"/>
  <c r="G15" i="66" s="1"/>
  <c r="H53" i="78"/>
  <c r="G54" i="80"/>
  <c r="I54" i="80" s="1"/>
  <c r="G55" i="80"/>
  <c r="J28" i="37"/>
  <c r="I28" i="37"/>
  <c r="G53" i="78"/>
  <c r="I51" i="78"/>
  <c r="I52" i="78"/>
  <c r="F26" i="80"/>
  <c r="C29" i="70"/>
  <c r="D29" i="70"/>
  <c r="H28" i="37"/>
  <c r="C30" i="68"/>
  <c r="G30" i="68" s="1"/>
  <c r="G33" i="78" l="1"/>
  <c r="G35" i="78" s="1"/>
  <c r="H31" i="78"/>
  <c r="H33" i="78" s="1"/>
  <c r="H35" i="78" s="1"/>
  <c r="G39" i="80"/>
  <c r="L38" i="80"/>
  <c r="I18" i="63"/>
  <c r="F18" i="63"/>
  <c r="C17" i="63"/>
  <c r="E18" i="63"/>
  <c r="F26" i="63"/>
  <c r="C25" i="63"/>
  <c r="I26" i="63"/>
  <c r="I55" i="80"/>
  <c r="I56" i="80" s="1"/>
  <c r="E26" i="63"/>
  <c r="I53" i="78"/>
  <c r="G56" i="80"/>
  <c r="B29" i="70"/>
  <c r="L33" i="78" l="1"/>
  <c r="C18" i="63"/>
  <c r="G18" i="63" s="1"/>
  <c r="C26" i="63"/>
  <c r="G26" i="63" s="1"/>
  <c r="B43" i="38"/>
  <c r="B68" i="38" s="1"/>
  <c r="C65" i="38" l="1"/>
  <c r="C40" i="38"/>
  <c r="B40" i="38"/>
  <c r="B65" i="38" s="1"/>
  <c r="C16" i="38"/>
  <c r="C9" i="38"/>
  <c r="G9" i="38"/>
  <c r="C11" i="38"/>
  <c r="G11" i="38"/>
  <c r="C12" i="38"/>
  <c r="G12" i="38"/>
  <c r="C14" i="38"/>
  <c r="G14" i="38"/>
  <c r="C15" i="38"/>
  <c r="G15" i="38"/>
  <c r="C17" i="38"/>
  <c r="G17" i="38"/>
  <c r="B33" i="38"/>
  <c r="B58" i="38" s="1"/>
  <c r="C33" i="38"/>
  <c r="G33" i="38"/>
  <c r="B35" i="38"/>
  <c r="C35" i="38"/>
  <c r="G35" i="38"/>
  <c r="B36" i="38"/>
  <c r="B61" i="38" s="1"/>
  <c r="C36" i="38"/>
  <c r="G36" i="38"/>
  <c r="B38" i="38"/>
  <c r="B63" i="38" s="1"/>
  <c r="C38" i="38"/>
  <c r="G38" i="38"/>
  <c r="B39" i="38"/>
  <c r="B64" i="38" s="1"/>
  <c r="C39" i="38"/>
  <c r="G39" i="38"/>
  <c r="B41" i="38"/>
  <c r="B66" i="38" s="1"/>
  <c r="C41" i="38"/>
  <c r="G41" i="38"/>
  <c r="C58" i="38"/>
  <c r="G58" i="38"/>
  <c r="B60" i="38"/>
  <c r="C60" i="38"/>
  <c r="G60" i="38"/>
  <c r="C61" i="38"/>
  <c r="G61" i="38"/>
  <c r="C63" i="38"/>
  <c r="G63" i="38"/>
  <c r="C66" i="38"/>
  <c r="G66" i="38"/>
  <c r="C26" i="73"/>
  <c r="D26" i="73"/>
  <c r="E26" i="37"/>
  <c r="E30" i="37"/>
  <c r="B26" i="73" l="1"/>
  <c r="C28" i="73"/>
  <c r="D28" i="73" l="1"/>
  <c r="B28" i="73" s="1"/>
  <c r="C24" i="73"/>
  <c r="K18" i="37"/>
  <c r="K24" i="37"/>
  <c r="D24" i="73" l="1"/>
  <c r="B24" i="73" s="1"/>
  <c r="K28" i="37"/>
  <c r="C31" i="66" l="1"/>
  <c r="C16" i="73"/>
  <c r="D16" i="73" l="1"/>
  <c r="B16" i="73" s="1"/>
  <c r="D33" i="66"/>
  <c r="E33" i="66"/>
  <c r="C33" i="68"/>
  <c r="D35" i="68" s="1"/>
  <c r="F33" i="66"/>
  <c r="E36" i="66" l="1"/>
  <c r="F36" i="66"/>
  <c r="D38" i="68"/>
  <c r="F35" i="68"/>
  <c r="E35" i="68"/>
  <c r="C33" i="66"/>
  <c r="G33" i="66" s="1"/>
  <c r="D36" i="66"/>
  <c r="C36" i="66" l="1"/>
  <c r="D38" i="66" s="1"/>
  <c r="F38" i="68"/>
  <c r="E38" i="68"/>
  <c r="C35" i="68"/>
  <c r="G35" i="68" s="1"/>
  <c r="E38" i="66" l="1"/>
  <c r="F38" i="66"/>
  <c r="H26" i="37"/>
  <c r="C38" i="68"/>
  <c r="E40" i="68" l="1"/>
  <c r="J26" i="37"/>
  <c r="F53" i="38" s="1"/>
  <c r="F40" i="68"/>
  <c r="F38" i="76"/>
  <c r="F39" i="76" s="1"/>
  <c r="F41" i="76" s="1"/>
  <c r="F37" i="63" s="1"/>
  <c r="I26" i="37"/>
  <c r="C38" i="66"/>
  <c r="G38" i="66" s="1"/>
  <c r="E38" i="76"/>
  <c r="E39" i="76" s="1"/>
  <c r="H30" i="37"/>
  <c r="D78" i="38" s="1"/>
  <c r="H78" i="38" s="1"/>
  <c r="D34" i="76"/>
  <c r="D35" i="76" s="1"/>
  <c r="G35" i="76" s="1"/>
  <c r="C47" i="38" l="1"/>
  <c r="E53" i="38"/>
  <c r="C71" i="38"/>
  <c r="D41" i="76"/>
  <c r="D37" i="63" s="1"/>
  <c r="F43" i="80"/>
  <c r="J30" i="37"/>
  <c r="C40" i="68"/>
  <c r="G40" i="68" s="1"/>
  <c r="I30" i="37"/>
  <c r="E34" i="76"/>
  <c r="H39" i="76"/>
  <c r="J39" i="76" s="1"/>
  <c r="C53" i="38" l="1"/>
  <c r="C72" i="38"/>
  <c r="E78" i="38"/>
  <c r="C46" i="38"/>
  <c r="E41" i="76"/>
  <c r="E37" i="63" s="1"/>
  <c r="F39" i="78"/>
  <c r="G39" i="78" s="1"/>
  <c r="H41" i="76"/>
  <c r="F57" i="80"/>
  <c r="G57" i="80" s="1"/>
  <c r="G43" i="80"/>
  <c r="C43" i="38"/>
  <c r="K30" i="37"/>
  <c r="K26" i="37"/>
  <c r="C78" i="38" l="1"/>
  <c r="F54" i="78"/>
  <c r="G54" i="78" s="1"/>
  <c r="G55" i="78" s="1"/>
  <c r="G41" i="76"/>
  <c r="H39" i="78"/>
  <c r="H40" i="78" s="1"/>
  <c r="G40" i="78"/>
  <c r="H43" i="80"/>
  <c r="H44" i="80" s="1"/>
  <c r="G44" i="80"/>
  <c r="H57" i="80"/>
  <c r="G58" i="80"/>
  <c r="G45" i="80" s="1"/>
  <c r="C68" i="38"/>
  <c r="H54" i="78" l="1"/>
  <c r="H55" i="78" s="1"/>
  <c r="H41" i="78" s="1"/>
  <c r="H42" i="78" s="1"/>
  <c r="H44" i="78" s="1"/>
  <c r="D30" i="72" s="1"/>
  <c r="J35" i="76"/>
  <c r="J41" i="76" s="1"/>
  <c r="J42" i="76" s="1"/>
  <c r="G41" i="78"/>
  <c r="G42" i="78" s="1"/>
  <c r="G46" i="80"/>
  <c r="G47" i="80" s="1"/>
  <c r="C32" i="70" s="1"/>
  <c r="F44" i="80"/>
  <c r="F40" i="78"/>
  <c r="I57" i="80"/>
  <c r="I58" i="80" s="1"/>
  <c r="H58" i="80"/>
  <c r="H45" i="80" s="1"/>
  <c r="F45" i="80" s="1"/>
  <c r="I54" i="78" l="1"/>
  <c r="I55" i="78" s="1"/>
  <c r="F55" i="78" s="1"/>
  <c r="G44" i="78"/>
  <c r="C30" i="72" s="1"/>
  <c r="H46" i="80"/>
  <c r="H47" i="80" s="1"/>
  <c r="D32" i="70" s="1"/>
  <c r="F46" i="80"/>
  <c r="F47" i="80" s="1"/>
  <c r="F58" i="80"/>
  <c r="F41" i="78"/>
  <c r="F42" i="78" s="1"/>
  <c r="F44" i="78" s="1"/>
  <c r="C37" i="63"/>
  <c r="D39" i="63" s="1"/>
  <c r="H20" i="37" l="1"/>
  <c r="D30" i="73"/>
  <c r="D32" i="73" s="1"/>
  <c r="D32" i="72"/>
  <c r="D34" i="70"/>
  <c r="F39" i="63"/>
  <c r="E39" i="63"/>
  <c r="D42" i="63" l="1"/>
  <c r="C30" i="73"/>
  <c r="F42" i="63"/>
  <c r="J20" i="37"/>
  <c r="E42" i="63"/>
  <c r="I20" i="37"/>
  <c r="C39" i="63"/>
  <c r="G39" i="63" s="1"/>
  <c r="K20" i="37" l="1"/>
  <c r="C42" i="63"/>
  <c r="E44" i="63" s="1"/>
  <c r="C32" i="73"/>
  <c r="B32" i="73" s="1"/>
  <c r="B30" i="73"/>
  <c r="C32" i="72"/>
  <c r="B32" i="72" s="1"/>
  <c r="B30" i="72"/>
  <c r="D44" i="63" l="1"/>
  <c r="H22" i="37" s="1"/>
  <c r="D29" i="38" s="1"/>
  <c r="H29" i="38" s="1"/>
  <c r="C22" i="38"/>
  <c r="I22" i="37"/>
  <c r="E29" i="38" s="1"/>
  <c r="I29" i="38" s="1"/>
  <c r="F44" i="63"/>
  <c r="C34" i="72"/>
  <c r="C37" i="72" s="1"/>
  <c r="D102" i="38" s="1"/>
  <c r="H102" i="38" s="1"/>
  <c r="D34" i="72"/>
  <c r="B32" i="70"/>
  <c r="C34" i="70"/>
  <c r="C34" i="73" l="1"/>
  <c r="C37" i="73" s="1"/>
  <c r="D37" i="72"/>
  <c r="D34" i="73"/>
  <c r="D37" i="73" s="1"/>
  <c r="C44" i="63"/>
  <c r="G44" i="63" s="1"/>
  <c r="J22" i="37"/>
  <c r="B34" i="70"/>
  <c r="D36" i="70" s="1"/>
  <c r="B34" i="72"/>
  <c r="C19" i="38"/>
  <c r="D38" i="72" l="1"/>
  <c r="E102" i="38" s="1"/>
  <c r="I102" i="38" s="1"/>
  <c r="C23" i="38"/>
  <c r="F29" i="38"/>
  <c r="J29" i="38" s="1"/>
  <c r="C38" i="73"/>
  <c r="B34" i="73"/>
  <c r="C36" i="70"/>
  <c r="D39" i="70"/>
  <c r="D40" i="70" s="1"/>
  <c r="K22" i="37"/>
  <c r="B37" i="72"/>
  <c r="B37" i="73"/>
  <c r="C102" i="38" l="1"/>
  <c r="C29" i="38"/>
  <c r="B38" i="72"/>
  <c r="D38" i="73"/>
  <c r="B38" i="73" s="1"/>
  <c r="C39" i="70"/>
  <c r="C40" i="70" s="1"/>
  <c r="E36" i="70"/>
  <c r="B36" i="70"/>
  <c r="D90" i="38" l="1"/>
  <c r="H90" i="38" s="1"/>
  <c r="E90" i="38"/>
  <c r="I90" i="38" s="1"/>
  <c r="E39" i="70"/>
  <c r="B39" i="70"/>
  <c r="C90" i="38" l="1"/>
  <c r="E40" i="70"/>
  <c r="B40" i="70"/>
</calcChain>
</file>

<file path=xl/comments1.xml><?xml version="1.0" encoding="utf-8"?>
<comments xmlns="http://schemas.openxmlformats.org/spreadsheetml/2006/main">
  <authors>
    <author>Craig Bertholf</author>
  </authors>
  <commentList>
    <comment ref="F18" authorId="0" shapeId="0">
      <text>
        <r>
          <rPr>
            <b/>
            <sz val="8"/>
            <color indexed="81"/>
            <rFont val="Tahoma"/>
            <family val="2"/>
          </rPr>
          <t>Craig Bertholf:</t>
        </r>
        <r>
          <rPr>
            <sz val="8"/>
            <color indexed="81"/>
            <rFont val="Tahoma"/>
            <family val="2"/>
          </rPr>
          <t xml:space="preserve">
1/17/08 E-mailed Deborah asking about the status of this, assumed that this is left-over Glendale property</t>
        </r>
      </text>
    </comment>
  </commentList>
</comments>
</file>

<file path=xl/comments2.xml><?xml version="1.0" encoding="utf-8"?>
<comments xmlns="http://schemas.openxmlformats.org/spreadsheetml/2006/main">
  <authors>
    <author>rzs589</author>
  </authors>
  <commentList>
    <comment ref="G10" authorId="0" shapeId="0">
      <text>
        <r>
          <rPr>
            <b/>
            <sz val="8"/>
            <color indexed="81"/>
            <rFont val="Tahoma"/>
            <family val="2"/>
          </rPr>
          <t>This is a payment to BPA for work on their system to support the Bell Substation (Distribution Plant).  Should be directly assigned.  (Acct 303000)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5" authorId="0" shapeId="0">
      <text>
        <r>
          <rPr>
            <b/>
            <sz val="8"/>
            <color indexed="81"/>
            <rFont val="Tahoma"/>
            <family val="2"/>
          </rPr>
          <t>rzs589:</t>
        </r>
        <r>
          <rPr>
            <sz val="8"/>
            <color indexed="81"/>
            <rFont val="Tahoma"/>
            <family val="2"/>
          </rPr>
          <t xml:space="preserve">
Distribution Plant net of ARO</t>
        </r>
      </text>
    </comment>
    <comment ref="H35" authorId="0" shapeId="0">
      <text>
        <r>
          <rPr>
            <b/>
            <sz val="8"/>
            <color indexed="81"/>
            <rFont val="Tahoma"/>
            <family val="2"/>
          </rPr>
          <t>rzs589:</t>
        </r>
        <r>
          <rPr>
            <sz val="8"/>
            <color indexed="81"/>
            <rFont val="Tahoma"/>
            <family val="2"/>
          </rPr>
          <t xml:space="preserve">
Distribution Plant net of ARO</t>
        </r>
      </text>
    </comment>
  </commentList>
</comments>
</file>

<file path=xl/sharedStrings.xml><?xml version="1.0" encoding="utf-8"?>
<sst xmlns="http://schemas.openxmlformats.org/spreadsheetml/2006/main" count="825" uniqueCount="402">
  <si>
    <t>Avista Utilities</t>
  </si>
  <si>
    <t>Total</t>
  </si>
  <si>
    <t>Electric</t>
  </si>
  <si>
    <t>Gas</t>
  </si>
  <si>
    <t>Plant for 4 Factor Allocations</t>
  </si>
  <si>
    <t>Intangible Plant (1)</t>
  </si>
  <si>
    <t>Organization</t>
  </si>
  <si>
    <t>Franchises/Consents</t>
  </si>
  <si>
    <t>Steam Production Plant (1)</t>
  </si>
  <si>
    <t>Hydraulic Production Plant (1)</t>
  </si>
  <si>
    <t>Other Production Plant (1)</t>
  </si>
  <si>
    <t>Total Production Plant</t>
  </si>
  <si>
    <t>Transmission Plant (1)</t>
  </si>
  <si>
    <t>Underground Storage (1)</t>
  </si>
  <si>
    <t>Distribution Plant (1)</t>
  </si>
  <si>
    <t>General Plant, Utility 0, 1 &amp; 2 Only (2)</t>
  </si>
  <si>
    <t>Land &amp; Land Rights</t>
  </si>
  <si>
    <t>Structures &amp; Improvements</t>
  </si>
  <si>
    <t>Office Furniture/Equipment</t>
  </si>
  <si>
    <t>Transportation Equipment</t>
  </si>
  <si>
    <t>Stores Equipment</t>
  </si>
  <si>
    <t>Tools, Ship/Garage Equipment</t>
  </si>
  <si>
    <t>Laboratory Equipment</t>
  </si>
  <si>
    <t>Power Operated Equipment</t>
  </si>
  <si>
    <t>Communication Equipment</t>
  </si>
  <si>
    <t>Miscellaneous Equipment</t>
  </si>
  <si>
    <t>Mainframe Software</t>
  </si>
  <si>
    <t>PC Software</t>
  </si>
  <si>
    <t xml:space="preserve">(1) </t>
  </si>
  <si>
    <t>From X-PLT-12E ROO Reports</t>
  </si>
  <si>
    <t xml:space="preserve">(2) </t>
  </si>
  <si>
    <t>From C-GPL-12E ROO Report</t>
  </si>
  <si>
    <t xml:space="preserve">(3) </t>
  </si>
  <si>
    <t>From C-IPL-12E ROO Report</t>
  </si>
  <si>
    <t>Accumulated Depreciation/Amortization</t>
  </si>
  <si>
    <t>Leasehold Improvements</t>
  </si>
  <si>
    <t>Hydro Production Plant</t>
  </si>
  <si>
    <t>Other Production Plant</t>
  </si>
  <si>
    <t>Underground Storage</t>
  </si>
  <si>
    <t>Net Plant - Four Factor Allocations</t>
  </si>
  <si>
    <t>Common</t>
  </si>
  <si>
    <t>Electric &amp;</t>
  </si>
  <si>
    <t>All</t>
  </si>
  <si>
    <t>Gross Plant</t>
  </si>
  <si>
    <t>Production</t>
  </si>
  <si>
    <t>Transmission</t>
  </si>
  <si>
    <t>Distribution</t>
  </si>
  <si>
    <t xml:space="preserve">General </t>
  </si>
  <si>
    <t xml:space="preserve">   Total</t>
  </si>
  <si>
    <t>Accumulated Deprec &amp; Amort</t>
  </si>
  <si>
    <t>General</t>
  </si>
  <si>
    <t>Allocate common Electric and Gas</t>
  </si>
  <si>
    <t>Allocated amount</t>
  </si>
  <si>
    <t>Four Factor Allocation for Electric &amp; All Gas</t>
  </si>
  <si>
    <t>Utility</t>
  </si>
  <si>
    <t>Notes</t>
  </si>
  <si>
    <t>9</t>
  </si>
  <si>
    <t xml:space="preserve">       Total</t>
  </si>
  <si>
    <t xml:space="preserve">     Percentage</t>
  </si>
  <si>
    <t xml:space="preserve">Direct Labor </t>
  </si>
  <si>
    <t xml:space="preserve">     Washington</t>
  </si>
  <si>
    <t xml:space="preserve">     Idaho</t>
  </si>
  <si>
    <t xml:space="preserve">     Oregon</t>
  </si>
  <si>
    <t xml:space="preserve">     Amount</t>
  </si>
  <si>
    <t>Four Factor</t>
  </si>
  <si>
    <t xml:space="preserve">     Total</t>
  </si>
  <si>
    <t xml:space="preserve">     Average</t>
  </si>
  <si>
    <t>Four Factor Allocation for All Gas</t>
  </si>
  <si>
    <t>TO:</t>
  </si>
  <si>
    <t>DATE:</t>
  </si>
  <si>
    <t>FROM:</t>
  </si>
  <si>
    <t>SUBJECT:</t>
  </si>
  <si>
    <t>Description</t>
  </si>
  <si>
    <t>Code</t>
  </si>
  <si>
    <t>No. of Customers</t>
  </si>
  <si>
    <t>Net Direct Plant</t>
  </si>
  <si>
    <t>Distribution:</t>
  </si>
  <si>
    <t>Net Direct WWP Gas Plant for Jurisdictional 4-Factor Allocation</t>
  </si>
  <si>
    <t>Washington</t>
  </si>
  <si>
    <t>Idaho</t>
  </si>
  <si>
    <t>Direct</t>
  </si>
  <si>
    <t>Direct General Gas Plant (C-GPL-12E), Utility 1</t>
  </si>
  <si>
    <t>Land and Land Rights</t>
  </si>
  <si>
    <t>Structures and Improvements</t>
  </si>
  <si>
    <t>Office Furniture and Equipment</t>
  </si>
  <si>
    <t>Tools, Shop and Garage Equipment</t>
  </si>
  <si>
    <t>Communications Equipment</t>
  </si>
  <si>
    <t>General Plant, Utility 9 Only (C-GPL-12E)</t>
  </si>
  <si>
    <t>System</t>
  </si>
  <si>
    <t>9389.XX</t>
  </si>
  <si>
    <t>9390.XX</t>
  </si>
  <si>
    <t>9391.XX</t>
  </si>
  <si>
    <t>9392.XX</t>
  </si>
  <si>
    <t>9393.XX</t>
  </si>
  <si>
    <t>9394.XX</t>
  </si>
  <si>
    <t>9395.XX</t>
  </si>
  <si>
    <t>9396.XX</t>
  </si>
  <si>
    <t>9397.XX</t>
  </si>
  <si>
    <t>9398.XX</t>
  </si>
  <si>
    <t>Line</t>
  </si>
  <si>
    <t>(A)</t>
  </si>
  <si>
    <t>(B)</t>
  </si>
  <si>
    <t>(C)</t>
  </si>
  <si>
    <t>(D)</t>
  </si>
  <si>
    <t>Gross Plant (G-PLT-12E, Directly Assigned)</t>
  </si>
  <si>
    <t xml:space="preserve">     Underground Storage</t>
  </si>
  <si>
    <t xml:space="preserve">     Distribution</t>
  </si>
  <si>
    <t xml:space="preserve">        Total</t>
  </si>
  <si>
    <t>Calculation of Allocation Percentages for General Plant</t>
  </si>
  <si>
    <t xml:space="preserve">   Accumulated Depreciation</t>
  </si>
  <si>
    <t xml:space="preserve">     General (Line 4)</t>
  </si>
  <si>
    <t xml:space="preserve">     Less: 389 Land and Land rights</t>
  </si>
  <si>
    <t xml:space="preserve">     Less: 392 Transportation Equipment</t>
  </si>
  <si>
    <t xml:space="preserve">        Net</t>
  </si>
  <si>
    <t xml:space="preserve">     Non-Transportation Allocation Percentages</t>
  </si>
  <si>
    <t xml:space="preserve">     Transportation Allocation Percentages</t>
  </si>
  <si>
    <t>Accumulated Deprec &amp; Amort (G-PLT-12E)</t>
  </si>
  <si>
    <t xml:space="preserve">     Underground Storage (Direct)</t>
  </si>
  <si>
    <t xml:space="preserve">     Distribution (Direct)</t>
  </si>
  <si>
    <t xml:space="preserve">     Direct Gen Non-Transp (C-ADP-12E, Utility 1)</t>
  </si>
  <si>
    <t xml:space="preserve">     Direct General Transp (C-ADP-12E, Utility 1)</t>
  </si>
  <si>
    <t>Net Direct Plant (Line 5 - Line 20)</t>
  </si>
  <si>
    <t>Allocate WA/ID Common Gas</t>
  </si>
  <si>
    <t xml:space="preserve">     Direct General Plant Worksheet (Utility 9)</t>
  </si>
  <si>
    <t xml:space="preserve">     Allocated Plant Amount (Line 23 * Line 24)</t>
  </si>
  <si>
    <t xml:space="preserve">        Total (Line 25 - Line 26)</t>
  </si>
  <si>
    <t>Net Direct Plant For 4-factor (Line 21 + Line 27)</t>
  </si>
  <si>
    <t>Direct General Plant Worksheet (Utility 9)</t>
  </si>
  <si>
    <t>Utility Code 9 - Loc 028,038,098</t>
  </si>
  <si>
    <t>Allocate Common Electric/Gas Portion of General</t>
  </si>
  <si>
    <t xml:space="preserve">    General Plant Accum Depr (C-ADP-12E, Utility 9)</t>
  </si>
  <si>
    <t xml:space="preserve">    Genl Plt Trans Accum Depr (C-ADP-12E, Utility 9)</t>
  </si>
  <si>
    <t xml:space="preserve">    Total Plant Accumulated Depreciation (Utility 9)</t>
  </si>
  <si>
    <t>Allocated</t>
  </si>
  <si>
    <t xml:space="preserve"> </t>
  </si>
  <si>
    <t xml:space="preserve">       Net</t>
  </si>
  <si>
    <t>(2) Excludes Labor</t>
  </si>
  <si>
    <t>Net Direct Electric Plant for Jurisdictional 4-Factor Allocation</t>
  </si>
  <si>
    <t>Direct General Plant Utility (C-GPL-12E), Utility 0</t>
  </si>
  <si>
    <t>0389.XX</t>
  </si>
  <si>
    <t>0390.XX</t>
  </si>
  <si>
    <t>0391.XX</t>
  </si>
  <si>
    <t>0392.XX</t>
  </si>
  <si>
    <t>0393.XX</t>
  </si>
  <si>
    <t>0394.XX</t>
  </si>
  <si>
    <t>0395.XX</t>
  </si>
  <si>
    <t>0396.XX</t>
  </si>
  <si>
    <t>0397.XX</t>
  </si>
  <si>
    <t>0398.XX</t>
  </si>
  <si>
    <t>Gross Plant (E-PLT-12E, Directly Assigned)</t>
  </si>
  <si>
    <t xml:space="preserve">     Production</t>
  </si>
  <si>
    <t xml:space="preserve">     Transmission</t>
  </si>
  <si>
    <t xml:space="preserve">     General</t>
  </si>
  <si>
    <t>Calculation of General Plant Allocation Percentages</t>
  </si>
  <si>
    <t xml:space="preserve">     General (Line 6)</t>
  </si>
  <si>
    <t xml:space="preserve">     Non-Transportation Alloc Percentages (Line 13)</t>
  </si>
  <si>
    <t xml:space="preserve">     Transportation Allocation Percentages (Line 12)</t>
  </si>
  <si>
    <t>Accumulated Deprec &amp; Amort (E-PLT-12E)</t>
  </si>
  <si>
    <t xml:space="preserve">     Production (Direct)</t>
  </si>
  <si>
    <t xml:space="preserve">     Transmission (Direct)</t>
  </si>
  <si>
    <t xml:space="preserve">     Direct Gen Non-Transp (C-ADP-12E, Utility 0)</t>
  </si>
  <si>
    <t xml:space="preserve">     Direct General Transp (C-ADP-12E, Utility 0)</t>
  </si>
  <si>
    <t>Net Direct Plant (Line 7 - Line 23)</t>
  </si>
  <si>
    <t>Allocate WA/ID Common Electric</t>
  </si>
  <si>
    <t xml:space="preserve">     Utility 9 Four Factor Allocator For Electric</t>
  </si>
  <si>
    <t xml:space="preserve">     Allocated Plant Amount (Line 26 * Line 27)</t>
  </si>
  <si>
    <t xml:space="preserve">        Total (Line 28 - Line 29)</t>
  </si>
  <si>
    <t>Direct General Plant Worksheet (Line 26)</t>
  </si>
  <si>
    <t xml:space="preserve">     General Plant Accum Deprec (C-ADP-12E, Utility 9)</t>
  </si>
  <si>
    <t xml:space="preserve">     Genl Plant Trans Accum Depr (C-ADP-12E, Utility 9)</t>
  </si>
  <si>
    <t xml:space="preserve">     Total Accumulated Depreciation (Utility 9)</t>
  </si>
  <si>
    <t>Utility 9 Four Factor Allocator For Electric</t>
  </si>
  <si>
    <t>Oregon</t>
  </si>
  <si>
    <t>Intangible Gas Plant</t>
  </si>
  <si>
    <t>Direct Only</t>
  </si>
  <si>
    <t xml:space="preserve">     Intangible - Software (Direct)</t>
  </si>
  <si>
    <t xml:space="preserve">     Intangible Plant</t>
  </si>
  <si>
    <t>0, 1, 2</t>
  </si>
  <si>
    <t>Net Direct Plant (Line 24 + Line 30)</t>
  </si>
  <si>
    <t>(Used for</t>
  </si>
  <si>
    <t>Balancing Only)</t>
  </si>
  <si>
    <t>Electric Portion - Accum Deprec (Line 37 * Line 38)</t>
  </si>
  <si>
    <t>Old</t>
  </si>
  <si>
    <t>New</t>
  </si>
  <si>
    <t>Service</t>
  </si>
  <si>
    <t>Jurisdiction</t>
  </si>
  <si>
    <t>CD</t>
  </si>
  <si>
    <t>GD</t>
  </si>
  <si>
    <t>AA</t>
  </si>
  <si>
    <t>AN</t>
  </si>
  <si>
    <t>Interoffice Memorandum</t>
  </si>
  <si>
    <t>State and Federal Regulation</t>
  </si>
  <si>
    <t>AN/WA/ID</t>
  </si>
  <si>
    <t>Utility 7 Factors</t>
  </si>
  <si>
    <t>Utility 8 Factors</t>
  </si>
  <si>
    <t>Utility 9 Factors</t>
  </si>
  <si>
    <t>Adjustments</t>
  </si>
  <si>
    <t>Tools, Ship/Garage Equip.</t>
  </si>
  <si>
    <t>Utility Allocator for CD AA (7)</t>
  </si>
  <si>
    <t>Gas North</t>
  </si>
  <si>
    <t>CD AA</t>
  </si>
  <si>
    <t>Utility Allocator for GD AA (8)</t>
  </si>
  <si>
    <t>Utility Allocator for CD AN/ID/WA (9)</t>
  </si>
  <si>
    <t>Four Factor Allocation for Electric/Gas North</t>
  </si>
  <si>
    <t>CD AA (7)</t>
  </si>
  <si>
    <t>GD AA (8)</t>
  </si>
  <si>
    <t>CD AN/</t>
  </si>
  <si>
    <t>ID/WA (9)</t>
  </si>
  <si>
    <t>Oregon Gas</t>
  </si>
  <si>
    <t>Gas North &amp;</t>
  </si>
  <si>
    <t>(CD AN/ID/WA)</t>
  </si>
  <si>
    <t>(GD AA )</t>
  </si>
  <si>
    <t>(CD AA)</t>
  </si>
  <si>
    <t>Intangible - Software</t>
  </si>
  <si>
    <t>Intangible-Excluding Software</t>
  </si>
  <si>
    <t>Allocation % (CD AN Factor - 9)</t>
  </si>
  <si>
    <t>Allocate common Electric/Gas North</t>
  </si>
  <si>
    <t>Net Direct Plant for CD AA 4-Factor (7)</t>
  </si>
  <si>
    <t>Gas North Portion, Acc Depr (Line 34 * Line 35)</t>
  </si>
  <si>
    <t xml:space="preserve">     Utility CD AN (9) Four Factor Allocator For Gas</t>
  </si>
  <si>
    <t>Utility CD AN (9) Four Factor Allocator For Gas</t>
  </si>
  <si>
    <t>Net Direct Plant (Ending Bal. Basis)</t>
  </si>
  <si>
    <t>301XXX</t>
  </si>
  <si>
    <t>302XXX</t>
  </si>
  <si>
    <t>389XXX</t>
  </si>
  <si>
    <t>390XXX</t>
  </si>
  <si>
    <t>391XXX</t>
  </si>
  <si>
    <t>392XXX</t>
  </si>
  <si>
    <t>393XXX</t>
  </si>
  <si>
    <t>394XXX</t>
  </si>
  <si>
    <t>395XXX</t>
  </si>
  <si>
    <t>396XXX</t>
  </si>
  <si>
    <t>397XXX</t>
  </si>
  <si>
    <t>398XXX</t>
  </si>
  <si>
    <t>Gas South</t>
  </si>
  <si>
    <t>Check</t>
  </si>
  <si>
    <t>Column</t>
  </si>
  <si>
    <t>For 2005</t>
  </si>
  <si>
    <t>Original For 2006</t>
  </si>
  <si>
    <t>Revised For 2006</t>
  </si>
  <si>
    <t>For 2007</t>
  </si>
  <si>
    <t>For 2008</t>
  </si>
  <si>
    <t>Net Direct Plant After Adjustments</t>
  </si>
  <si>
    <t>For 2009</t>
  </si>
  <si>
    <t>CDA Settlement</t>
  </si>
  <si>
    <t>Jennifer McCauley (29)</t>
  </si>
  <si>
    <t>Margie Stevens (29)</t>
  </si>
  <si>
    <t>Rosemary Coulson (29)</t>
  </si>
  <si>
    <t>Cindy Healy (29)</t>
  </si>
  <si>
    <t>Ben McArthur (29)</t>
  </si>
  <si>
    <t>Adam Munson (29)</t>
  </si>
  <si>
    <t>Deborah Chambers (29)</t>
  </si>
  <si>
    <t>John Wilcox (29)</t>
  </si>
  <si>
    <t>Howard Grimsrud (29)</t>
  </si>
  <si>
    <t>Sue Mullerleile (29)</t>
  </si>
  <si>
    <t>Catherine Mueller (29)</t>
  </si>
  <si>
    <t>Kellee Quick (29)</t>
  </si>
  <si>
    <t>Jeanne Pluth (27)</t>
  </si>
  <si>
    <t>Lori Hermanson (15)</t>
  </si>
  <si>
    <t>Cameron Dunlop (7)</t>
  </si>
  <si>
    <t>Cheryl Kettner (7)</t>
  </si>
  <si>
    <t>Randi Rich (24)</t>
  </si>
  <si>
    <t>Tara Knox (27)</t>
  </si>
  <si>
    <t>Ron McKenzie, attachments (27)</t>
  </si>
  <si>
    <t>Robin Adams (39)</t>
  </si>
  <si>
    <t>Ryan Krasselt (29)</t>
  </si>
  <si>
    <t>Jeannie Schmidt (29)</t>
  </si>
  <si>
    <t>Laura Vickers (46)</t>
  </si>
  <si>
    <t>Karen Schuh (27)</t>
  </si>
  <si>
    <t>For 2010</t>
  </si>
  <si>
    <t>CDA Lake IPA Fund</t>
  </si>
  <si>
    <t>Software (111X30/31/32)</t>
  </si>
  <si>
    <t>(For Balancing</t>
  </si>
  <si>
    <t>Only)</t>
  </si>
  <si>
    <t>Intangible Plant, Software Utility (3)</t>
  </si>
  <si>
    <t>Production/Trans./Franchise/Misc</t>
  </si>
  <si>
    <t>Misc IT Intangible Plant</t>
  </si>
  <si>
    <t>General Plant (Acct 303000)</t>
  </si>
  <si>
    <t>General Plant (Acct 390200 &amp; 396200)</t>
  </si>
  <si>
    <t>Accumulated Amortization (X-AAMT)</t>
  </si>
  <si>
    <t xml:space="preserve">     Miscellaneous Intangible Plant (303000)</t>
  </si>
  <si>
    <t xml:space="preserve">     Miscellaneous Intangible Plant (303100)</t>
  </si>
  <si>
    <t>Distribution/Franchise/Misc</t>
  </si>
  <si>
    <t xml:space="preserve">     Franchises &amp; Consents Intangible Plant (302000)</t>
  </si>
  <si>
    <t xml:space="preserve">     Distribution - Franchises/Misc Intangibles (Direct)</t>
  </si>
  <si>
    <t>ED</t>
  </si>
  <si>
    <t>Non-Labor</t>
  </si>
  <si>
    <t>A&amp;G</t>
  </si>
  <si>
    <t>O&amp;M</t>
  </si>
  <si>
    <t>PS</t>
  </si>
  <si>
    <t>ID</t>
  </si>
  <si>
    <t>WA</t>
  </si>
  <si>
    <t>MT</t>
  </si>
  <si>
    <t>Labor</t>
  </si>
  <si>
    <t>GN</t>
  </si>
  <si>
    <t>GS</t>
  </si>
  <si>
    <t>AS</t>
  </si>
  <si>
    <t>OR</t>
  </si>
  <si>
    <t>ED Non-Labor</t>
  </si>
  <si>
    <t>ED Labor</t>
  </si>
  <si>
    <t>GN Non-Labor</t>
  </si>
  <si>
    <t>GN Labor</t>
  </si>
  <si>
    <t>GS Non-Labor</t>
  </si>
  <si>
    <t>GS Labor</t>
  </si>
  <si>
    <t>Reconcile:</t>
  </si>
  <si>
    <t>Diff - rounding</t>
  </si>
  <si>
    <t>Direct Non-Labor</t>
  </si>
  <si>
    <t xml:space="preserve">   O&amp;M (Accts 500-894)</t>
  </si>
  <si>
    <t xml:space="preserve">   A&amp;G - CD (Accts 901-935)</t>
  </si>
  <si>
    <t xml:space="preserve">   A&amp;G - ED &amp; GD (Accts 901-935)</t>
  </si>
  <si>
    <t>(Gas Costs, including GD AA)</t>
  </si>
  <si>
    <t>(Gas Costs, excluding GD AA)</t>
  </si>
  <si>
    <t>Factor No. 4 - Allocation for Electric</t>
  </si>
  <si>
    <t>Factor No. 4 -  Allocation for Gas North</t>
  </si>
  <si>
    <t>Jeanne Pluth</t>
  </si>
  <si>
    <t>Current Year End Customers</t>
  </si>
  <si>
    <t>Steam Production Plant</t>
  </si>
  <si>
    <t>Rounding</t>
  </si>
  <si>
    <t>X-ADEP</t>
  </si>
  <si>
    <t>X-AAMT</t>
  </si>
  <si>
    <t>Check:</t>
  </si>
  <si>
    <t>E-PLT</t>
  </si>
  <si>
    <t>G-PLT</t>
  </si>
  <si>
    <t>O-PLT</t>
  </si>
  <si>
    <t>Accum Amort Common Plant (X-ADEP-12E)</t>
  </si>
  <si>
    <t>Production Plant (X-ADEP-12E)</t>
  </si>
  <si>
    <t>Transmission Plant (X-ADEP-12E)</t>
  </si>
  <si>
    <t>Underground Storage (X-ADEP-12E)</t>
  </si>
  <si>
    <t>Distribution Plant (X-ADEP-12E)</t>
  </si>
  <si>
    <t>General Plant (X-ADEP-12E)</t>
  </si>
  <si>
    <t>(1) Excludes Resource Costs: Electric - 501, 547, 555, 557, 565 &amp; Gas 804, 805, 808, 811</t>
  </si>
  <si>
    <t>(1, 2)</t>
  </si>
  <si>
    <t>Allocation Factors</t>
  </si>
  <si>
    <t>(1) Excludes Resource Costs: Accounts 501, 547, 555 &amp; 557</t>
  </si>
  <si>
    <t>(1) Excludes Resource Costs: Accounts 804, 805, 808, 811</t>
  </si>
  <si>
    <t>Original For 2011</t>
  </si>
  <si>
    <t>Revised For 2011</t>
  </si>
  <si>
    <t>For 2012</t>
  </si>
  <si>
    <t>Allocation Percentage (GD AA - 8)</t>
  </si>
  <si>
    <t xml:space="preserve">     Allocated Accum. Depreciation Amount (Line 36)</t>
  </si>
  <si>
    <t xml:space="preserve">     Allocated Accum. Depreciation Amount (Line 39)</t>
  </si>
  <si>
    <t>If you have any questions please call me at X2204.</t>
  </si>
  <si>
    <t>For 2013</t>
  </si>
  <si>
    <t xml:space="preserve">Adam Munson </t>
  </si>
  <si>
    <t xml:space="preserve">Cheryl Kettner </t>
  </si>
  <si>
    <t xml:space="preserve">Bill Abrahamse </t>
  </si>
  <si>
    <t xml:space="preserve">Jennifer McCauley </t>
  </si>
  <si>
    <t xml:space="preserve">Catherine Mueller </t>
  </si>
  <si>
    <t xml:space="preserve">Tara Knox </t>
  </si>
  <si>
    <t xml:space="preserve">Cindy Healy </t>
  </si>
  <si>
    <t>Lori Hermanson</t>
  </si>
  <si>
    <t xml:space="preserve">Karen Schuh </t>
  </si>
  <si>
    <t xml:space="preserve">Monica Bannon </t>
  </si>
  <si>
    <t>Laura Vickers</t>
  </si>
  <si>
    <t>182324/33/81</t>
  </si>
  <si>
    <t>Frank Johnson</t>
  </si>
  <si>
    <t>Marcus Garbarino</t>
  </si>
  <si>
    <t>(Electric + Gas)</t>
  </si>
  <si>
    <t xml:space="preserve">   A&amp;G - GD (Accts 901-935)</t>
  </si>
  <si>
    <t>Dan Loutzenheiser</t>
  </si>
  <si>
    <t>For 2014</t>
  </si>
  <si>
    <t>Lauren Pendergraft</t>
  </si>
  <si>
    <t>For 2015</t>
  </si>
  <si>
    <t>For 2016</t>
  </si>
  <si>
    <t>Keri Meister</t>
  </si>
  <si>
    <t>For 2017</t>
  </si>
  <si>
    <t>PC Software - 12.5YR</t>
  </si>
  <si>
    <t>PC Software  - AMI</t>
  </si>
  <si>
    <t>Jason Boni</t>
  </si>
  <si>
    <t>Zachary Tyree</t>
  </si>
  <si>
    <t>Janessa Stromberger</t>
  </si>
  <si>
    <t>Megan Kennedy</t>
  </si>
  <si>
    <t>Karrie Wilson</t>
  </si>
  <si>
    <t>For the Twelve Months Ended December 31, 2018</t>
  </si>
  <si>
    <t>Balances at December 31, 2018</t>
  </si>
  <si>
    <t>For 2018</t>
  </si>
  <si>
    <t>Electric Factor 4</t>
  </si>
  <si>
    <t>Gas Factor 4</t>
  </si>
  <si>
    <t>Allocation Factor</t>
  </si>
  <si>
    <t>Change in Factor from Prior Year</t>
  </si>
  <si>
    <t>Carol Markson</t>
  </si>
  <si>
    <t>The following Four Factor Percentages should be used to allocate common operating costs and plant between utility services effective 1/1/2020.</t>
  </si>
  <si>
    <t>For the Twelve Months Ended December 31, 2019</t>
  </si>
  <si>
    <t>Balances at December 31, 2019</t>
  </si>
  <si>
    <t>For 2019</t>
  </si>
  <si>
    <t>AVISTA</t>
  </si>
  <si>
    <t>ALLOCATION FACTORS</t>
  </si>
  <si>
    <t>NOTES 7, 8 &amp; 9</t>
  </si>
  <si>
    <t>SERVICE ALLOCATION FACTORS</t>
  </si>
  <si>
    <t>NOTE 4 (ELECTRIC AND NATURAL GAS)</t>
  </si>
  <si>
    <t>JURISDICTION ALLOCATION FACTORS</t>
  </si>
  <si>
    <t>Joe Wright</t>
  </si>
  <si>
    <t>Rubal Gill</t>
  </si>
  <si>
    <t>Julie Lee</t>
  </si>
  <si>
    <t>Bradley Eastham</t>
  </si>
  <si>
    <t>Year End Customers at 12/31/19</t>
  </si>
  <si>
    <t>Net Direct Plant (Ending Balance at 12/31/19)</t>
  </si>
  <si>
    <t xml:space="preserve">     Miscellaneous Intangible Plant (303121)</t>
  </si>
  <si>
    <t xml:space="preserve">        Total Accumulated Depreciation &amp; Amortization</t>
  </si>
  <si>
    <t>Tiffany Adams</t>
  </si>
  <si>
    <t>Ian McLelland</t>
  </si>
  <si>
    <t>Kaylene Schultz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</si>
</sst>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43" formatCode="_(* #,##0.00_);_(* \(#,##0.00\);_(* &quot;-&quot;??_);_(@_)"/>
    <numFmt numFmtId="164" formatCode="0.000%"/>
    <numFmt numFmtId="165" formatCode="mm\/dd\/yy_)"/>
    <numFmt numFmtId="166" formatCode="0_);\(0\)"/>
    <numFmt numFmtId="167" formatCode="d/mmm/yy"/>
    <numFmt numFmtId="168" formatCode="#,##0.00000_);\(#,##0.00000\)"/>
    <numFmt numFmtId="169" formatCode="mmm\ dd\,\ yyyy"/>
    <numFmt numFmtId="170" formatCode="m/d/yy;@"/>
    <numFmt numFmtId="172" formatCode="#,##0.0000_);\(#,##0.0000\)"/>
  </numFmts>
  <fonts count="24" x14ac:knownFonts="1">
    <font>
      <sz val="10"/>
      <name val="Helv"/>
    </font>
    <font>
      <sz val="10"/>
      <color indexed="12"/>
      <name val="Helv"/>
    </font>
    <font>
      <b/>
      <sz val="10"/>
      <name val="Helv"/>
    </font>
    <font>
      <sz val="12"/>
      <name val="Helv"/>
    </font>
    <font>
      <b/>
      <sz val="14"/>
      <name val="Helv"/>
    </font>
    <font>
      <b/>
      <sz val="24"/>
      <name val="Helv"/>
    </font>
    <font>
      <b/>
      <sz val="12"/>
      <name val="Helv"/>
    </font>
    <font>
      <sz val="12"/>
      <color indexed="12"/>
      <name val="Helv"/>
    </font>
    <font>
      <sz val="10"/>
      <color indexed="8"/>
      <name val="Helv"/>
    </font>
    <font>
      <b/>
      <i/>
      <sz val="10"/>
      <name val="Helv"/>
    </font>
    <font>
      <sz val="10"/>
      <name val="Helv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indexed="10"/>
      <name val="Helv"/>
    </font>
    <font>
      <b/>
      <sz val="10"/>
      <color indexed="12"/>
      <name val="Helv"/>
    </font>
    <font>
      <sz val="10"/>
      <color rgb="FF0000CC"/>
      <name val="Helv"/>
    </font>
    <font>
      <sz val="12"/>
      <color rgb="FF0000CC"/>
      <name val="Helv"/>
    </font>
    <font>
      <sz val="9"/>
      <name val="Helv"/>
    </font>
    <font>
      <sz val="9"/>
      <color rgb="FF0000CC"/>
      <name val="Helv"/>
    </font>
    <font>
      <sz val="10"/>
      <color theme="4"/>
      <name val="Helv"/>
    </font>
    <font>
      <sz val="10"/>
      <color theme="3" tint="0.39997558519241921"/>
      <name val="Helv"/>
    </font>
    <font>
      <sz val="10"/>
      <color rgb="FF0033CC"/>
      <name val="Helv"/>
    </font>
    <font>
      <sz val="20"/>
      <name val="Helv"/>
    </font>
    <font>
      <sz val="14"/>
      <name val="Helv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39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86">
    <xf numFmtId="39" fontId="0" fillId="0" borderId="0" xfId="0"/>
    <xf numFmtId="39" fontId="0" fillId="0" borderId="0" xfId="0" applyNumberFormat="1" applyProtection="1"/>
    <xf numFmtId="39" fontId="1" fillId="0" borderId="0" xfId="0" applyNumberFormat="1" applyFont="1" applyProtection="1">
      <protection locked="0"/>
    </xf>
    <xf numFmtId="37" fontId="0" fillId="0" borderId="0" xfId="0" applyNumberFormat="1" applyProtection="1"/>
    <xf numFmtId="164" fontId="0" fillId="0" borderId="0" xfId="0" applyNumberFormat="1" applyProtection="1"/>
    <xf numFmtId="164" fontId="1" fillId="0" borderId="0" xfId="0" applyNumberFormat="1" applyFont="1" applyProtection="1">
      <protection locked="0"/>
    </xf>
    <xf numFmtId="37" fontId="1" fillId="0" borderId="0" xfId="0" applyNumberFormat="1" applyFont="1" applyProtection="1">
      <protection locked="0"/>
    </xf>
    <xf numFmtId="5" fontId="0" fillId="0" borderId="0" xfId="0" applyNumberFormat="1" applyProtection="1"/>
    <xf numFmtId="39" fontId="0" fillId="0" borderId="0" xfId="0" applyNumberFormat="1" applyAlignment="1" applyProtection="1">
      <alignment horizontal="center"/>
    </xf>
    <xf numFmtId="37" fontId="0" fillId="0" borderId="0" xfId="0" applyNumberFormat="1" applyAlignment="1" applyProtection="1">
      <alignment horizontal="center"/>
    </xf>
    <xf numFmtId="39" fontId="2" fillId="0" borderId="0" xfId="0" applyNumberFormat="1" applyFont="1" applyProtection="1"/>
    <xf numFmtId="39" fontId="1" fillId="0" borderId="0" xfId="0" applyNumberFormat="1" applyFont="1" applyProtection="1"/>
    <xf numFmtId="39" fontId="2" fillId="0" borderId="0" xfId="0" applyNumberFormat="1" applyFont="1" applyAlignment="1" applyProtection="1">
      <alignment horizontal="center"/>
    </xf>
    <xf numFmtId="39" fontId="3" fillId="0" borderId="0" xfId="0" applyNumberFormat="1" applyFont="1" applyProtection="1"/>
    <xf numFmtId="37" fontId="1" fillId="0" borderId="2" xfId="0" applyNumberFormat="1" applyFont="1" applyBorder="1" applyProtection="1">
      <protection locked="0"/>
    </xf>
    <xf numFmtId="37" fontId="0" fillId="0" borderId="3" xfId="0" applyNumberFormat="1" applyBorder="1" applyProtection="1"/>
    <xf numFmtId="37" fontId="1" fillId="0" borderId="5" xfId="0" applyNumberFormat="1" applyFont="1" applyBorder="1" applyProtection="1">
      <protection locked="0"/>
    </xf>
    <xf numFmtId="37" fontId="0" fillId="0" borderId="5" xfId="0" applyNumberFormat="1" applyBorder="1" applyProtection="1"/>
    <xf numFmtId="37" fontId="0" fillId="0" borderId="2" xfId="0" applyNumberFormat="1" applyBorder="1" applyProtection="1"/>
    <xf numFmtId="37" fontId="1" fillId="0" borderId="0" xfId="0" applyNumberFormat="1" applyFont="1" applyProtection="1"/>
    <xf numFmtId="37" fontId="1" fillId="0" borderId="3" xfId="0" applyNumberFormat="1" applyFont="1" applyBorder="1" applyProtection="1">
      <protection locked="0"/>
    </xf>
    <xf numFmtId="37" fontId="1" fillId="0" borderId="3" xfId="0" applyNumberFormat="1" applyFont="1" applyBorder="1" applyProtection="1"/>
    <xf numFmtId="37" fontId="0" fillId="0" borderId="1" xfId="0" applyNumberFormat="1" applyBorder="1" applyProtection="1"/>
    <xf numFmtId="39" fontId="0" fillId="0" borderId="6" xfId="0" applyNumberFormat="1" applyBorder="1" applyAlignment="1" applyProtection="1">
      <alignment horizontal="center"/>
    </xf>
    <xf numFmtId="39" fontId="0" fillId="0" borderId="4" xfId="0" applyNumberFormat="1" applyBorder="1" applyAlignment="1" applyProtection="1">
      <alignment horizontal="center"/>
    </xf>
    <xf numFmtId="39" fontId="0" fillId="0" borderId="7" xfId="0" applyNumberFormat="1" applyBorder="1" applyAlignment="1" applyProtection="1">
      <alignment horizontal="center"/>
    </xf>
    <xf numFmtId="5" fontId="0" fillId="0" borderId="1" xfId="0" applyNumberFormat="1" applyBorder="1" applyProtection="1"/>
    <xf numFmtId="164" fontId="1" fillId="0" borderId="0" xfId="0" applyNumberFormat="1" applyFont="1" applyProtection="1"/>
    <xf numFmtId="164" fontId="0" fillId="0" borderId="1" xfId="0" applyNumberFormat="1" applyBorder="1" applyProtection="1"/>
    <xf numFmtId="164" fontId="1" fillId="0" borderId="1" xfId="0" applyNumberFormat="1" applyFont="1" applyBorder="1" applyProtection="1"/>
    <xf numFmtId="164" fontId="0" fillId="0" borderId="3" xfId="0" applyNumberFormat="1" applyBorder="1" applyProtection="1"/>
    <xf numFmtId="164" fontId="1" fillId="0" borderId="3" xfId="0" applyNumberFormat="1" applyFont="1" applyBorder="1" applyProtection="1">
      <protection locked="0"/>
    </xf>
    <xf numFmtId="39" fontId="5" fillId="0" borderId="0" xfId="0" applyFont="1"/>
    <xf numFmtId="39" fontId="6" fillId="0" borderId="0" xfId="0" applyNumberFormat="1" applyFont="1" applyProtection="1"/>
    <xf numFmtId="39" fontId="3" fillId="0" borderId="0" xfId="0" applyFont="1"/>
    <xf numFmtId="39" fontId="6" fillId="0" borderId="0" xfId="0" applyNumberFormat="1" applyFont="1" applyAlignment="1" applyProtection="1">
      <alignment horizontal="center"/>
    </xf>
    <xf numFmtId="37" fontId="0" fillId="0" borderId="4" xfId="0" applyNumberFormat="1" applyBorder="1" applyProtection="1"/>
    <xf numFmtId="164" fontId="0" fillId="0" borderId="5" xfId="0" applyNumberFormat="1" applyBorder="1" applyProtection="1"/>
    <xf numFmtId="164" fontId="1" fillId="0" borderId="5" xfId="0" applyNumberFormat="1" applyFont="1" applyBorder="1" applyProtection="1">
      <protection locked="0"/>
    </xf>
    <xf numFmtId="164" fontId="0" fillId="0" borderId="2" xfId="0" applyNumberFormat="1" applyBorder="1" applyProtection="1"/>
    <xf numFmtId="39" fontId="0" fillId="0" borderId="8" xfId="0" applyNumberFormat="1" applyBorder="1" applyProtection="1"/>
    <xf numFmtId="39" fontId="0" fillId="0" borderId="0" xfId="0" applyNumberFormat="1" applyAlignment="1" applyProtection="1">
      <alignment horizontal="left"/>
    </xf>
    <xf numFmtId="164" fontId="8" fillId="0" borderId="0" xfId="0" applyNumberFormat="1" applyFont="1" applyProtection="1">
      <protection locked="0"/>
    </xf>
    <xf numFmtId="37" fontId="8" fillId="0" borderId="0" xfId="0" applyNumberFormat="1" applyFont="1" applyProtection="1"/>
    <xf numFmtId="39" fontId="0" fillId="0" borderId="8" xfId="0" applyBorder="1" applyAlignment="1">
      <alignment horizontal="center"/>
    </xf>
    <xf numFmtId="39" fontId="0" fillId="0" borderId="8" xfId="0" applyBorder="1"/>
    <xf numFmtId="37" fontId="1" fillId="0" borderId="8" xfId="0" applyNumberFormat="1" applyFont="1" applyBorder="1" applyProtection="1">
      <protection locked="0"/>
    </xf>
    <xf numFmtId="37" fontId="0" fillId="0" borderId="9" xfId="0" applyNumberFormat="1" applyBorder="1" applyProtection="1"/>
    <xf numFmtId="37" fontId="8" fillId="0" borderId="0" xfId="0" applyNumberFormat="1" applyFont="1" applyProtection="1">
      <protection locked="0"/>
    </xf>
    <xf numFmtId="37" fontId="8" fillId="0" borderId="1" xfId="0" applyNumberFormat="1" applyFont="1" applyBorder="1" applyProtection="1">
      <protection locked="0"/>
    </xf>
    <xf numFmtId="39" fontId="9" fillId="0" borderId="0" xfId="0" applyNumberFormat="1" applyFont="1" applyProtection="1"/>
    <xf numFmtId="37" fontId="0" fillId="0" borderId="8" xfId="0" applyNumberFormat="1" applyBorder="1" applyAlignment="1" applyProtection="1">
      <alignment horizontal="center"/>
    </xf>
    <xf numFmtId="37" fontId="1" fillId="0" borderId="8" xfId="0" applyNumberFormat="1" applyFont="1" applyBorder="1" applyProtection="1"/>
    <xf numFmtId="37" fontId="10" fillId="0" borderId="0" xfId="0" applyNumberFormat="1" applyFont="1" applyProtection="1"/>
    <xf numFmtId="37" fontId="0" fillId="0" borderId="0" xfId="0" applyNumberFormat="1"/>
    <xf numFmtId="39" fontId="2" fillId="0" borderId="0" xfId="0" applyFont="1"/>
    <xf numFmtId="167" fontId="0" fillId="0" borderId="0" xfId="0" applyNumberFormat="1" applyProtection="1"/>
    <xf numFmtId="37" fontId="3" fillId="0" borderId="12" xfId="0" applyNumberFormat="1" applyFont="1" applyBorder="1" applyAlignment="1" applyProtection="1">
      <alignment horizontal="center"/>
    </xf>
    <xf numFmtId="164" fontId="3" fillId="0" borderId="10" xfId="0" applyNumberFormat="1" applyFont="1" applyBorder="1" applyProtection="1"/>
    <xf numFmtId="39" fontId="3" fillId="0" borderId="13" xfId="0" applyFont="1" applyBorder="1"/>
    <xf numFmtId="39" fontId="3" fillId="0" borderId="0" xfId="0" applyFont="1" applyBorder="1"/>
    <xf numFmtId="39" fontId="3" fillId="0" borderId="14" xfId="0" applyFont="1" applyBorder="1"/>
    <xf numFmtId="37" fontId="3" fillId="0" borderId="13" xfId="0" applyNumberFormat="1" applyFont="1" applyBorder="1" applyAlignment="1" applyProtection="1">
      <alignment horizontal="center"/>
    </xf>
    <xf numFmtId="39" fontId="3" fillId="0" borderId="0" xfId="0" applyNumberFormat="1" applyFont="1" applyBorder="1" applyProtection="1"/>
    <xf numFmtId="164" fontId="3" fillId="0" borderId="0" xfId="0" applyNumberFormat="1" applyFont="1" applyBorder="1" applyProtection="1"/>
    <xf numFmtId="37" fontId="3" fillId="0" borderId="15" xfId="0" applyNumberFormat="1" applyFont="1" applyBorder="1" applyAlignment="1" applyProtection="1">
      <alignment horizontal="center"/>
    </xf>
    <xf numFmtId="39" fontId="3" fillId="0" borderId="11" xfId="0" applyFont="1" applyBorder="1"/>
    <xf numFmtId="164" fontId="3" fillId="0" borderId="11" xfId="0" applyNumberFormat="1" applyFont="1" applyBorder="1" applyProtection="1"/>
    <xf numFmtId="39" fontId="0" fillId="0" borderId="0" xfId="0" applyBorder="1"/>
    <xf numFmtId="37" fontId="3" fillId="0" borderId="0" xfId="0" applyNumberFormat="1" applyFont="1" applyBorder="1" applyAlignment="1" applyProtection="1">
      <alignment horizontal="center"/>
    </xf>
    <xf numFmtId="39" fontId="3" fillId="0" borderId="10" xfId="0" applyNumberFormat="1" applyFont="1" applyBorder="1" applyProtection="1"/>
    <xf numFmtId="39" fontId="10" fillId="0" borderId="0" xfId="0" applyNumberFormat="1" applyFont="1" applyProtection="1"/>
    <xf numFmtId="39" fontId="1" fillId="0" borderId="0" xfId="0" applyFont="1"/>
    <xf numFmtId="37" fontId="2" fillId="0" borderId="0" xfId="0" applyNumberFormat="1" applyFont="1" applyProtection="1"/>
    <xf numFmtId="39" fontId="10" fillId="0" borderId="0" xfId="0" applyFont="1"/>
    <xf numFmtId="39" fontId="0" fillId="0" borderId="0" xfId="0" quotePrefix="1" applyNumberFormat="1" applyProtection="1"/>
    <xf numFmtId="39" fontId="13" fillId="0" borderId="0" xfId="0" applyNumberFormat="1" applyFont="1" applyProtection="1"/>
    <xf numFmtId="164" fontId="2" fillId="0" borderId="0" xfId="0" applyNumberFormat="1" applyFont="1" applyProtection="1"/>
    <xf numFmtId="39" fontId="10" fillId="0" borderId="0" xfId="0" applyNumberFormat="1" applyFont="1" applyProtection="1">
      <protection locked="0"/>
    </xf>
    <xf numFmtId="37" fontId="3" fillId="0" borderId="10" xfId="0" applyNumberFormat="1" applyFont="1" applyBorder="1" applyAlignment="1" applyProtection="1">
      <alignment horizontal="center"/>
    </xf>
    <xf numFmtId="37" fontId="3" fillId="0" borderId="11" xfId="0" applyNumberFormat="1" applyFont="1" applyBorder="1" applyAlignment="1" applyProtection="1">
      <alignment horizontal="center"/>
    </xf>
    <xf numFmtId="39" fontId="4" fillId="0" borderId="0" xfId="0" applyNumberFormat="1" applyFont="1" applyAlignment="1" applyProtection="1">
      <alignment horizontal="left"/>
    </xf>
    <xf numFmtId="164" fontId="3" fillId="0" borderId="16" xfId="0" applyNumberFormat="1" applyFont="1" applyBorder="1" applyProtection="1"/>
    <xf numFmtId="164" fontId="3" fillId="0" borderId="14" xfId="0" applyNumberFormat="1" applyFont="1" applyBorder="1" applyProtection="1"/>
    <xf numFmtId="164" fontId="3" fillId="0" borderId="17" xfId="0" applyNumberFormat="1" applyFont="1" applyBorder="1" applyProtection="1"/>
    <xf numFmtId="169" fontId="0" fillId="0" borderId="0" xfId="0" applyNumberFormat="1" applyProtection="1"/>
    <xf numFmtId="39" fontId="14" fillId="0" borderId="0" xfId="0" applyFont="1"/>
    <xf numFmtId="169" fontId="0" fillId="0" borderId="0" xfId="0" applyNumberFormat="1" applyAlignment="1" applyProtection="1">
      <alignment horizontal="center"/>
    </xf>
    <xf numFmtId="168" fontId="0" fillId="0" borderId="0" xfId="0" applyNumberFormat="1"/>
    <xf numFmtId="39" fontId="0" fillId="0" borderId="0" xfId="0" quotePrefix="1"/>
    <xf numFmtId="37" fontId="1" fillId="0" borderId="0" xfId="0" applyNumberFormat="1" applyFont="1" applyAlignment="1" applyProtection="1">
      <alignment horizontal="center"/>
    </xf>
    <xf numFmtId="164" fontId="1" fillId="0" borderId="3" xfId="0" applyNumberFormat="1" applyFont="1" applyBorder="1" applyProtection="1"/>
    <xf numFmtId="37" fontId="13" fillId="0" borderId="0" xfId="0" applyNumberFormat="1" applyFont="1" applyProtection="1"/>
    <xf numFmtId="170" fontId="0" fillId="0" borderId="0" xfId="0" applyNumberFormat="1" applyAlignment="1" applyProtection="1">
      <alignment horizontal="center"/>
    </xf>
    <xf numFmtId="39" fontId="0" fillId="0" borderId="0" xfId="0" applyFill="1" applyBorder="1" applyAlignment="1">
      <alignment horizontal="center"/>
    </xf>
    <xf numFmtId="5" fontId="1" fillId="0" borderId="0" xfId="0" applyNumberFormat="1" applyFont="1" applyProtection="1"/>
    <xf numFmtId="39" fontId="1" fillId="0" borderId="0" xfId="0" quotePrefix="1" applyFont="1"/>
    <xf numFmtId="169" fontId="10" fillId="0" borderId="0" xfId="0" applyNumberFormat="1" applyFont="1" applyProtection="1"/>
    <xf numFmtId="39" fontId="10" fillId="0" borderId="0" xfId="0" applyNumberFormat="1" applyFont="1" applyAlignment="1" applyProtection="1">
      <alignment horizontal="center"/>
    </xf>
    <xf numFmtId="5" fontId="10" fillId="0" borderId="0" xfId="0" applyNumberFormat="1" applyFont="1" applyProtection="1"/>
    <xf numFmtId="5" fontId="10" fillId="0" borderId="1" xfId="0" applyNumberFormat="1" applyFont="1" applyBorder="1" applyProtection="1"/>
    <xf numFmtId="164" fontId="10" fillId="0" borderId="0" xfId="0" applyNumberFormat="1" applyFont="1" applyProtection="1"/>
    <xf numFmtId="37" fontId="10" fillId="0" borderId="0" xfId="0" applyNumberFormat="1" applyFont="1" applyAlignment="1" applyProtection="1">
      <alignment horizontal="center"/>
    </xf>
    <xf numFmtId="5" fontId="10" fillId="0" borderId="10" xfId="0" applyNumberFormat="1" applyFont="1" applyBorder="1" applyProtection="1"/>
    <xf numFmtId="164" fontId="10" fillId="0" borderId="1" xfId="0" applyNumberFormat="1" applyFont="1" applyBorder="1" applyProtection="1"/>
    <xf numFmtId="164" fontId="10" fillId="0" borderId="3" xfId="0" applyNumberFormat="1" applyFont="1" applyBorder="1" applyProtection="1"/>
    <xf numFmtId="170" fontId="0" fillId="0" borderId="0" xfId="0" applyNumberFormat="1" applyProtection="1"/>
    <xf numFmtId="37" fontId="0" fillId="0" borderId="0" xfId="0" applyNumberFormat="1" applyFill="1" applyProtection="1"/>
    <xf numFmtId="37" fontId="1" fillId="0" borderId="0" xfId="0" applyNumberFormat="1" applyFont="1" applyFill="1" applyProtection="1">
      <protection locked="0"/>
    </xf>
    <xf numFmtId="37" fontId="1" fillId="0" borderId="8" xfId="0" applyNumberFormat="1" applyFont="1" applyFill="1" applyBorder="1" applyProtection="1">
      <protection locked="0"/>
    </xf>
    <xf numFmtId="37" fontId="0" fillId="0" borderId="0" xfId="0" applyNumberFormat="1" applyFill="1"/>
    <xf numFmtId="39" fontId="0" fillId="0" borderId="0" xfId="0" applyFill="1"/>
    <xf numFmtId="37" fontId="0" fillId="0" borderId="0" xfId="0" applyNumberFormat="1" applyBorder="1" applyProtection="1"/>
    <xf numFmtId="37" fontId="0" fillId="0" borderId="0" xfId="0" applyNumberFormat="1" applyFill="1" applyBorder="1" applyProtection="1"/>
    <xf numFmtId="166" fontId="0" fillId="0" borderId="0" xfId="0" applyNumberFormat="1" applyAlignment="1" applyProtection="1">
      <alignment horizontal="center"/>
    </xf>
    <xf numFmtId="39" fontId="0" fillId="0" borderId="0" xfId="0" quotePrefix="1" applyAlignment="1">
      <alignment vertical="top"/>
    </xf>
    <xf numFmtId="37" fontId="15" fillId="0" borderId="0" xfId="0" applyNumberFormat="1" applyFont="1"/>
    <xf numFmtId="168" fontId="15" fillId="0" borderId="0" xfId="0" applyNumberFormat="1" applyFont="1"/>
    <xf numFmtId="37" fontId="2" fillId="0" borderId="22" xfId="0" applyNumberFormat="1" applyFont="1" applyBorder="1"/>
    <xf numFmtId="37" fontId="0" fillId="0" borderId="23" xfId="0" applyNumberFormat="1" applyBorder="1"/>
    <xf numFmtId="37" fontId="0" fillId="0" borderId="21" xfId="0" applyNumberFormat="1" applyBorder="1"/>
    <xf numFmtId="37" fontId="0" fillId="0" borderId="24" xfId="0" applyNumberFormat="1" applyBorder="1"/>
    <xf numFmtId="37" fontId="0" fillId="0" borderId="25" xfId="0" applyNumberFormat="1" applyBorder="1"/>
    <xf numFmtId="37" fontId="0" fillId="0" borderId="26" xfId="0" applyNumberFormat="1" applyBorder="1"/>
    <xf numFmtId="43" fontId="0" fillId="0" borderId="0" xfId="1" applyFont="1"/>
    <xf numFmtId="164" fontId="0" fillId="0" borderId="0" xfId="2" applyNumberFormat="1" applyFont="1"/>
    <xf numFmtId="43" fontId="0" fillId="0" borderId="0" xfId="1" applyFont="1" applyProtection="1"/>
    <xf numFmtId="39" fontId="0" fillId="0" borderId="0" xfId="0" applyAlignment="1">
      <alignment horizontal="center"/>
    </xf>
    <xf numFmtId="43" fontId="0" fillId="0" borderId="0" xfId="1" applyFont="1" applyAlignment="1" applyProtection="1">
      <alignment horizontal="center"/>
    </xf>
    <xf numFmtId="37" fontId="0" fillId="0" borderId="0" xfId="0" applyNumberFormat="1" applyFont="1" applyProtection="1">
      <protection locked="0"/>
    </xf>
    <xf numFmtId="39" fontId="0" fillId="0" borderId="0" xfId="0" applyAlignment="1">
      <alignment horizontal="center"/>
    </xf>
    <xf numFmtId="39" fontId="15" fillId="0" borderId="0" xfId="0" applyFont="1"/>
    <xf numFmtId="37" fontId="15" fillId="0" borderId="0" xfId="0" applyNumberFormat="1" applyFont="1" applyProtection="1"/>
    <xf numFmtId="39" fontId="15" fillId="0" borderId="0" xfId="0" applyNumberFormat="1" applyFont="1" applyProtection="1"/>
    <xf numFmtId="37" fontId="15" fillId="0" borderId="24" xfId="0" applyNumberFormat="1" applyFont="1" applyBorder="1"/>
    <xf numFmtId="39" fontId="10" fillId="0" borderId="0" xfId="0" applyNumberFormat="1" applyFont="1" applyFill="1" applyProtection="1"/>
    <xf numFmtId="39" fontId="10" fillId="0" borderId="0" xfId="0" applyNumberFormat="1" applyFont="1" applyFill="1" applyAlignment="1" applyProtection="1">
      <alignment horizontal="center"/>
    </xf>
    <xf numFmtId="39" fontId="0" fillId="0" borderId="0" xfId="0" applyNumberFormat="1" applyFill="1" applyProtection="1"/>
    <xf numFmtId="164" fontId="2" fillId="0" borderId="0" xfId="0" applyNumberFormat="1" applyFont="1" applyFill="1" applyProtection="1"/>
    <xf numFmtId="39" fontId="0" fillId="0" borderId="0" xfId="0" applyNumberFormat="1" applyFill="1" applyAlignment="1" applyProtection="1">
      <alignment horizontal="center"/>
    </xf>
    <xf numFmtId="37" fontId="10" fillId="0" borderId="0" xfId="0" applyNumberFormat="1" applyFont="1" applyFill="1" applyProtection="1"/>
    <xf numFmtId="37" fontId="10" fillId="0" borderId="0" xfId="0" applyNumberFormat="1" applyFont="1" applyFill="1" applyAlignment="1" applyProtection="1">
      <alignment horizontal="center"/>
    </xf>
    <xf numFmtId="164" fontId="10" fillId="0" borderId="3" xfId="0" applyNumberFormat="1" applyFont="1" applyFill="1" applyBorder="1" applyProtection="1"/>
    <xf numFmtId="164" fontId="10" fillId="0" borderId="27" xfId="0" applyNumberFormat="1" applyFont="1" applyFill="1" applyBorder="1" applyProtection="1"/>
    <xf numFmtId="168" fontId="15" fillId="0" borderId="0" xfId="0" applyNumberFormat="1" applyFont="1" applyFill="1"/>
    <xf numFmtId="39" fontId="0" fillId="0" borderId="0" xfId="0" applyFont="1"/>
    <xf numFmtId="39" fontId="6" fillId="0" borderId="0" xfId="0" applyNumberFormat="1" applyFont="1" applyAlignment="1" applyProtection="1">
      <alignment horizontal="center"/>
    </xf>
    <xf numFmtId="39" fontId="0" fillId="2" borderId="0" xfId="0" applyFill="1"/>
    <xf numFmtId="37" fontId="15" fillId="2" borderId="0" xfId="0" applyNumberFormat="1" applyFont="1" applyFill="1"/>
    <xf numFmtId="165" fontId="7" fillId="3" borderId="0" xfId="0" applyNumberFormat="1" applyFont="1" applyFill="1" applyAlignment="1" applyProtection="1">
      <alignment horizontal="center"/>
    </xf>
    <xf numFmtId="39" fontId="0" fillId="2" borderId="31" xfId="0" applyFill="1" applyBorder="1"/>
    <xf numFmtId="37" fontId="15" fillId="2" borderId="31" xfId="0" applyNumberFormat="1" applyFont="1" applyFill="1" applyBorder="1"/>
    <xf numFmtId="39" fontId="17" fillId="0" borderId="0" xfId="0" applyFont="1"/>
    <xf numFmtId="39" fontId="17" fillId="0" borderId="0" xfId="0" applyFont="1" applyBorder="1" applyAlignment="1">
      <alignment horizontal="center"/>
    </xf>
    <xf numFmtId="39" fontId="17" fillId="0" borderId="0" xfId="0" applyFont="1" applyAlignment="1">
      <alignment horizontal="center"/>
    </xf>
    <xf numFmtId="37" fontId="17" fillId="0" borderId="0" xfId="0" applyNumberFormat="1" applyFont="1"/>
    <xf numFmtId="37" fontId="18" fillId="0" borderId="0" xfId="0" applyNumberFormat="1" applyFont="1"/>
    <xf numFmtId="37" fontId="17" fillId="0" borderId="0" xfId="0" applyNumberFormat="1" applyFont="1" applyBorder="1"/>
    <xf numFmtId="37" fontId="18" fillId="0" borderId="0" xfId="0" applyNumberFormat="1" applyFont="1" applyBorder="1"/>
    <xf numFmtId="37" fontId="0" fillId="0" borderId="3" xfId="0" applyNumberFormat="1" applyFont="1" applyBorder="1" applyProtection="1">
      <protection locked="0"/>
    </xf>
    <xf numFmtId="37" fontId="19" fillId="0" borderId="0" xfId="0" applyNumberFormat="1" applyFont="1"/>
    <xf numFmtId="37" fontId="20" fillId="0" borderId="0" xfId="0" applyNumberFormat="1" applyFont="1"/>
    <xf numFmtId="39" fontId="3" fillId="0" borderId="0" xfId="0" applyFont="1" applyFill="1"/>
    <xf numFmtId="39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172" fontId="0" fillId="0" borderId="0" xfId="0" applyNumberFormat="1"/>
    <xf numFmtId="37" fontId="21" fillId="0" borderId="0" xfId="0" applyNumberFormat="1" applyFont="1" applyProtection="1"/>
    <xf numFmtId="37" fontId="21" fillId="0" borderId="0" xfId="0" applyNumberFormat="1" applyFont="1"/>
    <xf numFmtId="37" fontId="0" fillId="0" borderId="29" xfId="0" applyNumberFormat="1" applyBorder="1"/>
    <xf numFmtId="39" fontId="22" fillId="0" borderId="0" xfId="0" applyFont="1"/>
    <xf numFmtId="39" fontId="23" fillId="0" borderId="0" xfId="0" applyFont="1" applyAlignment="1">
      <alignment horizontal="center" vertical="center" wrapText="1"/>
    </xf>
    <xf numFmtId="39" fontId="22" fillId="0" borderId="0" xfId="0" applyFont="1" applyAlignment="1">
      <alignment horizontal="center"/>
    </xf>
    <xf numFmtId="39" fontId="0" fillId="0" borderId="0" xfId="0" applyFont="1" applyAlignment="1">
      <alignment wrapText="1"/>
    </xf>
    <xf numFmtId="39" fontId="0" fillId="0" borderId="18" xfId="0" applyBorder="1" applyAlignment="1">
      <alignment horizontal="center"/>
    </xf>
    <xf numFmtId="39" fontId="0" fillId="0" borderId="19" xfId="0" applyBorder="1" applyAlignment="1">
      <alignment horizontal="center"/>
    </xf>
    <xf numFmtId="39" fontId="0" fillId="0" borderId="20" xfId="0" applyBorder="1" applyAlignment="1">
      <alignment horizontal="center"/>
    </xf>
    <xf numFmtId="39" fontId="0" fillId="0" borderId="0" xfId="0" applyAlignment="1">
      <alignment horizontal="center"/>
    </xf>
    <xf numFmtId="39" fontId="6" fillId="0" borderId="0" xfId="0" applyNumberFormat="1" applyFont="1" applyAlignment="1" applyProtection="1">
      <alignment horizontal="center"/>
    </xf>
    <xf numFmtId="39" fontId="16" fillId="0" borderId="0" xfId="0" applyNumberFormat="1" applyFont="1" applyAlignment="1" applyProtection="1">
      <alignment wrapText="1"/>
    </xf>
    <xf numFmtId="39" fontId="15" fillId="0" borderId="0" xfId="0" applyFont="1" applyAlignment="1">
      <alignment wrapText="1"/>
    </xf>
    <xf numFmtId="39" fontId="0" fillId="0" borderId="28" xfId="0" applyBorder="1" applyAlignment="1">
      <alignment horizontal="center"/>
    </xf>
    <xf numFmtId="39" fontId="0" fillId="0" borderId="29" xfId="0" applyBorder="1" applyAlignment="1">
      <alignment horizontal="center"/>
    </xf>
    <xf numFmtId="39" fontId="0" fillId="0" borderId="30" xfId="0" applyBorder="1" applyAlignment="1">
      <alignment horizontal="center"/>
    </xf>
    <xf numFmtId="39" fontId="0" fillId="2" borderId="18" xfId="0" applyFill="1" applyBorder="1" applyAlignment="1">
      <alignment horizontal="center"/>
    </xf>
    <xf numFmtId="39" fontId="0" fillId="2" borderId="19" xfId="0" applyFill="1" applyBorder="1" applyAlignment="1">
      <alignment horizontal="center"/>
    </xf>
    <xf numFmtId="39" fontId="0" fillId="2" borderId="20" xfId="0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0000CC"/>
      <color rgb="FF0066CC"/>
      <color rgb="FF0033CC"/>
      <color rgb="FF3366CC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114300</xdr:colOff>
      <xdr:row>2</xdr:row>
      <xdr:rowOff>0</xdr:rowOff>
    </xdr:to>
    <xdr:pic>
      <xdr:nvPicPr>
        <xdr:cNvPr id="184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0"/>
          <a:ext cx="2076450" cy="638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0:E20"/>
  <sheetViews>
    <sheetView zoomScaleNormal="100" workbookViewId="0">
      <selection activeCell="B10" sqref="B10:E10"/>
    </sheetView>
  </sheetViews>
  <sheetFormatPr defaultRowHeight="13.2" customHeight="1" x14ac:dyDescent="0.45"/>
  <cols>
    <col min="1" max="2" width="8.88671875" style="169"/>
    <col min="3" max="3" width="46.109375" style="169" customWidth="1"/>
    <col min="4" max="16384" width="8.88671875" style="169"/>
  </cols>
  <sheetData>
    <row r="10" spans="2:5" ht="24.6" x14ac:dyDescent="0.45">
      <c r="B10" s="171" t="s">
        <v>385</v>
      </c>
      <c r="C10" s="171"/>
      <c r="D10" s="171"/>
      <c r="E10" s="171"/>
    </row>
    <row r="11" spans="2:5" ht="24.6" x14ac:dyDescent="0.45">
      <c r="B11" s="171" t="s">
        <v>386</v>
      </c>
      <c r="C11" s="171"/>
      <c r="D11" s="171"/>
      <c r="E11" s="171"/>
    </row>
    <row r="13" spans="2:5" ht="24.6" x14ac:dyDescent="0.45">
      <c r="B13" s="171" t="s">
        <v>387</v>
      </c>
      <c r="C13" s="171"/>
      <c r="D13" s="171"/>
      <c r="E13" s="171"/>
    </row>
    <row r="14" spans="2:5" ht="24.6" x14ac:dyDescent="0.45">
      <c r="B14" s="171" t="s">
        <v>388</v>
      </c>
      <c r="C14" s="171"/>
      <c r="D14" s="171"/>
      <c r="E14" s="171"/>
    </row>
    <row r="16" spans="2:5" ht="24.6" x14ac:dyDescent="0.45">
      <c r="B16" s="171" t="s">
        <v>389</v>
      </c>
      <c r="C16" s="171"/>
      <c r="D16" s="171"/>
      <c r="E16" s="171"/>
    </row>
    <row r="17" spans="2:5" ht="24.6" x14ac:dyDescent="0.45">
      <c r="B17" s="171" t="s">
        <v>390</v>
      </c>
      <c r="C17" s="171"/>
      <c r="D17" s="171"/>
      <c r="E17" s="171"/>
    </row>
    <row r="20" spans="2:5" ht="31.2" customHeight="1" x14ac:dyDescent="0.45">
      <c r="B20" s="170" t="str">
        <f>Notes!A4</f>
        <v>For the Twelve Months Ended December 31, 2019</v>
      </c>
      <c r="C20" s="170"/>
      <c r="D20" s="170"/>
      <c r="E20" s="170"/>
    </row>
  </sheetData>
  <mergeCells count="7">
    <mergeCell ref="B20:E20"/>
    <mergeCell ref="B10:E10"/>
    <mergeCell ref="B11:E11"/>
    <mergeCell ref="B13:E13"/>
    <mergeCell ref="B14:E14"/>
    <mergeCell ref="B16:E16"/>
    <mergeCell ref="B17:E17"/>
  </mergeCells>
  <pageMargins left="0.7" right="0.7" top="0.75" bottom="0.75" header="0.3" footer="0.3"/>
  <pageSetup orientation="portrait" r:id="rId1"/>
  <headerFooter>
    <oddFooter>&amp;LAvista
&amp;F&amp;RPage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FFFF00"/>
    <pageSetUpPr fitToPage="1"/>
  </sheetPr>
  <dimension ref="B1:K53"/>
  <sheetViews>
    <sheetView showZeros="0" tabSelected="1" zoomScaleNormal="100" workbookViewId="0">
      <selection activeCell="I5" sqref="I5"/>
    </sheetView>
  </sheetViews>
  <sheetFormatPr defaultRowHeight="12.6" x14ac:dyDescent="0.25"/>
  <cols>
    <col min="1" max="1" width="3.6640625" customWidth="1"/>
    <col min="2" max="2" width="13.6640625" customWidth="1"/>
    <col min="3" max="3" width="15.6640625" customWidth="1"/>
    <col min="4" max="6" width="10.6640625" customWidth="1"/>
    <col min="7" max="7" width="5.5546875" customWidth="1"/>
    <col min="8" max="8" width="13.33203125" customWidth="1"/>
    <col min="9" max="9" width="14.44140625" customWidth="1"/>
    <col min="10" max="10" width="13.33203125" customWidth="1"/>
    <col min="11" max="11" width="8.6640625" customWidth="1"/>
  </cols>
  <sheetData>
    <row r="1" spans="2:10" ht="18" x14ac:dyDescent="0.35">
      <c r="H1" s="81" t="s">
        <v>190</v>
      </c>
    </row>
    <row r="2" spans="2:10" ht="30" x14ac:dyDescent="0.5">
      <c r="B2" s="32"/>
      <c r="C2" s="32"/>
      <c r="D2" s="32"/>
      <c r="H2" s="81" t="s">
        <v>191</v>
      </c>
    </row>
    <row r="3" spans="2:10" x14ac:dyDescent="0.25">
      <c r="E3" s="1"/>
      <c r="F3" s="1"/>
      <c r="G3" s="1"/>
      <c r="H3" s="1"/>
    </row>
    <row r="4" spans="2:10" x14ac:dyDescent="0.25">
      <c r="E4" s="1"/>
      <c r="F4" s="1"/>
      <c r="G4" s="1"/>
      <c r="H4" s="1"/>
    </row>
    <row r="5" spans="2:10" ht="15.6" x14ac:dyDescent="0.3">
      <c r="B5" s="33" t="s">
        <v>68</v>
      </c>
      <c r="C5" s="13" t="s">
        <v>46</v>
      </c>
      <c r="D5" s="33"/>
      <c r="E5" s="34"/>
      <c r="H5" s="35" t="s">
        <v>69</v>
      </c>
      <c r="I5" s="149">
        <v>43853</v>
      </c>
    </row>
    <row r="6" spans="2:10" ht="15.6" x14ac:dyDescent="0.3">
      <c r="B6" s="34"/>
      <c r="C6" s="34"/>
      <c r="D6" s="34"/>
      <c r="E6" s="34"/>
      <c r="H6" s="34"/>
      <c r="I6" s="34"/>
      <c r="J6" s="34"/>
    </row>
    <row r="7" spans="2:10" ht="15.6" x14ac:dyDescent="0.3">
      <c r="B7" s="33" t="s">
        <v>70</v>
      </c>
      <c r="C7" s="13" t="s">
        <v>314</v>
      </c>
      <c r="D7" s="33"/>
      <c r="E7" s="34"/>
      <c r="H7" s="13"/>
      <c r="I7" s="13"/>
      <c r="J7" s="13"/>
    </row>
    <row r="8" spans="2:10" ht="15.6" x14ac:dyDescent="0.3">
      <c r="B8" s="34"/>
      <c r="C8" s="34"/>
      <c r="D8" s="34"/>
      <c r="E8" s="34"/>
      <c r="H8" s="34"/>
      <c r="I8" s="34"/>
      <c r="J8" s="34"/>
    </row>
    <row r="9" spans="2:10" ht="15.6" x14ac:dyDescent="0.3">
      <c r="B9" s="33" t="s">
        <v>71</v>
      </c>
      <c r="C9" s="13" t="s">
        <v>332</v>
      </c>
      <c r="D9" s="33"/>
      <c r="E9" s="34"/>
      <c r="H9" s="13"/>
      <c r="I9" s="13"/>
      <c r="J9" s="13"/>
    </row>
    <row r="10" spans="2:10" ht="15.75" customHeight="1" x14ac:dyDescent="0.3">
      <c r="B10" s="34"/>
      <c r="C10" s="34"/>
      <c r="D10" s="34"/>
      <c r="E10" s="34"/>
      <c r="F10" s="34"/>
      <c r="G10" s="34"/>
      <c r="H10" s="34"/>
      <c r="I10" s="34"/>
      <c r="J10" s="34"/>
    </row>
    <row r="11" spans="2:10" ht="15.75" customHeight="1" x14ac:dyDescent="0.25">
      <c r="B11" s="178" t="s">
        <v>381</v>
      </c>
      <c r="C11" s="179"/>
      <c r="D11" s="179"/>
      <c r="E11" s="179"/>
      <c r="F11" s="179"/>
      <c r="G11" s="179"/>
      <c r="H11" s="179"/>
      <c r="I11" s="179"/>
      <c r="J11" s="179"/>
    </row>
    <row r="12" spans="2:10" ht="15.75" customHeight="1" x14ac:dyDescent="0.25">
      <c r="B12" s="179"/>
      <c r="C12" s="179"/>
      <c r="D12" s="179"/>
      <c r="E12" s="179"/>
      <c r="F12" s="179"/>
      <c r="G12" s="179"/>
      <c r="H12" s="179"/>
      <c r="I12" s="179"/>
      <c r="J12" s="179"/>
    </row>
    <row r="13" spans="2:10" ht="15.6" x14ac:dyDescent="0.3">
      <c r="B13" s="34"/>
      <c r="C13" s="34"/>
      <c r="D13" s="34"/>
      <c r="E13" s="34"/>
      <c r="F13" s="34"/>
      <c r="G13" s="34"/>
      <c r="H13" s="34"/>
      <c r="I13" s="34"/>
      <c r="J13" s="34"/>
    </row>
    <row r="14" spans="2:10" ht="15.6" x14ac:dyDescent="0.3">
      <c r="B14" s="35" t="s">
        <v>183</v>
      </c>
      <c r="C14" s="35" t="s">
        <v>183</v>
      </c>
      <c r="D14" s="35" t="s">
        <v>182</v>
      </c>
      <c r="E14" s="177" t="s">
        <v>72</v>
      </c>
      <c r="F14" s="177"/>
      <c r="G14" s="35"/>
      <c r="H14" s="35" t="s">
        <v>2</v>
      </c>
      <c r="I14" s="35" t="s">
        <v>3</v>
      </c>
      <c r="J14" s="146" t="s">
        <v>297</v>
      </c>
    </row>
    <row r="15" spans="2:10" ht="15.6" x14ac:dyDescent="0.3">
      <c r="B15" s="35" t="s">
        <v>184</v>
      </c>
      <c r="C15" s="35" t="s">
        <v>185</v>
      </c>
      <c r="D15" s="35" t="s">
        <v>54</v>
      </c>
      <c r="E15" s="13"/>
      <c r="F15" s="13"/>
      <c r="G15" s="13"/>
      <c r="H15" s="13"/>
      <c r="I15" s="13"/>
      <c r="J15" s="35" t="s">
        <v>3</v>
      </c>
    </row>
    <row r="16" spans="2:10" ht="15.6" x14ac:dyDescent="0.3">
      <c r="B16" s="35" t="s">
        <v>73</v>
      </c>
      <c r="C16" s="35" t="s">
        <v>73</v>
      </c>
      <c r="D16" s="35" t="s">
        <v>73</v>
      </c>
      <c r="E16" s="13"/>
      <c r="F16" s="13"/>
      <c r="G16" s="13"/>
      <c r="H16" s="13"/>
      <c r="I16" s="13"/>
      <c r="J16" s="35"/>
    </row>
    <row r="17" spans="2:11" ht="15.6" x14ac:dyDescent="0.3">
      <c r="B17" s="34"/>
      <c r="C17" s="34"/>
      <c r="D17" s="34"/>
      <c r="E17" s="34"/>
      <c r="F17" s="34"/>
      <c r="G17" s="34"/>
      <c r="H17" s="34"/>
      <c r="I17" s="34"/>
      <c r="J17" s="34"/>
    </row>
    <row r="18" spans="2:11" ht="16.2" customHeight="1" x14ac:dyDescent="0.3">
      <c r="B18" s="57" t="s">
        <v>186</v>
      </c>
      <c r="C18" s="79" t="s">
        <v>188</v>
      </c>
      <c r="D18" s="79">
        <v>7</v>
      </c>
      <c r="E18" s="70" t="s">
        <v>74</v>
      </c>
      <c r="F18" s="70"/>
      <c r="G18" s="70"/>
      <c r="H18" s="58">
        <f>'7-2019'!D34</f>
        <v>0.52076</v>
      </c>
      <c r="I18" s="58">
        <f>'7-2019'!E34</f>
        <v>0.34101999999999999</v>
      </c>
      <c r="J18" s="82">
        <f>'7-2019'!F34</f>
        <v>0.13822000000000001</v>
      </c>
      <c r="K18" t="str">
        <f>IF(1-SUM(H18:J18)=0," ",1-SUM(H18:J18))</f>
        <v xml:space="preserve"> </v>
      </c>
    </row>
    <row r="19" spans="2:11" ht="15.6" x14ac:dyDescent="0.3">
      <c r="B19" s="62"/>
      <c r="C19" s="69"/>
      <c r="D19" s="69"/>
      <c r="E19" s="63"/>
      <c r="F19" s="63"/>
      <c r="G19" s="63"/>
      <c r="H19" s="64"/>
      <c r="I19" s="64"/>
      <c r="J19" s="83"/>
    </row>
    <row r="20" spans="2:11" ht="15.6" x14ac:dyDescent="0.3">
      <c r="B20" s="62" t="s">
        <v>186</v>
      </c>
      <c r="C20" s="69" t="s">
        <v>188</v>
      </c>
      <c r="D20" s="69">
        <v>7</v>
      </c>
      <c r="E20" s="60" t="s">
        <v>75</v>
      </c>
      <c r="F20" s="60"/>
      <c r="G20" s="60"/>
      <c r="H20" s="64">
        <f>'7-2019'!D39</f>
        <v>0.75220000000000009</v>
      </c>
      <c r="I20" s="64">
        <f>'7-2019'!E39</f>
        <v>0.16524</v>
      </c>
      <c r="J20" s="83">
        <f>'7-2019'!F39</f>
        <v>8.2559999999999995E-2</v>
      </c>
      <c r="K20" t="str">
        <f>IF(1-SUM(H20:J20)=0," ",1-SUM(H20:J20))</f>
        <v xml:space="preserve"> </v>
      </c>
    </row>
    <row r="21" spans="2:11" ht="15.6" x14ac:dyDescent="0.3">
      <c r="B21" s="62"/>
      <c r="C21" s="69"/>
      <c r="D21" s="69"/>
      <c r="E21" s="60"/>
      <c r="F21" s="60"/>
      <c r="G21" s="60"/>
      <c r="H21" s="64"/>
      <c r="I21" s="64"/>
      <c r="J21" s="83"/>
    </row>
    <row r="22" spans="2:11" ht="15.6" x14ac:dyDescent="0.3">
      <c r="B22" s="65" t="s">
        <v>186</v>
      </c>
      <c r="C22" s="80" t="s">
        <v>188</v>
      </c>
      <c r="D22" s="80">
        <v>7</v>
      </c>
      <c r="E22" s="66" t="s">
        <v>64</v>
      </c>
      <c r="F22" s="66"/>
      <c r="G22" s="66"/>
      <c r="H22" s="67">
        <f>ROUND('7-2019'!D44,5)</f>
        <v>0.69821999999999995</v>
      </c>
      <c r="I22" s="67">
        <f>ROUND('7-2019'!E44,5)</f>
        <v>0.20882000000000001</v>
      </c>
      <c r="J22" s="84">
        <f>ROUND('7-2019'!F44,5)</f>
        <v>9.2960000000000001E-2</v>
      </c>
      <c r="K22" t="str">
        <f>IF(1-SUM(H22:J22)=0," ",1-SUM(H22:J22))</f>
        <v xml:space="preserve"> </v>
      </c>
    </row>
    <row r="23" spans="2:11" ht="15.6" x14ac:dyDescent="0.3">
      <c r="B23" s="60"/>
      <c r="C23" s="60"/>
      <c r="D23" s="60"/>
      <c r="E23" s="60"/>
      <c r="F23" s="60"/>
      <c r="G23" s="60"/>
      <c r="H23" s="60"/>
      <c r="I23" s="60"/>
      <c r="J23" s="60"/>
    </row>
    <row r="24" spans="2:11" ht="15.6" x14ac:dyDescent="0.3">
      <c r="B24" s="57" t="s">
        <v>187</v>
      </c>
      <c r="C24" s="79" t="s">
        <v>188</v>
      </c>
      <c r="D24" s="79">
        <v>8</v>
      </c>
      <c r="E24" s="70" t="s">
        <v>74</v>
      </c>
      <c r="F24" s="70"/>
      <c r="G24" s="70"/>
      <c r="H24" s="58">
        <f>'8-2019'!D28</f>
        <v>0</v>
      </c>
      <c r="I24" s="58">
        <f>'8-2019'!E28</f>
        <v>0.71158999999999994</v>
      </c>
      <c r="J24" s="82">
        <f>'8-2019'!F28</f>
        <v>0.28841</v>
      </c>
      <c r="K24" t="str">
        <f>IF(1-SUM(H24:J24)=0," ",1-SUM(H24:J24))</f>
        <v xml:space="preserve"> </v>
      </c>
    </row>
    <row r="25" spans="2:11" ht="15.6" x14ac:dyDescent="0.3">
      <c r="B25" s="59"/>
      <c r="C25" s="60"/>
      <c r="D25" s="60"/>
      <c r="E25" s="60"/>
      <c r="F25" s="60"/>
      <c r="G25" s="60"/>
      <c r="H25" s="60"/>
      <c r="I25" s="60"/>
      <c r="J25" s="61"/>
    </row>
    <row r="26" spans="2:11" ht="15.6" x14ac:dyDescent="0.3">
      <c r="B26" s="65" t="s">
        <v>187</v>
      </c>
      <c r="C26" s="80" t="s">
        <v>188</v>
      </c>
      <c r="D26" s="80">
        <v>8</v>
      </c>
      <c r="E26" s="66" t="str">
        <f>E22</f>
        <v>Four Factor</v>
      </c>
      <c r="F26" s="66"/>
      <c r="G26" s="66"/>
      <c r="H26" s="67">
        <f>'8-2019'!D38</f>
        <v>0</v>
      </c>
      <c r="I26" s="67">
        <f>'8-2019'!E38</f>
        <v>0.69032000000000004</v>
      </c>
      <c r="J26" s="84">
        <f>'8-2019'!F38</f>
        <v>0.30968000000000001</v>
      </c>
      <c r="K26" t="str">
        <f>IF(1-SUM(H26:J26)=0," ",1-SUM(H26:J26))</f>
        <v xml:space="preserve"> </v>
      </c>
    </row>
    <row r="27" spans="2:11" x14ac:dyDescent="0.25">
      <c r="B27" s="68"/>
      <c r="C27" s="68"/>
      <c r="D27" s="68"/>
      <c r="E27" s="68"/>
      <c r="F27" s="68"/>
      <c r="G27" s="68"/>
      <c r="H27" s="68"/>
      <c r="I27" s="68"/>
      <c r="J27" s="68"/>
    </row>
    <row r="28" spans="2:11" ht="15.6" x14ac:dyDescent="0.3">
      <c r="B28" s="57" t="s">
        <v>186</v>
      </c>
      <c r="C28" s="79" t="s">
        <v>189</v>
      </c>
      <c r="D28" s="79">
        <v>9</v>
      </c>
      <c r="E28" s="70" t="s">
        <v>74</v>
      </c>
      <c r="F28" s="70"/>
      <c r="G28" s="70"/>
      <c r="H28" s="58">
        <f>'9-2019'!D30</f>
        <v>0.60428999999999999</v>
      </c>
      <c r="I28" s="58">
        <f>'9-2019'!E30</f>
        <v>0.39571000000000001</v>
      </c>
      <c r="J28" s="82">
        <f>'9-2019'!F30</f>
        <v>0</v>
      </c>
      <c r="K28" t="str">
        <f>IF(1-SUM(H28:J28)=0," ",1-SUM(H28:J28))</f>
        <v xml:space="preserve"> </v>
      </c>
    </row>
    <row r="29" spans="2:11" ht="15.6" x14ac:dyDescent="0.3">
      <c r="B29" s="62"/>
      <c r="C29" s="69"/>
      <c r="D29" s="69"/>
      <c r="E29" s="63"/>
      <c r="F29" s="63"/>
      <c r="G29" s="63"/>
      <c r="H29" s="64"/>
      <c r="I29" s="64"/>
      <c r="J29" s="83"/>
    </row>
    <row r="30" spans="2:11" ht="15.6" x14ac:dyDescent="0.3">
      <c r="B30" s="65" t="s">
        <v>186</v>
      </c>
      <c r="C30" s="80" t="s">
        <v>192</v>
      </c>
      <c r="D30" s="80">
        <v>9</v>
      </c>
      <c r="E30" s="66" t="str">
        <f>E26</f>
        <v>Four Factor</v>
      </c>
      <c r="F30" s="66"/>
      <c r="G30" s="66"/>
      <c r="H30" s="67">
        <f>ROUND('9-2019'!D40,5)</f>
        <v>0.77317999999999998</v>
      </c>
      <c r="I30" s="67">
        <f>ROUND('9-2019'!E40,5)</f>
        <v>0.22681999999999999</v>
      </c>
      <c r="J30" s="84">
        <f>ROUND('9-2019'!F40,5)</f>
        <v>0</v>
      </c>
      <c r="K30" t="str">
        <f>IF(1-SUM(H30:J30)=0," ",1-SUM(H30:J30))</f>
        <v xml:space="preserve"> </v>
      </c>
    </row>
    <row r="31" spans="2:11" ht="15.6" x14ac:dyDescent="0.3">
      <c r="B31" s="69"/>
      <c r="C31" s="69"/>
      <c r="D31" s="69"/>
      <c r="E31" s="63"/>
      <c r="F31" s="63"/>
      <c r="G31" s="63"/>
      <c r="H31" s="64"/>
      <c r="I31" s="64"/>
      <c r="J31" s="64"/>
    </row>
    <row r="32" spans="2:11" ht="15.6" x14ac:dyDescent="0.3">
      <c r="B32" s="69"/>
      <c r="C32" s="69"/>
      <c r="D32" s="69"/>
      <c r="E32" s="63"/>
      <c r="F32" s="63"/>
      <c r="G32" s="63"/>
      <c r="H32" s="64"/>
      <c r="I32" s="64"/>
      <c r="J32" s="64"/>
    </row>
    <row r="33" spans="2:10" ht="15.6" x14ac:dyDescent="0.3">
      <c r="B33" s="34" t="s">
        <v>341</v>
      </c>
      <c r="C33" s="34"/>
      <c r="D33" s="34"/>
      <c r="E33" s="34"/>
      <c r="F33" s="34"/>
      <c r="G33" s="34"/>
      <c r="H33" s="34"/>
      <c r="I33" s="34"/>
      <c r="J33" s="34"/>
    </row>
    <row r="34" spans="2:10" ht="15.6" x14ac:dyDescent="0.3">
      <c r="B34" s="34"/>
      <c r="C34" s="34"/>
      <c r="D34" s="34"/>
      <c r="E34" s="34"/>
      <c r="F34" s="34"/>
      <c r="G34" s="34"/>
      <c r="H34" s="34"/>
      <c r="I34" s="34"/>
      <c r="J34" s="34"/>
    </row>
    <row r="35" spans="2:10" ht="15.6" hidden="1" x14ac:dyDescent="0.3">
      <c r="B35" s="34" t="s">
        <v>76</v>
      </c>
      <c r="C35" s="34" t="s">
        <v>246</v>
      </c>
      <c r="E35" s="34" t="s">
        <v>252</v>
      </c>
      <c r="H35" s="34" t="s">
        <v>259</v>
      </c>
    </row>
    <row r="36" spans="2:10" ht="15.6" hidden="1" x14ac:dyDescent="0.3">
      <c r="B36" s="34"/>
      <c r="C36" s="34" t="s">
        <v>250</v>
      </c>
      <c r="D36" s="34"/>
      <c r="E36" s="34" t="s">
        <v>253</v>
      </c>
      <c r="F36" s="34"/>
      <c r="H36" s="34" t="s">
        <v>260</v>
      </c>
    </row>
    <row r="37" spans="2:10" ht="15.6" hidden="1" x14ac:dyDescent="0.3">
      <c r="B37" s="34"/>
      <c r="C37" s="34" t="s">
        <v>247</v>
      </c>
      <c r="D37" s="34"/>
      <c r="E37" s="34" t="s">
        <v>254</v>
      </c>
      <c r="F37" s="34"/>
      <c r="H37" s="34" t="s">
        <v>261</v>
      </c>
    </row>
    <row r="38" spans="2:10" ht="15.6" hidden="1" x14ac:dyDescent="0.3">
      <c r="B38" s="34"/>
      <c r="C38" s="34" t="s">
        <v>245</v>
      </c>
      <c r="D38" s="34"/>
      <c r="E38" s="34" t="s">
        <v>255</v>
      </c>
      <c r="F38" s="34"/>
      <c r="H38" s="34" t="s">
        <v>262</v>
      </c>
    </row>
    <row r="39" spans="2:10" ht="15.6" hidden="1" x14ac:dyDescent="0.3">
      <c r="B39" s="34"/>
      <c r="C39" s="34" t="s">
        <v>248</v>
      </c>
      <c r="D39" s="34"/>
      <c r="E39" s="34" t="s">
        <v>256</v>
      </c>
      <c r="F39" s="34"/>
      <c r="H39" s="34" t="s">
        <v>263</v>
      </c>
    </row>
    <row r="40" spans="2:10" ht="15.6" hidden="1" x14ac:dyDescent="0.3">
      <c r="C40" s="34" t="s">
        <v>249</v>
      </c>
      <c r="D40" s="34"/>
      <c r="E40" s="34" t="s">
        <v>257</v>
      </c>
      <c r="F40" s="34"/>
      <c r="H40" s="34" t="s">
        <v>264</v>
      </c>
    </row>
    <row r="41" spans="2:10" ht="15.6" hidden="1" x14ac:dyDescent="0.3">
      <c r="C41" s="34" t="s">
        <v>251</v>
      </c>
      <c r="E41" s="34" t="s">
        <v>258</v>
      </c>
      <c r="H41" s="34" t="s">
        <v>265</v>
      </c>
    </row>
    <row r="42" spans="2:10" ht="15.6" hidden="1" x14ac:dyDescent="0.3">
      <c r="C42" s="34" t="s">
        <v>266</v>
      </c>
      <c r="E42" s="34" t="s">
        <v>267</v>
      </c>
      <c r="H42" s="34" t="s">
        <v>268</v>
      </c>
    </row>
    <row r="43" spans="2:10" ht="15.6" x14ac:dyDescent="0.3">
      <c r="B43" s="34" t="s">
        <v>76</v>
      </c>
      <c r="C43" s="34" t="s">
        <v>353</v>
      </c>
      <c r="E43" s="34" t="s">
        <v>400</v>
      </c>
      <c r="H43" s="162" t="s">
        <v>371</v>
      </c>
    </row>
    <row r="44" spans="2:10" ht="15.6" x14ac:dyDescent="0.3">
      <c r="B44" s="34"/>
      <c r="C44" s="34" t="s">
        <v>343</v>
      </c>
      <c r="D44" s="34"/>
      <c r="E44" s="162" t="s">
        <v>370</v>
      </c>
      <c r="F44" s="34"/>
      <c r="H44" s="34" t="s">
        <v>344</v>
      </c>
    </row>
    <row r="45" spans="2:10" ht="15.6" x14ac:dyDescent="0.3">
      <c r="B45" s="34"/>
      <c r="C45" s="34" t="s">
        <v>392</v>
      </c>
      <c r="D45" s="34"/>
      <c r="E45" s="34" t="s">
        <v>345</v>
      </c>
      <c r="F45" s="34"/>
      <c r="H45" s="34" t="s">
        <v>348</v>
      </c>
    </row>
    <row r="46" spans="2:10" ht="15.6" x14ac:dyDescent="0.3">
      <c r="B46" s="34"/>
      <c r="C46" s="34" t="s">
        <v>346</v>
      </c>
      <c r="D46" s="34"/>
      <c r="E46" s="34" t="s">
        <v>347</v>
      </c>
      <c r="F46" s="34"/>
      <c r="H46" s="34" t="s">
        <v>361</v>
      </c>
    </row>
    <row r="47" spans="2:10" ht="15.6" x14ac:dyDescent="0.3">
      <c r="B47" s="34"/>
      <c r="C47" s="34" t="s">
        <v>349</v>
      </c>
      <c r="D47" s="34"/>
      <c r="E47" s="162" t="s">
        <v>368</v>
      </c>
      <c r="F47" s="34"/>
      <c r="H47" s="34" t="s">
        <v>351</v>
      </c>
    </row>
    <row r="48" spans="2:10" ht="15.6" x14ac:dyDescent="0.3">
      <c r="C48" s="162" t="s">
        <v>369</v>
      </c>
      <c r="D48" s="34"/>
      <c r="E48" s="34" t="s">
        <v>391</v>
      </c>
      <c r="F48" s="34"/>
      <c r="H48" s="34" t="s">
        <v>355</v>
      </c>
    </row>
    <row r="49" spans="3:8" ht="15.6" x14ac:dyDescent="0.3">
      <c r="C49" s="34" t="s">
        <v>399</v>
      </c>
      <c r="E49" s="34" t="s">
        <v>350</v>
      </c>
      <c r="H49" s="34" t="s">
        <v>356</v>
      </c>
    </row>
    <row r="50" spans="3:8" ht="15.6" x14ac:dyDescent="0.3">
      <c r="C50" s="34" t="s">
        <v>352</v>
      </c>
      <c r="E50" s="34" t="s">
        <v>359</v>
      </c>
      <c r="H50" s="34" t="s">
        <v>393</v>
      </c>
    </row>
    <row r="51" spans="3:8" ht="15.6" x14ac:dyDescent="0.3">
      <c r="C51" s="34" t="s">
        <v>372</v>
      </c>
      <c r="E51" s="34" t="s">
        <v>364</v>
      </c>
      <c r="H51" s="34" t="s">
        <v>401</v>
      </c>
    </row>
    <row r="52" spans="3:8" ht="15.6" x14ac:dyDescent="0.3">
      <c r="C52" s="34" t="s">
        <v>380</v>
      </c>
      <c r="E52" s="34" t="s">
        <v>394</v>
      </c>
    </row>
    <row r="53" spans="3:8" ht="15.6" x14ac:dyDescent="0.3">
      <c r="C53" s="34"/>
    </row>
  </sheetData>
  <mergeCells count="2">
    <mergeCell ref="E14:F14"/>
    <mergeCell ref="B11:J12"/>
  </mergeCells>
  <phoneticPr fontId="0" type="noConversion"/>
  <pageMargins left="0.45" right="0.45" top="0.75" bottom="0.75" header="0.3" footer="0.3"/>
  <pageSetup scale="88" orientation="portrait" r:id="rId1"/>
  <headerFooter>
    <oddFooter>&amp;L&amp;F
&amp;A&amp;RPrepared By: Jeanne Pluth
Date: January 22, 2019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40"/>
  <sheetViews>
    <sheetView showZeros="0" showOutlineSymbols="0" zoomScaleNormal="100" workbookViewId="0">
      <pane xSplit="3" ySplit="10" topLeftCell="D11" activePane="bottomRight" state="frozen"/>
      <selection activeCell="D5" sqref="D5"/>
      <selection pane="topRight" activeCell="D5" sqref="D5"/>
      <selection pane="bottomLeft" activeCell="D5" sqref="D5"/>
      <selection pane="bottomRight" activeCell="D5" sqref="D5"/>
    </sheetView>
  </sheetViews>
  <sheetFormatPr defaultColWidth="9.6640625" defaultRowHeight="12.6" x14ac:dyDescent="0.25"/>
  <cols>
    <col min="1" max="1" width="8.6640625" customWidth="1"/>
    <col min="2" max="2" width="15.6640625" customWidth="1"/>
    <col min="3" max="3" width="16.6640625" customWidth="1"/>
    <col min="4" max="5" width="12.6640625" customWidth="1"/>
    <col min="6" max="6" width="10.6640625" bestFit="1" customWidth="1"/>
    <col min="7" max="7" width="13.5546875" bestFit="1" customWidth="1"/>
    <col min="8" max="8" width="12.6640625" customWidth="1"/>
  </cols>
  <sheetData>
    <row r="1" spans="1:8" x14ac:dyDescent="0.25">
      <c r="A1" s="1" t="str">
        <f>Notes!A1</f>
        <v>Avista Utilities</v>
      </c>
      <c r="B1" s="1"/>
      <c r="C1" s="1"/>
      <c r="D1" s="1"/>
      <c r="E1" s="1"/>
      <c r="F1" s="1"/>
      <c r="G1" s="93"/>
    </row>
    <row r="2" spans="1:8" x14ac:dyDescent="0.25">
      <c r="A2" s="1" t="s">
        <v>77</v>
      </c>
      <c r="B2" s="1"/>
      <c r="C2" s="1"/>
      <c r="D2" s="1"/>
      <c r="E2" s="1"/>
      <c r="F2" s="1"/>
    </row>
    <row r="3" spans="1:8" x14ac:dyDescent="0.25">
      <c r="A3" s="1" t="str">
        <f>Notes!A5</f>
        <v>Balances at December 31, 2019</v>
      </c>
      <c r="B3" s="1"/>
      <c r="C3" s="1"/>
      <c r="D3" s="1"/>
      <c r="E3" s="1"/>
      <c r="F3" s="1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1"/>
      <c r="B5" s="1"/>
      <c r="C5" s="1"/>
      <c r="D5" s="1"/>
      <c r="E5" s="1"/>
      <c r="F5" s="1"/>
    </row>
    <row r="6" spans="1:8" x14ac:dyDescent="0.25">
      <c r="A6" s="1"/>
      <c r="B6" s="1"/>
      <c r="C6" s="1"/>
      <c r="D6" s="1"/>
      <c r="E6" s="1"/>
      <c r="F6" s="1"/>
    </row>
    <row r="7" spans="1:8" x14ac:dyDescent="0.25">
      <c r="A7" s="1"/>
      <c r="B7" s="1"/>
      <c r="C7" s="1"/>
      <c r="D7" s="1"/>
      <c r="E7" s="1"/>
      <c r="F7" s="1"/>
    </row>
    <row r="8" spans="1:8" x14ac:dyDescent="0.25">
      <c r="A8" s="1"/>
      <c r="B8" s="1"/>
      <c r="C8" s="1"/>
      <c r="D8" s="8" t="s">
        <v>199</v>
      </c>
      <c r="E8" s="8" t="s">
        <v>78</v>
      </c>
      <c r="F8" s="8" t="s">
        <v>79</v>
      </c>
      <c r="G8" s="44" t="s">
        <v>133</v>
      </c>
      <c r="H8" s="130" t="s">
        <v>235</v>
      </c>
    </row>
    <row r="9" spans="1:8" x14ac:dyDescent="0.25">
      <c r="A9" s="1"/>
      <c r="B9" s="1"/>
      <c r="C9" s="1"/>
      <c r="D9" s="12" t="s">
        <v>174</v>
      </c>
      <c r="E9" s="8" t="s">
        <v>3</v>
      </c>
      <c r="F9" s="8" t="s">
        <v>3</v>
      </c>
      <c r="G9" s="44" t="s">
        <v>272</v>
      </c>
      <c r="H9" s="94" t="s">
        <v>236</v>
      </c>
    </row>
    <row r="10" spans="1:8" x14ac:dyDescent="0.25">
      <c r="A10" s="1"/>
      <c r="B10" s="1"/>
      <c r="C10" s="1"/>
      <c r="D10" s="8" t="s">
        <v>1</v>
      </c>
      <c r="E10" s="8" t="s">
        <v>80</v>
      </c>
      <c r="F10" s="8" t="s">
        <v>80</v>
      </c>
      <c r="G10" s="44" t="s">
        <v>273</v>
      </c>
    </row>
    <row r="11" spans="1:8" x14ac:dyDescent="0.25">
      <c r="A11" s="1" t="s">
        <v>81</v>
      </c>
      <c r="B11" s="1"/>
      <c r="C11" s="1"/>
      <c r="D11" s="1"/>
      <c r="E11" s="1"/>
      <c r="F11" s="1"/>
      <c r="G11" s="45"/>
      <c r="H11" s="54"/>
    </row>
    <row r="12" spans="1:8" x14ac:dyDescent="0.25">
      <c r="G12" s="45"/>
      <c r="H12" s="54"/>
    </row>
    <row r="13" spans="1:8" x14ac:dyDescent="0.25">
      <c r="A13" s="1" t="s">
        <v>224</v>
      </c>
      <c r="B13" s="1" t="s">
        <v>82</v>
      </c>
      <c r="C13" s="1"/>
      <c r="D13" s="3">
        <f t="shared" ref="D13:D22" si="0">E13+F13</f>
        <v>3073284</v>
      </c>
      <c r="E13" s="6">
        <v>3073284</v>
      </c>
      <c r="F13" s="6"/>
      <c r="G13" s="45"/>
      <c r="H13" s="54">
        <f>SUM(E13:G13)-'UtilityPlt-2019'!E29</f>
        <v>0</v>
      </c>
    </row>
    <row r="14" spans="1:8" x14ac:dyDescent="0.25">
      <c r="A14" s="1" t="s">
        <v>225</v>
      </c>
      <c r="B14" s="1" t="s">
        <v>83</v>
      </c>
      <c r="C14" s="1"/>
      <c r="D14" s="3">
        <f t="shared" si="0"/>
        <v>25915950</v>
      </c>
      <c r="E14" s="6">
        <v>25915950</v>
      </c>
      <c r="F14" s="6"/>
      <c r="G14" s="46"/>
      <c r="H14" s="54">
        <f>SUM(E14:G14)-'UtilityPlt-2019'!E30</f>
        <v>0</v>
      </c>
    </row>
    <row r="15" spans="1:8" x14ac:dyDescent="0.25">
      <c r="A15" s="1" t="s">
        <v>226</v>
      </c>
      <c r="B15" s="1" t="s">
        <v>84</v>
      </c>
      <c r="C15" s="1"/>
      <c r="D15" s="3">
        <f t="shared" si="0"/>
        <v>1016221</v>
      </c>
      <c r="E15" s="6">
        <v>1016221</v>
      </c>
      <c r="F15" s="6">
        <v>0</v>
      </c>
      <c r="G15" s="46">
        <v>0</v>
      </c>
      <c r="H15" s="54">
        <f>SUM(E15:G15)-'UtilityPlt-2019'!E31</f>
        <v>0</v>
      </c>
    </row>
    <row r="16" spans="1:8" x14ac:dyDescent="0.25">
      <c r="A16" s="1" t="s">
        <v>227</v>
      </c>
      <c r="B16" s="1" t="s">
        <v>19</v>
      </c>
      <c r="C16" s="1"/>
      <c r="D16" s="3">
        <f t="shared" si="0"/>
        <v>11902269</v>
      </c>
      <c r="E16" s="6">
        <v>9284653</v>
      </c>
      <c r="F16" s="6">
        <v>2617616</v>
      </c>
      <c r="G16" s="46">
        <v>1907280</v>
      </c>
      <c r="H16" s="54">
        <f>SUM(E16:G16)-'UtilityPlt-2019'!E32</f>
        <v>0</v>
      </c>
    </row>
    <row r="17" spans="1:8" x14ac:dyDescent="0.25">
      <c r="A17" s="1" t="s">
        <v>228</v>
      </c>
      <c r="B17" s="1" t="s">
        <v>20</v>
      </c>
      <c r="C17" s="1"/>
      <c r="D17" s="3">
        <f t="shared" si="0"/>
        <v>88160</v>
      </c>
      <c r="E17" s="6">
        <v>88160</v>
      </c>
      <c r="F17" s="6"/>
      <c r="G17" s="46"/>
      <c r="H17" s="54">
        <f>SUM(E17:G17)-'UtilityPlt-2019'!E33</f>
        <v>0</v>
      </c>
    </row>
    <row r="18" spans="1:8" x14ac:dyDescent="0.25">
      <c r="A18" s="1" t="s">
        <v>229</v>
      </c>
      <c r="B18" s="1" t="s">
        <v>85</v>
      </c>
      <c r="C18" s="1"/>
      <c r="D18" s="3">
        <f t="shared" si="0"/>
        <v>2288795</v>
      </c>
      <c r="E18" s="6">
        <v>1983689</v>
      </c>
      <c r="F18" s="6">
        <v>305106</v>
      </c>
      <c r="G18" s="46">
        <v>532828</v>
      </c>
      <c r="H18" s="54">
        <f>SUM(E18:G18)-'UtilityPlt-2019'!E34</f>
        <v>0</v>
      </c>
    </row>
    <row r="19" spans="1:8" x14ac:dyDescent="0.25">
      <c r="A19" s="1" t="s">
        <v>230</v>
      </c>
      <c r="B19" s="1" t="s">
        <v>22</v>
      </c>
      <c r="C19" s="1"/>
      <c r="D19" s="3">
        <f t="shared" si="0"/>
        <v>64589</v>
      </c>
      <c r="E19" s="6">
        <v>64589</v>
      </c>
      <c r="F19" s="6">
        <v>0</v>
      </c>
      <c r="G19" s="46">
        <v>94917</v>
      </c>
      <c r="H19" s="54">
        <f>SUM(E19:G19)-'UtilityPlt-2019'!E35</f>
        <v>0</v>
      </c>
    </row>
    <row r="20" spans="1:8" x14ac:dyDescent="0.25">
      <c r="A20" s="1" t="s">
        <v>231</v>
      </c>
      <c r="B20" s="1" t="s">
        <v>23</v>
      </c>
      <c r="C20" s="1"/>
      <c r="D20" s="3">
        <f t="shared" si="0"/>
        <v>3335566</v>
      </c>
      <c r="E20" s="6">
        <v>2487881</v>
      </c>
      <c r="F20" s="6">
        <v>847685</v>
      </c>
      <c r="G20" s="46">
        <v>820589</v>
      </c>
      <c r="H20" s="54">
        <f>SUM(E20:G20)-'UtilityPlt-2019'!E36</f>
        <v>0</v>
      </c>
    </row>
    <row r="21" spans="1:8" x14ac:dyDescent="0.25">
      <c r="A21" s="1" t="s">
        <v>232</v>
      </c>
      <c r="B21" s="1" t="s">
        <v>86</v>
      </c>
      <c r="C21" s="1"/>
      <c r="D21" s="3">
        <f t="shared" si="0"/>
        <v>1080636</v>
      </c>
      <c r="E21" s="6">
        <v>797596</v>
      </c>
      <c r="F21" s="6">
        <v>283040</v>
      </c>
      <c r="G21" s="46">
        <v>1953</v>
      </c>
      <c r="H21" s="54">
        <f>SUM(E21:G21)-'UtilityPlt-2019'!E37</f>
        <v>0</v>
      </c>
    </row>
    <row r="22" spans="1:8" x14ac:dyDescent="0.25">
      <c r="A22" s="1" t="s">
        <v>233</v>
      </c>
      <c r="B22" s="1" t="s">
        <v>25</v>
      </c>
      <c r="C22" s="1"/>
      <c r="D22" s="107">
        <f t="shared" si="0"/>
        <v>0</v>
      </c>
      <c r="E22" s="108"/>
      <c r="F22" s="108"/>
      <c r="G22" s="109">
        <v>0</v>
      </c>
      <c r="H22" s="110">
        <f>SUM(E22:G22)-'UtilityPlt-2019'!E38</f>
        <v>0</v>
      </c>
    </row>
    <row r="23" spans="1:8" ht="13.2" thickBot="1" x14ac:dyDescent="0.3">
      <c r="A23" s="1"/>
      <c r="B23" s="8" t="s">
        <v>1</v>
      </c>
      <c r="C23" s="1"/>
      <c r="D23" s="15">
        <f>SUM(D13:D22)</f>
        <v>48765470</v>
      </c>
      <c r="E23" s="15">
        <f>SUM(E13:E22)</f>
        <v>44712023</v>
      </c>
      <c r="F23" s="15">
        <f>SUM(F13:F22)</f>
        <v>4053447</v>
      </c>
      <c r="G23" s="47">
        <f>SUM(G13:G22)</f>
        <v>3357567</v>
      </c>
      <c r="H23" s="54">
        <f>SUM(E23:G23)-'UtilityPlt-2019'!E39</f>
        <v>0</v>
      </c>
    </row>
    <row r="24" spans="1:8" ht="13.2" thickTop="1" x14ac:dyDescent="0.25">
      <c r="A24" s="1"/>
      <c r="B24" s="1"/>
      <c r="C24" s="1"/>
      <c r="D24">
        <f>+G23+D23-'UtilityPlt-2019'!E39</f>
        <v>0</v>
      </c>
      <c r="E24" s="1"/>
      <c r="F24" s="1"/>
      <c r="H24" s="54"/>
    </row>
    <row r="25" spans="1:8" x14ac:dyDescent="0.25">
      <c r="E25" s="180" t="s">
        <v>357</v>
      </c>
      <c r="F25" s="181"/>
      <c r="G25" s="182"/>
      <c r="H25" s="54"/>
    </row>
    <row r="26" spans="1:8" x14ac:dyDescent="0.25">
      <c r="A26" s="1"/>
      <c r="B26" s="1"/>
      <c r="C26" s="1"/>
      <c r="D26" s="12" t="s">
        <v>88</v>
      </c>
      <c r="E26" s="9" t="s">
        <v>78</v>
      </c>
      <c r="F26" s="9" t="s">
        <v>79</v>
      </c>
      <c r="G26" s="9" t="s">
        <v>40</v>
      </c>
      <c r="H26" s="54"/>
    </row>
    <row r="27" spans="1:8" x14ac:dyDescent="0.25">
      <c r="A27" s="1" t="s">
        <v>87</v>
      </c>
      <c r="B27" s="1"/>
      <c r="C27" s="1"/>
      <c r="D27" s="9" t="s">
        <v>1</v>
      </c>
      <c r="E27" s="8" t="s">
        <v>80</v>
      </c>
      <c r="F27" s="8" t="s">
        <v>80</v>
      </c>
      <c r="G27" s="1"/>
      <c r="H27" s="54"/>
    </row>
    <row r="28" spans="1:8" x14ac:dyDescent="0.25">
      <c r="H28" s="54"/>
    </row>
    <row r="29" spans="1:8" x14ac:dyDescent="0.25">
      <c r="A29" s="1" t="s">
        <v>89</v>
      </c>
      <c r="B29" s="1" t="s">
        <v>16</v>
      </c>
      <c r="C29" s="1"/>
      <c r="D29" s="3">
        <f t="shared" ref="D29:D38" si="1">SUM(E29:G29)</f>
        <v>1990400</v>
      </c>
      <c r="E29" s="6">
        <f>691322+196434</f>
        <v>887756</v>
      </c>
      <c r="F29" s="6">
        <f>340480+96745</f>
        <v>437225</v>
      </c>
      <c r="G29" s="6">
        <f>518182+147237</f>
        <v>665419</v>
      </c>
      <c r="H29" s="54">
        <f>+D29-'UtilityPlt-2019'!I29</f>
        <v>0</v>
      </c>
    </row>
    <row r="30" spans="1:8" x14ac:dyDescent="0.25">
      <c r="A30" s="1" t="s">
        <v>90</v>
      </c>
      <c r="B30" s="1" t="s">
        <v>17</v>
      </c>
      <c r="C30" s="1"/>
      <c r="D30" s="3">
        <f t="shared" si="1"/>
        <v>30170599</v>
      </c>
      <c r="E30" s="6">
        <f>9440018+2682307</f>
        <v>12122325</v>
      </c>
      <c r="F30" s="6">
        <f>5746909+1632939</f>
        <v>7379848</v>
      </c>
      <c r="G30" s="6">
        <f>8307823+2360603</f>
        <v>10668426</v>
      </c>
      <c r="H30" s="54">
        <f>+D30-'UtilityPlt-2019'!I30</f>
        <v>0</v>
      </c>
    </row>
    <row r="31" spans="1:8" x14ac:dyDescent="0.25">
      <c r="A31" s="1" t="s">
        <v>91</v>
      </c>
      <c r="B31" s="1" t="s">
        <v>18</v>
      </c>
      <c r="C31" s="1"/>
      <c r="D31" s="3">
        <f t="shared" si="1"/>
        <v>5998052</v>
      </c>
      <c r="E31" s="6">
        <f>4431611+1259207</f>
        <v>5690818</v>
      </c>
      <c r="F31" s="6">
        <f>17029+4839</f>
        <v>21868</v>
      </c>
      <c r="G31" s="6">
        <f>222223+63143</f>
        <v>285366</v>
      </c>
      <c r="H31" s="54">
        <f>+D31-'UtilityPlt-2019'!I31</f>
        <v>0</v>
      </c>
    </row>
    <row r="32" spans="1:8" x14ac:dyDescent="0.25">
      <c r="A32" s="1" t="s">
        <v>92</v>
      </c>
      <c r="B32" s="1" t="s">
        <v>19</v>
      </c>
      <c r="C32" s="1"/>
      <c r="D32" s="3">
        <f t="shared" si="1"/>
        <v>6917623</v>
      </c>
      <c r="E32" s="6">
        <f>1918105+545015</f>
        <v>2463120</v>
      </c>
      <c r="F32" s="6">
        <f>844448+239943</f>
        <v>1084391</v>
      </c>
      <c r="G32" s="6">
        <f>2624407+745705</f>
        <v>3370112</v>
      </c>
      <c r="H32" s="54">
        <f>+D32-'UtilityPlt-2019'!I32</f>
        <v>0</v>
      </c>
    </row>
    <row r="33" spans="1:8" x14ac:dyDescent="0.25">
      <c r="A33" s="1" t="s">
        <v>93</v>
      </c>
      <c r="B33" s="1" t="s">
        <v>20</v>
      </c>
      <c r="C33" s="1"/>
      <c r="D33" s="3">
        <f t="shared" si="1"/>
        <v>4910771</v>
      </c>
      <c r="E33" s="6">
        <f>255223+72520</f>
        <v>327743</v>
      </c>
      <c r="F33" s="6">
        <f>174826+49675</f>
        <v>224501</v>
      </c>
      <c r="G33" s="6">
        <f>3394116+964411</f>
        <v>4358527</v>
      </c>
      <c r="H33" s="54">
        <f>+D33-'UtilityPlt-2019'!I33</f>
        <v>0</v>
      </c>
    </row>
    <row r="34" spans="1:8" x14ac:dyDescent="0.25">
      <c r="A34" s="1" t="s">
        <v>94</v>
      </c>
      <c r="B34" s="1" t="s">
        <v>21</v>
      </c>
      <c r="C34" s="1"/>
      <c r="D34" s="3">
        <f t="shared" si="1"/>
        <v>1365613</v>
      </c>
      <c r="E34" s="6">
        <f>9259+2631</f>
        <v>11890</v>
      </c>
      <c r="F34" s="6">
        <f>749341+212919</f>
        <v>962260</v>
      </c>
      <c r="G34" s="6">
        <f>304844+86619</f>
        <v>391463</v>
      </c>
      <c r="H34" s="54">
        <f>+D34-'UtilityPlt-2019'!I34</f>
        <v>0</v>
      </c>
    </row>
    <row r="35" spans="1:8" x14ac:dyDescent="0.25">
      <c r="A35" s="1" t="s">
        <v>95</v>
      </c>
      <c r="B35" s="1" t="s">
        <v>22</v>
      </c>
      <c r="C35" s="1"/>
      <c r="D35" s="3">
        <f t="shared" si="1"/>
        <v>0</v>
      </c>
      <c r="E35" s="6">
        <v>0</v>
      </c>
      <c r="F35" s="6">
        <v>0</v>
      </c>
      <c r="G35" s="6">
        <v>0</v>
      </c>
      <c r="H35" s="54">
        <f>+D35-'UtilityPlt-2019'!I35</f>
        <v>0</v>
      </c>
    </row>
    <row r="36" spans="1:8" x14ac:dyDescent="0.25">
      <c r="A36" s="1" t="s">
        <v>96</v>
      </c>
      <c r="B36" s="1" t="s">
        <v>23</v>
      </c>
      <c r="C36" s="1"/>
      <c r="D36" s="3">
        <f t="shared" si="1"/>
        <v>1498246</v>
      </c>
      <c r="E36" s="6">
        <f>252374+71710</f>
        <v>324084</v>
      </c>
      <c r="F36" s="6">
        <f>410182+116550</f>
        <v>526732</v>
      </c>
      <c r="G36" s="6">
        <f>504173+143257</f>
        <v>647430</v>
      </c>
      <c r="H36" s="54">
        <f>+D36-'UtilityPlt-2019'!I36</f>
        <v>0</v>
      </c>
    </row>
    <row r="37" spans="1:8" x14ac:dyDescent="0.25">
      <c r="A37" s="1" t="s">
        <v>97</v>
      </c>
      <c r="B37" s="1" t="s">
        <v>24</v>
      </c>
      <c r="C37" s="1"/>
      <c r="D37" s="3">
        <f t="shared" si="1"/>
        <v>15287620</v>
      </c>
      <c r="E37" s="6">
        <f>7331765+2083263</f>
        <v>9415028</v>
      </c>
      <c r="F37" s="6">
        <f>2908922+826547</f>
        <v>3735469</v>
      </c>
      <c r="G37" s="6">
        <f>1664242+472881</f>
        <v>2137123</v>
      </c>
      <c r="H37" s="54">
        <f>+D37-'UtilityPlt-2019'!I37</f>
        <v>0</v>
      </c>
    </row>
    <row r="38" spans="1:8" x14ac:dyDescent="0.25">
      <c r="A38" s="1" t="s">
        <v>98</v>
      </c>
      <c r="B38" s="1" t="s">
        <v>25</v>
      </c>
      <c r="C38" s="1"/>
      <c r="D38" s="18">
        <f t="shared" si="1"/>
        <v>8573</v>
      </c>
      <c r="E38" s="6">
        <f>0</f>
        <v>0</v>
      </c>
      <c r="F38" s="6">
        <f>6676+1897</f>
        <v>8573</v>
      </c>
      <c r="G38" s="6">
        <v>0</v>
      </c>
      <c r="H38" s="54">
        <f>+D38-'UtilityPlt-2019'!I38</f>
        <v>0</v>
      </c>
    </row>
    <row r="39" spans="1:8" ht="13.2" thickBot="1" x14ac:dyDescent="0.3">
      <c r="A39" s="1"/>
      <c r="B39" s="8" t="s">
        <v>1</v>
      </c>
      <c r="C39" s="1"/>
      <c r="D39" s="15">
        <f>SUM(D29:D38)</f>
        <v>68147497</v>
      </c>
      <c r="E39" s="15">
        <f>SUM(E29:E38)</f>
        <v>31242764</v>
      </c>
      <c r="F39" s="15">
        <f>SUM(F29:F38)</f>
        <v>14380867</v>
      </c>
      <c r="G39" s="15">
        <f>SUM(G29:G38)</f>
        <v>22523866</v>
      </c>
      <c r="H39" s="54"/>
    </row>
    <row r="40" spans="1:8" ht="13.2" thickTop="1" x14ac:dyDescent="0.25">
      <c r="A40" s="1"/>
      <c r="B40" s="1"/>
      <c r="C40" s="1"/>
      <c r="D40" s="1" t="str">
        <f>IF(D39='UtilityPlt-2019'!I39," ","CALCULATION ERROR")</f>
        <v xml:space="preserve"> </v>
      </c>
      <c r="E40" s="1"/>
      <c r="F40" s="1"/>
      <c r="G40" s="1"/>
      <c r="H40" s="54"/>
    </row>
  </sheetData>
  <mergeCells count="1">
    <mergeCell ref="E25:G25"/>
  </mergeCells>
  <pageMargins left="0.7" right="0.7" top="0.75" bottom="0.75" header="0.3" footer="0.3"/>
  <pageSetup orientation="portrait" r:id="rId1"/>
  <headerFooter>
    <oddFooter>&amp;L&amp;F
&amp;A&amp;RPrepared By: Jeanne Pluth
Date: January 23, 2015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L56"/>
  <sheetViews>
    <sheetView showZeros="0" showOutlineSymbols="0" zoomScaleNormal="100" workbookViewId="0">
      <pane xSplit="5" ySplit="8" topLeftCell="F9" activePane="bottomRight" state="frozen"/>
      <selection pane="topRight"/>
      <selection pane="bottomLeft"/>
      <selection pane="bottomRight" activeCell="F10" sqref="F10"/>
    </sheetView>
  </sheetViews>
  <sheetFormatPr defaultColWidth="10.6640625" defaultRowHeight="12.6" x14ac:dyDescent="0.25"/>
  <cols>
    <col min="1" max="1" width="3.6640625" customWidth="1"/>
    <col min="2" max="2" width="1.6640625" customWidth="1"/>
    <col min="3" max="3" width="6.6640625" customWidth="1"/>
    <col min="4" max="4" width="5.6640625" customWidth="1"/>
    <col min="5" max="5" width="31.6640625" customWidth="1"/>
    <col min="6" max="9" width="13.44140625" customWidth="1"/>
    <col min="10" max="10" width="14.44140625" bestFit="1" customWidth="1"/>
    <col min="12" max="12" width="11.44140625" bestFit="1" customWidth="1"/>
  </cols>
  <sheetData>
    <row r="1" spans="1:12" x14ac:dyDescent="0.25">
      <c r="A1" s="1" t="str">
        <f>Notes!A1</f>
        <v>Avista Utilities</v>
      </c>
      <c r="B1" s="1"/>
      <c r="C1" s="1"/>
      <c r="D1" s="1"/>
      <c r="E1" s="1"/>
      <c r="F1" s="1"/>
      <c r="G1" s="50"/>
      <c r="H1" s="56"/>
      <c r="I1" s="1"/>
    </row>
    <row r="2" spans="1:12" x14ac:dyDescent="0.25">
      <c r="A2" s="1" t="s">
        <v>77</v>
      </c>
      <c r="B2" s="1"/>
      <c r="C2" s="1"/>
      <c r="D2" s="1"/>
      <c r="E2" s="1"/>
      <c r="F2" s="1"/>
      <c r="G2" s="1"/>
      <c r="H2" s="1"/>
      <c r="I2" s="1"/>
    </row>
    <row r="3" spans="1:12" x14ac:dyDescent="0.25">
      <c r="A3" s="1" t="str">
        <f>Notes!A5</f>
        <v>Balances at December 31, 2019</v>
      </c>
      <c r="B3" s="1"/>
      <c r="C3" s="1"/>
      <c r="D3" s="1"/>
      <c r="E3" s="1"/>
      <c r="F3" s="1"/>
      <c r="G3" s="1"/>
      <c r="H3" s="1"/>
      <c r="I3" s="1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</row>
    <row r="6" spans="1:12" x14ac:dyDescent="0.25">
      <c r="A6" s="8" t="s">
        <v>99</v>
      </c>
      <c r="B6" s="1"/>
      <c r="C6" s="1"/>
      <c r="D6" s="1"/>
      <c r="E6" s="1"/>
      <c r="F6" s="8" t="s">
        <v>199</v>
      </c>
      <c r="G6" s="8" t="s">
        <v>78</v>
      </c>
      <c r="H6" s="8" t="s">
        <v>79</v>
      </c>
      <c r="I6" s="8" t="s">
        <v>40</v>
      </c>
      <c r="J6" s="9" t="s">
        <v>40</v>
      </c>
    </row>
    <row r="7" spans="1:12" x14ac:dyDescent="0.25">
      <c r="A7" s="1"/>
      <c r="B7" s="1"/>
      <c r="C7" s="1"/>
      <c r="D7" s="1"/>
      <c r="E7" s="1"/>
      <c r="F7" s="8" t="s">
        <v>1</v>
      </c>
      <c r="G7" s="8" t="s">
        <v>3</v>
      </c>
      <c r="H7" s="8" t="s">
        <v>3</v>
      </c>
      <c r="I7" s="8" t="s">
        <v>3</v>
      </c>
      <c r="J7" s="8" t="s">
        <v>179</v>
      </c>
    </row>
    <row r="8" spans="1:12" x14ac:dyDescent="0.25">
      <c r="A8" s="1"/>
      <c r="B8" s="1"/>
      <c r="C8" s="1"/>
      <c r="D8" s="1"/>
      <c r="E8" s="1"/>
      <c r="F8" s="8" t="s">
        <v>100</v>
      </c>
      <c r="G8" s="8" t="s">
        <v>101</v>
      </c>
      <c r="H8" s="8" t="s">
        <v>102</v>
      </c>
      <c r="I8" s="8" t="s">
        <v>103</v>
      </c>
      <c r="J8" s="1" t="s">
        <v>180</v>
      </c>
    </row>
    <row r="9" spans="1:12" x14ac:dyDescent="0.25">
      <c r="A9" s="1"/>
      <c r="B9" s="1"/>
      <c r="C9" s="1" t="s">
        <v>104</v>
      </c>
      <c r="D9" s="1"/>
      <c r="E9" s="1"/>
      <c r="F9" s="1"/>
      <c r="G9" s="1"/>
      <c r="H9" s="1"/>
    </row>
    <row r="10" spans="1:12" x14ac:dyDescent="0.25">
      <c r="A10" s="3">
        <v>1</v>
      </c>
      <c r="B10" s="1"/>
      <c r="C10" s="1" t="s">
        <v>176</v>
      </c>
      <c r="D10" s="1"/>
      <c r="E10" s="1"/>
      <c r="F10" s="3">
        <f>G10+H10</f>
        <v>1794115</v>
      </c>
      <c r="G10" s="6">
        <v>1021914</v>
      </c>
      <c r="H10" s="6">
        <v>772201</v>
      </c>
      <c r="I10" s="110">
        <f>+J10+F10-'UtilityPlt-2019'!E42</f>
        <v>0</v>
      </c>
      <c r="J10" s="3">
        <v>0</v>
      </c>
    </row>
    <row r="11" spans="1:12" x14ac:dyDescent="0.25">
      <c r="A11" s="3">
        <v>2</v>
      </c>
      <c r="B11" s="1"/>
      <c r="C11" s="1" t="s">
        <v>105</v>
      </c>
      <c r="D11" s="1"/>
      <c r="E11" s="1"/>
      <c r="F11" s="3">
        <f>G11+H11</f>
        <v>0</v>
      </c>
      <c r="G11" s="6">
        <v>0</v>
      </c>
      <c r="H11" s="6">
        <v>0</v>
      </c>
      <c r="I11" s="54"/>
      <c r="J11" s="166">
        <v>44237870</v>
      </c>
    </row>
    <row r="12" spans="1:12" x14ac:dyDescent="0.25">
      <c r="A12" s="3">
        <v>3</v>
      </c>
      <c r="B12" s="1"/>
      <c r="C12" s="1" t="s">
        <v>106</v>
      </c>
      <c r="D12" s="1"/>
      <c r="E12" s="1"/>
      <c r="F12" s="3">
        <f>G12+H12</f>
        <v>783001178</v>
      </c>
      <c r="G12" s="108">
        <v>525727566</v>
      </c>
      <c r="H12" s="108">
        <v>257273612</v>
      </c>
      <c r="I12" s="110">
        <f>+J12+F12-'UtilityPlt-2019'!E25</f>
        <v>0</v>
      </c>
      <c r="J12" s="108">
        <v>2517883</v>
      </c>
    </row>
    <row r="13" spans="1:12" x14ac:dyDescent="0.25">
      <c r="A13" s="3">
        <v>4</v>
      </c>
      <c r="B13" s="1"/>
      <c r="C13" s="1" t="s">
        <v>152</v>
      </c>
      <c r="D13" s="1"/>
      <c r="E13" s="1"/>
      <c r="F13" s="3">
        <f>G13+H13</f>
        <v>48765470</v>
      </c>
      <c r="G13" s="3">
        <f>'GasPlt-2019'!E23</f>
        <v>44712023</v>
      </c>
      <c r="H13" s="3">
        <f>'GasPlt-2019'!F23</f>
        <v>4053447</v>
      </c>
      <c r="I13" s="54"/>
      <c r="J13" s="3">
        <f>'GasPlt-2019'!G23</f>
        <v>3357567</v>
      </c>
    </row>
    <row r="14" spans="1:12" x14ac:dyDescent="0.25">
      <c r="A14" s="3">
        <v>5</v>
      </c>
      <c r="B14" s="1"/>
      <c r="C14" s="1" t="s">
        <v>107</v>
      </c>
      <c r="D14" s="1"/>
      <c r="E14" s="1"/>
      <c r="F14" s="36">
        <f>SUM(F10:F13)</f>
        <v>833560763</v>
      </c>
      <c r="G14" s="36">
        <f>SUM(G10:G13)</f>
        <v>571461503</v>
      </c>
      <c r="H14" s="36">
        <f>SUM(H10:H13)</f>
        <v>262099260</v>
      </c>
      <c r="J14" s="36">
        <f>SUM(J10:J13)</f>
        <v>50113320</v>
      </c>
      <c r="L14" s="54">
        <f>SUM(G14:J14)</f>
        <v>883674083</v>
      </c>
    </row>
    <row r="15" spans="1:12" x14ac:dyDescent="0.25">
      <c r="A15" s="3"/>
      <c r="B15" s="1"/>
      <c r="C15" s="1"/>
      <c r="D15" s="1"/>
      <c r="E15" s="1"/>
      <c r="F15" s="3"/>
      <c r="G15" s="3"/>
      <c r="H15" s="3"/>
      <c r="J15" s="3"/>
      <c r="L15" s="54"/>
    </row>
    <row r="16" spans="1:12" x14ac:dyDescent="0.25">
      <c r="A16" s="3">
        <v>6</v>
      </c>
      <c r="B16" s="1"/>
      <c r="C16" s="1" t="s">
        <v>108</v>
      </c>
      <c r="D16" s="1"/>
      <c r="E16" s="1"/>
      <c r="F16" s="3"/>
      <c r="G16" s="3"/>
      <c r="H16" s="3"/>
      <c r="I16" s="3"/>
    </row>
    <row r="17" spans="1:10" x14ac:dyDescent="0.25">
      <c r="A17" s="3">
        <v>7</v>
      </c>
      <c r="B17" s="1"/>
      <c r="C17" s="1" t="s">
        <v>109</v>
      </c>
      <c r="D17" s="1"/>
      <c r="E17" s="1"/>
      <c r="F17" s="1"/>
      <c r="G17" s="1"/>
      <c r="H17" s="1"/>
      <c r="I17" s="1"/>
    </row>
    <row r="18" spans="1:10" x14ac:dyDescent="0.25">
      <c r="A18" s="3">
        <v>8</v>
      </c>
      <c r="B18" s="1"/>
      <c r="C18" s="1" t="s">
        <v>110</v>
      </c>
      <c r="D18" s="1"/>
      <c r="E18" s="1"/>
      <c r="F18" s="3">
        <f>G18+H18</f>
        <v>48765470</v>
      </c>
      <c r="G18" s="3">
        <f>G13</f>
        <v>44712023</v>
      </c>
      <c r="H18" s="3">
        <f>H13</f>
        <v>4053447</v>
      </c>
      <c r="I18" s="3"/>
    </row>
    <row r="19" spans="1:10" x14ac:dyDescent="0.25">
      <c r="A19" s="3">
        <v>9</v>
      </c>
      <c r="B19" s="1"/>
      <c r="C19" s="1" t="s">
        <v>111</v>
      </c>
      <c r="D19" s="1"/>
      <c r="E19" s="1"/>
      <c r="F19" s="3">
        <f>G19+H19</f>
        <v>-3073284</v>
      </c>
      <c r="G19" s="3">
        <f>-'GasPlt-2019'!E13</f>
        <v>-3073284</v>
      </c>
      <c r="H19" s="3">
        <f>-'GasPlt-2019'!F13</f>
        <v>0</v>
      </c>
      <c r="I19" s="3"/>
    </row>
    <row r="20" spans="1:10" x14ac:dyDescent="0.25">
      <c r="A20" s="3">
        <v>10</v>
      </c>
      <c r="B20" s="1"/>
      <c r="C20" s="1" t="s">
        <v>112</v>
      </c>
      <c r="D20" s="1"/>
      <c r="E20" s="1"/>
      <c r="F20" s="3">
        <f>G20+H20</f>
        <v>-11902269</v>
      </c>
      <c r="G20" s="3">
        <f>-'GasPlt-2019'!E16</f>
        <v>-9284653</v>
      </c>
      <c r="H20" s="3">
        <f>-'GasPlt-2019'!F16</f>
        <v>-2617616</v>
      </c>
      <c r="I20" s="3"/>
    </row>
    <row r="21" spans="1:10" ht="13.2" thickBot="1" x14ac:dyDescent="0.3">
      <c r="A21" s="3">
        <v>11</v>
      </c>
      <c r="B21" s="1"/>
      <c r="C21" s="1" t="s">
        <v>113</v>
      </c>
      <c r="D21" s="1"/>
      <c r="E21" s="1"/>
      <c r="F21" s="15">
        <f>SUM(F18:F20)</f>
        <v>33789917</v>
      </c>
      <c r="G21" s="15">
        <f>SUM(G18:G20)</f>
        <v>32354086</v>
      </c>
      <c r="H21" s="15">
        <f>SUM(H18:H20)</f>
        <v>1435831</v>
      </c>
      <c r="I21" s="3"/>
    </row>
    <row r="22" spans="1:10" ht="13.2" thickTop="1" x14ac:dyDescent="0.25">
      <c r="A22" s="3"/>
      <c r="B22" s="1"/>
      <c r="C22" s="1"/>
      <c r="D22" s="1"/>
      <c r="E22" s="1"/>
      <c r="F22" s="1"/>
      <c r="G22" s="1"/>
      <c r="H22" s="1"/>
      <c r="I22" s="1"/>
    </row>
    <row r="23" spans="1:10" ht="13.2" thickBot="1" x14ac:dyDescent="0.3">
      <c r="A23" s="3">
        <v>12</v>
      </c>
      <c r="B23" s="1"/>
      <c r="C23" s="1" t="s">
        <v>114</v>
      </c>
      <c r="D23" s="1"/>
      <c r="E23" s="1"/>
      <c r="F23" s="37">
        <f>G23+H23</f>
        <v>1</v>
      </c>
      <c r="G23" s="37">
        <f>ROUND(+G21/F21,5)</f>
        <v>0.95750999999999997</v>
      </c>
      <c r="H23" s="37">
        <f>ROUND(+H21/F21,5)</f>
        <v>4.249E-2</v>
      </c>
      <c r="I23" s="4"/>
    </row>
    <row r="24" spans="1:10" ht="13.2" thickTop="1" x14ac:dyDescent="0.25">
      <c r="A24" s="3"/>
      <c r="B24" s="1"/>
      <c r="C24" s="1"/>
      <c r="D24" s="1"/>
      <c r="E24" s="1"/>
      <c r="F24" s="1"/>
      <c r="G24" s="1"/>
      <c r="H24" s="1"/>
      <c r="I24" s="1"/>
    </row>
    <row r="25" spans="1:10" ht="13.2" thickBot="1" x14ac:dyDescent="0.3">
      <c r="A25" s="3">
        <v>13</v>
      </c>
      <c r="B25" s="1"/>
      <c r="C25" s="1" t="s">
        <v>115</v>
      </c>
      <c r="D25" s="1"/>
      <c r="E25" s="1"/>
      <c r="F25" s="37">
        <f>G25+H25</f>
        <v>1</v>
      </c>
      <c r="G25" s="37">
        <f>ROUND(+G20/F20,5)</f>
        <v>0.78007000000000004</v>
      </c>
      <c r="H25" s="37">
        <f>ROUND(+H20/F20,5)</f>
        <v>0.21992999999999999</v>
      </c>
      <c r="I25" s="4"/>
    </row>
    <row r="26" spans="1:10" ht="13.2" thickTop="1" x14ac:dyDescent="0.25">
      <c r="A26" s="3"/>
      <c r="B26" s="1"/>
      <c r="C26" s="1"/>
      <c r="D26" s="1"/>
      <c r="E26" s="1"/>
      <c r="F26" s="3"/>
      <c r="G26" s="3"/>
      <c r="H26" s="3"/>
      <c r="I26" s="3"/>
    </row>
    <row r="27" spans="1:10" x14ac:dyDescent="0.25">
      <c r="A27" s="3">
        <v>14</v>
      </c>
      <c r="B27" s="1"/>
      <c r="C27" s="1" t="s">
        <v>116</v>
      </c>
      <c r="D27" s="1"/>
      <c r="E27" s="1"/>
      <c r="F27" s="3"/>
      <c r="G27" s="3"/>
      <c r="H27" s="3"/>
      <c r="I27" s="3"/>
    </row>
    <row r="28" spans="1:10" x14ac:dyDescent="0.25">
      <c r="A28" s="3">
        <v>15</v>
      </c>
      <c r="B28" s="1"/>
      <c r="C28" s="1" t="s">
        <v>175</v>
      </c>
      <c r="D28" s="1"/>
      <c r="E28" s="1"/>
      <c r="F28" s="3">
        <f>G28+H28</f>
        <v>356119</v>
      </c>
      <c r="G28" s="6">
        <v>240903</v>
      </c>
      <c r="H28" s="6">
        <v>115216</v>
      </c>
      <c r="I28" s="110">
        <f>+J28+F28-'UtilityAccDep-2019'!E12</f>
        <v>0</v>
      </c>
    </row>
    <row r="29" spans="1:10" x14ac:dyDescent="0.25">
      <c r="A29" s="3">
        <v>16</v>
      </c>
      <c r="B29" s="1"/>
      <c r="C29" s="1" t="s">
        <v>117</v>
      </c>
      <c r="D29" s="1"/>
      <c r="E29" s="1"/>
      <c r="F29" s="3">
        <f>G29+H29</f>
        <v>0</v>
      </c>
      <c r="G29" s="6">
        <v>0</v>
      </c>
      <c r="H29" s="6">
        <v>0</v>
      </c>
      <c r="I29" s="3">
        <f>J29-'UtilityAccDep-2019'!E32</f>
        <v>0</v>
      </c>
      <c r="J29" s="167">
        <v>17164639</v>
      </c>
    </row>
    <row r="30" spans="1:10" x14ac:dyDescent="0.25">
      <c r="A30" s="3">
        <v>17</v>
      </c>
      <c r="B30" s="1"/>
      <c r="C30" s="1" t="s">
        <v>118</v>
      </c>
      <c r="D30" s="1"/>
      <c r="E30" s="1"/>
      <c r="F30" s="3">
        <f>G30+H30</f>
        <v>232991766</v>
      </c>
      <c r="G30" s="6">
        <v>148582541</v>
      </c>
      <c r="H30" s="6">
        <v>84409225</v>
      </c>
      <c r="I30" s="54">
        <f>+F30+J30-'UtilityAccDep-2019'!E34</f>
        <v>0</v>
      </c>
      <c r="J30" s="6">
        <v>1851025</v>
      </c>
    </row>
    <row r="31" spans="1:10" x14ac:dyDescent="0.25">
      <c r="A31" s="3">
        <v>18</v>
      </c>
      <c r="B31" s="1"/>
      <c r="C31" s="1" t="s">
        <v>119</v>
      </c>
      <c r="D31" s="1"/>
      <c r="E31" s="1"/>
      <c r="F31" s="48">
        <f>+'UtilityAccDep-2019'!E37</f>
        <v>14536739</v>
      </c>
      <c r="G31" s="3">
        <f>ROUND(F31*G23,0)</f>
        <v>13919073</v>
      </c>
      <c r="H31" s="3">
        <f>F31-G31</f>
        <v>617666</v>
      </c>
      <c r="I31" s="3"/>
    </row>
    <row r="32" spans="1:10" x14ac:dyDescent="0.25">
      <c r="A32" s="3">
        <v>19</v>
      </c>
      <c r="B32" s="1"/>
      <c r="C32" s="1" t="s">
        <v>120</v>
      </c>
      <c r="D32" s="1"/>
      <c r="E32" s="1"/>
      <c r="F32" s="48">
        <f>+'UtilityAccDep-2019'!E38</f>
        <v>0</v>
      </c>
      <c r="G32" s="3">
        <f>ROUND(F32*G25,0)</f>
        <v>0</v>
      </c>
      <c r="H32" s="3">
        <f>F32-G32</f>
        <v>0</v>
      </c>
      <c r="I32" s="3"/>
    </row>
    <row r="33" spans="1:12" x14ac:dyDescent="0.25">
      <c r="A33" s="3">
        <v>20</v>
      </c>
      <c r="B33" s="1"/>
      <c r="C33" s="1" t="s">
        <v>107</v>
      </c>
      <c r="D33" s="1"/>
      <c r="E33" s="1"/>
      <c r="F33" s="36">
        <f>SUM(F28:F32)</f>
        <v>247884624</v>
      </c>
      <c r="G33" s="36">
        <f>SUM(G28:G32)</f>
        <v>162742517</v>
      </c>
      <c r="H33" s="36">
        <f>SUM(H28:H32)</f>
        <v>85142107</v>
      </c>
      <c r="I33" s="3"/>
      <c r="J33" s="36">
        <f>SUM(J28:J32)</f>
        <v>19015664</v>
      </c>
      <c r="L33" s="54">
        <f>SUM(G33:J33)</f>
        <v>266900288</v>
      </c>
    </row>
    <row r="34" spans="1:12" x14ac:dyDescent="0.25">
      <c r="A34" s="3"/>
      <c r="B34" s="1"/>
      <c r="C34" s="1"/>
      <c r="D34" s="1"/>
      <c r="E34" s="1"/>
      <c r="F34" s="3"/>
      <c r="G34" s="3"/>
      <c r="H34" s="3"/>
      <c r="I34" s="3"/>
      <c r="L34" s="54"/>
    </row>
    <row r="35" spans="1:12" x14ac:dyDescent="0.25">
      <c r="A35" s="3">
        <v>21</v>
      </c>
      <c r="B35" s="1"/>
      <c r="C35" s="1" t="s">
        <v>121</v>
      </c>
      <c r="D35" s="1"/>
      <c r="E35" s="1"/>
      <c r="F35" s="3">
        <f>F14-F33</f>
        <v>585676139</v>
      </c>
      <c r="G35" s="3">
        <f>G14-G33</f>
        <v>408718986</v>
      </c>
      <c r="H35" s="3">
        <f>H14-H33</f>
        <v>176957153</v>
      </c>
      <c r="I35" s="3"/>
    </row>
    <row r="36" spans="1:12" x14ac:dyDescent="0.25">
      <c r="A36" s="3"/>
      <c r="B36" s="1"/>
      <c r="C36" s="1"/>
      <c r="D36" s="1"/>
      <c r="E36" s="1"/>
      <c r="F36" s="3"/>
      <c r="G36" s="3"/>
      <c r="H36" s="3"/>
      <c r="I36" s="3"/>
    </row>
    <row r="37" spans="1:12" x14ac:dyDescent="0.25">
      <c r="A37" s="3">
        <v>22</v>
      </c>
      <c r="B37" s="1"/>
      <c r="C37" s="1" t="s">
        <v>122</v>
      </c>
      <c r="D37" s="1"/>
      <c r="E37" s="1"/>
      <c r="F37" s="3"/>
      <c r="G37" s="3"/>
      <c r="H37" s="3"/>
      <c r="I37" s="3"/>
    </row>
    <row r="38" spans="1:12" x14ac:dyDescent="0.25">
      <c r="A38" s="3">
        <v>23</v>
      </c>
      <c r="B38" s="1"/>
      <c r="C38" s="1" t="s">
        <v>123</v>
      </c>
      <c r="D38" s="1"/>
      <c r="E38" s="1"/>
      <c r="F38" s="3">
        <f>G38+H38</f>
        <v>45623631</v>
      </c>
      <c r="G38" s="3">
        <f>'GasPlt-2019'!E39</f>
        <v>31242764</v>
      </c>
      <c r="H38" s="3">
        <f>'GasPlt-2019'!F39</f>
        <v>14380867</v>
      </c>
      <c r="I38" s="1"/>
    </row>
    <row r="39" spans="1:12" x14ac:dyDescent="0.25">
      <c r="A39" s="3">
        <v>24</v>
      </c>
      <c r="B39" s="1"/>
      <c r="C39" s="1" t="s">
        <v>219</v>
      </c>
      <c r="D39" s="1"/>
      <c r="E39" s="1"/>
      <c r="F39" s="4">
        <f>'UtilityNetPlt-2019'!E34</f>
        <v>0.22681999999999999</v>
      </c>
      <c r="G39" s="4">
        <f>F39</f>
        <v>0.22681999999999999</v>
      </c>
      <c r="H39" s="4">
        <f>G39</f>
        <v>0.22681999999999999</v>
      </c>
      <c r="I39" s="4"/>
    </row>
    <row r="40" spans="1:12" x14ac:dyDescent="0.25">
      <c r="A40" s="3">
        <v>25</v>
      </c>
      <c r="B40" s="1"/>
      <c r="C40" s="1" t="s">
        <v>124</v>
      </c>
      <c r="D40" s="1"/>
      <c r="E40" s="1"/>
      <c r="F40" s="22">
        <f>G40+H40</f>
        <v>10348352</v>
      </c>
      <c r="G40" s="22">
        <f>ROUND(G38*G39,0)</f>
        <v>7086484</v>
      </c>
      <c r="H40" s="22">
        <f>ROUND(H38*H39,0)</f>
        <v>3261868</v>
      </c>
      <c r="I40" s="3"/>
    </row>
    <row r="41" spans="1:12" x14ac:dyDescent="0.25">
      <c r="A41" s="3">
        <v>26</v>
      </c>
      <c r="B41" s="1"/>
      <c r="C41" s="1" t="s">
        <v>339</v>
      </c>
      <c r="D41" s="1"/>
      <c r="E41" s="1"/>
      <c r="F41" s="18">
        <f>G41+H41</f>
        <v>2990932</v>
      </c>
      <c r="G41" s="18">
        <f>G55</f>
        <v>2048160</v>
      </c>
      <c r="H41" s="18">
        <f>H55</f>
        <v>942772</v>
      </c>
      <c r="I41" s="3"/>
    </row>
    <row r="42" spans="1:12" x14ac:dyDescent="0.25">
      <c r="A42" s="3">
        <v>27</v>
      </c>
      <c r="B42" s="1"/>
      <c r="C42" s="1" t="s">
        <v>125</v>
      </c>
      <c r="D42" s="1"/>
      <c r="E42" s="1"/>
      <c r="F42" s="3">
        <f>F40-F41</f>
        <v>7357420</v>
      </c>
      <c r="G42" s="3">
        <f>G40-G41</f>
        <v>5038324</v>
      </c>
      <c r="H42" s="3">
        <f>H40-H41</f>
        <v>2319096</v>
      </c>
      <c r="I42" s="3"/>
    </row>
    <row r="43" spans="1:12" x14ac:dyDescent="0.25">
      <c r="A43" s="3"/>
      <c r="B43" s="1"/>
      <c r="C43" s="1"/>
      <c r="D43" s="1"/>
      <c r="E43" s="1"/>
      <c r="F43" s="3"/>
      <c r="G43" s="3"/>
      <c r="H43" s="3"/>
      <c r="I43" s="3"/>
    </row>
    <row r="44" spans="1:12" ht="13.2" thickBot="1" x14ac:dyDescent="0.3">
      <c r="A44" s="3">
        <v>28</v>
      </c>
      <c r="B44" s="1"/>
      <c r="C44" s="1" t="s">
        <v>126</v>
      </c>
      <c r="D44" s="1"/>
      <c r="E44" s="1"/>
      <c r="F44" s="15">
        <f>F35+F42</f>
        <v>593033559</v>
      </c>
      <c r="G44" s="15">
        <f>G35+G42</f>
        <v>413757310</v>
      </c>
      <c r="H44" s="15">
        <f>H35+H42</f>
        <v>179276249</v>
      </c>
      <c r="I44" s="3"/>
    </row>
    <row r="45" spans="1:12" ht="13.2" thickTop="1" x14ac:dyDescent="0.25">
      <c r="A45" s="3"/>
      <c r="B45" s="1"/>
      <c r="C45" s="1"/>
      <c r="D45" s="1"/>
      <c r="E45" s="1"/>
      <c r="F45" s="3"/>
      <c r="G45" s="3"/>
      <c r="H45" s="3"/>
      <c r="I45" s="3"/>
    </row>
    <row r="46" spans="1:12" ht="13.2" thickBot="1" x14ac:dyDescent="0.3">
      <c r="A46" s="3">
        <v>29</v>
      </c>
      <c r="B46" s="1"/>
      <c r="C46" s="1" t="s">
        <v>127</v>
      </c>
      <c r="D46" s="1"/>
      <c r="E46" s="1"/>
      <c r="F46" s="17">
        <f>'UtilityNetPlt-2019'!G18-'UtilityNetPlt-2019'!G12</f>
        <v>68147497</v>
      </c>
      <c r="G46" s="17">
        <f>'GasPlt-2019'!E39</f>
        <v>31242764</v>
      </c>
      <c r="H46" s="17">
        <f>'GasPlt-2019'!F39</f>
        <v>14380867</v>
      </c>
      <c r="I46" s="17">
        <f>'GasPlt-2019'!G39</f>
        <v>22523866</v>
      </c>
      <c r="J46" s="110">
        <f>SUM(G46:I46)</f>
        <v>68147497</v>
      </c>
      <c r="K46" s="111">
        <f>F46-J46</f>
        <v>0</v>
      </c>
    </row>
    <row r="47" spans="1:12" ht="13.2" thickTop="1" x14ac:dyDescent="0.25">
      <c r="A47" s="3"/>
      <c r="B47" s="1"/>
      <c r="C47" s="1"/>
      <c r="D47" s="1"/>
      <c r="E47" s="1"/>
      <c r="F47" s="1"/>
      <c r="G47" s="1"/>
      <c r="H47" s="1"/>
      <c r="I47" s="1"/>
    </row>
    <row r="48" spans="1:12" ht="13.2" thickBot="1" x14ac:dyDescent="0.3">
      <c r="A48" s="3">
        <v>30</v>
      </c>
      <c r="B48" s="1"/>
      <c r="C48" s="1" t="s">
        <v>128</v>
      </c>
      <c r="D48" s="1"/>
      <c r="E48" s="1"/>
      <c r="F48" s="37">
        <f>IF(+G48+H48+I48=1,G48+H48+I48,"ERROR")</f>
        <v>0.99999999999999989</v>
      </c>
      <c r="G48" s="37">
        <f>ROUND(+G46/F46,5)</f>
        <v>0.45845999999999998</v>
      </c>
      <c r="H48" s="37">
        <f>ROUND(+H46/F46,5)</f>
        <v>0.21103</v>
      </c>
      <c r="I48" s="38">
        <f>ROUND(+I46/F46,5)-0.00001</f>
        <v>0.33050999999999997</v>
      </c>
      <c r="J48">
        <f>+I48+H48+G48-F48</f>
        <v>0</v>
      </c>
    </row>
    <row r="49" spans="1:9" ht="13.2" thickTop="1" x14ac:dyDescent="0.25">
      <c r="A49" s="3"/>
      <c r="B49" s="1"/>
      <c r="C49" s="1"/>
      <c r="D49" s="1"/>
      <c r="E49" s="1"/>
      <c r="F49" s="3"/>
      <c r="G49" s="3"/>
      <c r="H49" s="3"/>
      <c r="I49" s="3"/>
    </row>
    <row r="50" spans="1:9" x14ac:dyDescent="0.25">
      <c r="A50" s="3">
        <v>31</v>
      </c>
      <c r="B50" s="1"/>
      <c r="C50" s="1" t="s">
        <v>129</v>
      </c>
      <c r="D50" s="1"/>
      <c r="E50" s="1"/>
      <c r="F50" s="1"/>
      <c r="G50" s="1"/>
      <c r="H50" s="1"/>
      <c r="I50" s="1"/>
    </row>
    <row r="51" spans="1:9" x14ac:dyDescent="0.25">
      <c r="A51" s="3">
        <v>32</v>
      </c>
      <c r="B51" s="1"/>
      <c r="C51" s="1" t="s">
        <v>130</v>
      </c>
      <c r="D51" s="1"/>
      <c r="E51" s="1"/>
      <c r="F51" s="48">
        <f>+'UtilityAccDep-2019'!I37</f>
        <v>19696138</v>
      </c>
      <c r="G51" s="3">
        <f>ROUND(G48*F51,0)</f>
        <v>9029891</v>
      </c>
      <c r="H51" s="3">
        <f>ROUND(H48*F51,0)</f>
        <v>4156476</v>
      </c>
      <c r="I51" s="3">
        <f>F51-G51-H51</f>
        <v>6509771</v>
      </c>
    </row>
    <row r="52" spans="1:9" x14ac:dyDescent="0.25">
      <c r="A52" s="3">
        <v>33</v>
      </c>
      <c r="B52" s="1"/>
      <c r="C52" s="1" t="s">
        <v>131</v>
      </c>
      <c r="D52" s="1"/>
      <c r="E52" s="1"/>
      <c r="F52" s="48">
        <f>+'UtilityAccDep-2019'!I38</f>
        <v>0</v>
      </c>
      <c r="G52" s="3">
        <f>ROUND(G48*F52,0)</f>
        <v>0</v>
      </c>
      <c r="H52" s="3">
        <f>ROUND(H48*F52,0)</f>
        <v>0</v>
      </c>
      <c r="I52" s="3">
        <f>F52-G52-H52</f>
        <v>0</v>
      </c>
    </row>
    <row r="53" spans="1:9" x14ac:dyDescent="0.25">
      <c r="A53" s="3">
        <v>34</v>
      </c>
      <c r="B53" s="1"/>
      <c r="C53" s="1" t="s">
        <v>132</v>
      </c>
      <c r="D53" s="1"/>
      <c r="E53" s="1"/>
      <c r="F53" s="49">
        <f>F51+F52</f>
        <v>19696138</v>
      </c>
      <c r="G53" s="49">
        <f>G51+G52</f>
        <v>9029891</v>
      </c>
      <c r="H53" s="49">
        <f>H51+H52</f>
        <v>4156476</v>
      </c>
      <c r="I53" s="49">
        <f>I51+I52</f>
        <v>6509771</v>
      </c>
    </row>
    <row r="54" spans="1:9" x14ac:dyDescent="0.25">
      <c r="A54" s="3">
        <v>35</v>
      </c>
      <c r="B54" s="1"/>
      <c r="C54" s="1" t="s">
        <v>220</v>
      </c>
      <c r="D54" s="1"/>
      <c r="E54" s="1"/>
      <c r="F54" s="39">
        <f>F39</f>
        <v>0.22681999999999999</v>
      </c>
      <c r="G54" s="39">
        <f>F54</f>
        <v>0.22681999999999999</v>
      </c>
      <c r="H54" s="39">
        <f>G54</f>
        <v>0.22681999999999999</v>
      </c>
      <c r="I54" s="39">
        <f>H54</f>
        <v>0.22681999999999999</v>
      </c>
    </row>
    <row r="55" spans="1:9" ht="13.2" thickBot="1" x14ac:dyDescent="0.3">
      <c r="A55" s="3">
        <v>36</v>
      </c>
      <c r="B55" s="1"/>
      <c r="C55" s="1" t="s">
        <v>218</v>
      </c>
      <c r="D55" s="1"/>
      <c r="E55" s="1"/>
      <c r="F55" s="17">
        <f>SUM(G55:I55)</f>
        <v>4467478</v>
      </c>
      <c r="G55" s="17">
        <f>ROUND(G53*G54,0)</f>
        <v>2048160</v>
      </c>
      <c r="H55" s="17">
        <f>ROUND(H53*H54,0)</f>
        <v>942772</v>
      </c>
      <c r="I55" s="17">
        <f>ROUND(I53*I54,0)</f>
        <v>1476546</v>
      </c>
    </row>
    <row r="56" spans="1:9" ht="13.2" thickTop="1" x14ac:dyDescent="0.25">
      <c r="A56" s="1"/>
      <c r="B56" s="1"/>
      <c r="C56" s="1"/>
      <c r="D56" s="1"/>
      <c r="E56" s="1"/>
      <c r="F56" s="1"/>
      <c r="G56" s="1"/>
      <c r="H56" s="1"/>
      <c r="I56" s="1"/>
    </row>
  </sheetData>
  <pageMargins left="0.2" right="0.2" top="0.75" bottom="0.75" header="0.3" footer="0.3"/>
  <pageSetup scale="99" orientation="portrait" r:id="rId1"/>
  <headerFooter>
    <oddFooter>&amp;L&amp;F
&amp;A&amp;RPrepared By: Jeanne Pluth
Date: January 23, 2015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FF00"/>
    <pageSetUpPr fitToPage="1"/>
  </sheetPr>
  <dimension ref="A1:I45"/>
  <sheetViews>
    <sheetView showOutlineSymbols="0" zoomScaleNormal="100" zoomScaleSheetLayoutView="100" workbookViewId="0">
      <pane xSplit="1" ySplit="9" topLeftCell="B20" activePane="bottomRight" state="frozen"/>
      <selection activeCell="D27" sqref="D27"/>
      <selection pane="topRight" activeCell="D27" sqref="D27"/>
      <selection pane="bottomLeft" activeCell="D27" sqref="D27"/>
      <selection pane="bottomRight" activeCell="C39" sqref="C39"/>
    </sheetView>
  </sheetViews>
  <sheetFormatPr defaultColWidth="9.6640625" defaultRowHeight="12.6" x14ac:dyDescent="0.25"/>
  <cols>
    <col min="1" max="1" width="36.6640625" style="74" customWidth="1"/>
    <col min="2" max="4" width="15.6640625" style="74" customWidth="1"/>
    <col min="5" max="5" width="11.44140625" style="74" bestFit="1" customWidth="1"/>
    <col min="10" max="16384" width="9.6640625" style="74"/>
  </cols>
  <sheetData>
    <row r="1" spans="1:5" x14ac:dyDescent="0.25">
      <c r="A1" s="71" t="str">
        <f>Notes!A1</f>
        <v>Avista Utilities</v>
      </c>
      <c r="B1" s="71"/>
      <c r="C1" s="71"/>
      <c r="D1" s="71"/>
      <c r="E1" s="97"/>
    </row>
    <row r="2" spans="1:5" x14ac:dyDescent="0.25">
      <c r="A2" s="71" t="s">
        <v>313</v>
      </c>
      <c r="B2" s="71"/>
      <c r="C2" s="71"/>
      <c r="D2" s="71"/>
      <c r="E2" s="71"/>
    </row>
    <row r="3" spans="1:5" x14ac:dyDescent="0.25">
      <c r="A3" s="71" t="str">
        <f>Notes!A4</f>
        <v>For the Twelve Months Ended December 31, 2019</v>
      </c>
      <c r="B3" s="71"/>
      <c r="C3" s="71"/>
      <c r="D3" s="71"/>
      <c r="E3" s="71"/>
    </row>
    <row r="4" spans="1:5" x14ac:dyDescent="0.25">
      <c r="A4" s="71"/>
      <c r="B4" s="71"/>
      <c r="C4" s="71"/>
      <c r="D4" s="71"/>
      <c r="E4" s="71"/>
    </row>
    <row r="5" spans="1:5" x14ac:dyDescent="0.25">
      <c r="A5" s="71"/>
      <c r="B5" s="71"/>
      <c r="C5" s="71"/>
      <c r="D5" s="71"/>
      <c r="E5" s="71"/>
    </row>
    <row r="6" spans="1:5" x14ac:dyDescent="0.25">
      <c r="A6" s="71"/>
      <c r="B6" s="71"/>
      <c r="C6" s="71"/>
      <c r="D6" s="71"/>
      <c r="E6" s="71"/>
    </row>
    <row r="7" spans="1:5" x14ac:dyDescent="0.25">
      <c r="A7" s="71"/>
      <c r="B7" s="98" t="s">
        <v>1</v>
      </c>
      <c r="C7" s="98" t="s">
        <v>78</v>
      </c>
      <c r="D7" s="98" t="s">
        <v>79</v>
      </c>
      <c r="E7" s="98" t="s">
        <v>55</v>
      </c>
    </row>
    <row r="8" spans="1:5" x14ac:dyDescent="0.25">
      <c r="A8" s="71"/>
      <c r="B8" s="98" t="s">
        <v>199</v>
      </c>
      <c r="C8" s="71"/>
      <c r="D8" s="71"/>
      <c r="E8" s="71"/>
    </row>
    <row r="9" spans="1:5" x14ac:dyDescent="0.25">
      <c r="A9" s="71"/>
      <c r="B9" s="71"/>
      <c r="C9" s="71"/>
      <c r="D9" s="71"/>
      <c r="E9" s="71"/>
    </row>
    <row r="10" spans="1:5" x14ac:dyDescent="0.25">
      <c r="A10" s="1" t="s">
        <v>306</v>
      </c>
      <c r="B10" s="71"/>
      <c r="C10" s="71"/>
      <c r="D10" s="71"/>
      <c r="E10" s="71"/>
    </row>
    <row r="11" spans="1:5" x14ac:dyDescent="0.25">
      <c r="A11" s="1" t="s">
        <v>307</v>
      </c>
      <c r="B11" s="99">
        <f>SUM(C11:D11)</f>
        <v>5663914</v>
      </c>
      <c r="C11" s="99">
        <f>'Expenses-2019'!Q12</f>
        <v>3863083</v>
      </c>
      <c r="D11" s="99">
        <f>'Expenses-2019'!O12</f>
        <v>1800831</v>
      </c>
      <c r="E11" s="8" t="s">
        <v>331</v>
      </c>
    </row>
    <row r="12" spans="1:5" x14ac:dyDescent="0.25">
      <c r="A12" s="1" t="s">
        <v>309</v>
      </c>
      <c r="B12" s="53">
        <f>SUM(C12:D12)</f>
        <v>10812438</v>
      </c>
      <c r="C12" s="53">
        <f>'Expenses-2019'!Q11</f>
        <v>9192292</v>
      </c>
      <c r="D12" s="53">
        <f>'Expenses-2019'!O11</f>
        <v>1620146</v>
      </c>
      <c r="E12" s="9">
        <v>-2</v>
      </c>
    </row>
    <row r="13" spans="1:5" x14ac:dyDescent="0.25">
      <c r="A13" s="1" t="s">
        <v>308</v>
      </c>
      <c r="B13" s="53">
        <f>SUM(C13:D13)</f>
        <v>1627049</v>
      </c>
      <c r="C13" s="53">
        <f>'Expenses-2019'!G11</f>
        <v>1201965</v>
      </c>
      <c r="D13" s="53">
        <f>'Expenses-2019'!F11</f>
        <v>425084</v>
      </c>
      <c r="E13" s="9">
        <v>-2</v>
      </c>
    </row>
    <row r="14" spans="1:5" x14ac:dyDescent="0.25">
      <c r="A14" s="71" t="s">
        <v>135</v>
      </c>
      <c r="B14" s="100">
        <f>SUM(B11:B13)</f>
        <v>18103401</v>
      </c>
      <c r="C14" s="100">
        <f t="shared" ref="C14:D14" si="0">SUM(C11:C13)</f>
        <v>14257340</v>
      </c>
      <c r="D14" s="100">
        <f t="shared" si="0"/>
        <v>3846061</v>
      </c>
      <c r="E14" s="135"/>
    </row>
    <row r="15" spans="1:5" x14ac:dyDescent="0.25">
      <c r="A15" s="71"/>
      <c r="B15" s="71"/>
      <c r="C15" s="71"/>
      <c r="D15" s="71"/>
      <c r="E15" s="135"/>
    </row>
    <row r="16" spans="1:5" x14ac:dyDescent="0.25">
      <c r="A16" s="71" t="s">
        <v>58</v>
      </c>
      <c r="B16" s="101">
        <f>SUM(C16:D16)</f>
        <v>1</v>
      </c>
      <c r="C16" s="101">
        <f>ROUND(+C14/B14,5)</f>
        <v>0.78754999999999997</v>
      </c>
      <c r="D16" s="101">
        <f>ROUND(+D14/B14,5)</f>
        <v>0.21245</v>
      </c>
      <c r="E16" s="135"/>
    </row>
    <row r="17" spans="1:5" x14ac:dyDescent="0.25">
      <c r="A17" s="71"/>
      <c r="B17" s="71"/>
      <c r="C17" s="71"/>
      <c r="D17" s="71"/>
      <c r="E17" s="135"/>
    </row>
    <row r="18" spans="1:5" x14ac:dyDescent="0.25">
      <c r="A18" s="1" t="s">
        <v>59</v>
      </c>
      <c r="B18" s="71"/>
      <c r="C18" s="71"/>
      <c r="D18" s="71"/>
      <c r="E18" s="135"/>
    </row>
    <row r="19" spans="1:5" x14ac:dyDescent="0.25">
      <c r="A19" s="1" t="s">
        <v>307</v>
      </c>
      <c r="B19" s="99">
        <f>SUM(C19:D19)</f>
        <v>8440564</v>
      </c>
      <c r="C19" s="99">
        <f>'Expenses-2019'!Q15</f>
        <v>6213670</v>
      </c>
      <c r="D19" s="99">
        <f>'Expenses-2019'!O15</f>
        <v>2226894</v>
      </c>
      <c r="E19" s="136"/>
    </row>
    <row r="20" spans="1:5" x14ac:dyDescent="0.25">
      <c r="A20" s="1" t="s">
        <v>309</v>
      </c>
      <c r="B20" s="53">
        <f>SUM(C20:D20)</f>
        <v>184568</v>
      </c>
      <c r="C20" s="53">
        <f>'Expenses-2019'!Q14</f>
        <v>156658</v>
      </c>
      <c r="D20" s="53">
        <f>'Expenses-2019'!O14</f>
        <v>27910</v>
      </c>
      <c r="E20" s="136"/>
    </row>
    <row r="21" spans="1:5" x14ac:dyDescent="0.25">
      <c r="A21" s="1" t="s">
        <v>308</v>
      </c>
      <c r="B21" s="53">
        <f>SUM(C21:D21)</f>
        <v>2709734</v>
      </c>
      <c r="C21" s="53">
        <f>'Expenses-2019'!G14</f>
        <v>2208431</v>
      </c>
      <c r="D21" s="53">
        <f>'Expenses-2019'!F14</f>
        <v>501303</v>
      </c>
      <c r="E21" s="136"/>
    </row>
    <row r="22" spans="1:5" x14ac:dyDescent="0.25">
      <c r="A22" s="71" t="s">
        <v>135</v>
      </c>
      <c r="B22" s="100">
        <f>SUM(B19:B21)</f>
        <v>11334866</v>
      </c>
      <c r="C22" s="100">
        <f t="shared" ref="C22:D22" si="1">SUM(C19:C21)</f>
        <v>8578759</v>
      </c>
      <c r="D22" s="100">
        <f t="shared" si="1"/>
        <v>2756107</v>
      </c>
      <c r="E22" s="135"/>
    </row>
    <row r="23" spans="1:5" x14ac:dyDescent="0.25">
      <c r="A23" s="71"/>
      <c r="B23" s="71"/>
      <c r="C23" s="71"/>
      <c r="D23" s="71"/>
      <c r="E23" s="135"/>
    </row>
    <row r="24" spans="1:5" x14ac:dyDescent="0.25">
      <c r="A24" s="71" t="s">
        <v>58</v>
      </c>
      <c r="B24" s="101">
        <f>SUM(C24:D24)</f>
        <v>1</v>
      </c>
      <c r="C24" s="101">
        <f>ROUND(+C22/B22,5)</f>
        <v>0.75685000000000002</v>
      </c>
      <c r="D24" s="101">
        <f>ROUND(+D22/B22,5)</f>
        <v>0.24315000000000001</v>
      </c>
      <c r="E24" s="71"/>
    </row>
    <row r="25" spans="1:5" x14ac:dyDescent="0.25">
      <c r="A25" s="71"/>
      <c r="B25" s="71"/>
      <c r="C25" s="71"/>
      <c r="D25" s="71"/>
      <c r="E25" s="71"/>
    </row>
    <row r="26" spans="1:5" x14ac:dyDescent="0.25">
      <c r="A26" s="78" t="str">
        <f>'7-2019'!A28</f>
        <v>Year End Customers at 12/31/19</v>
      </c>
      <c r="B26" s="53">
        <f>SUM(C26:D26)</f>
        <v>257344</v>
      </c>
      <c r="C26" s="53">
        <f>'7-2019'!E29</f>
        <v>170270</v>
      </c>
      <c r="D26" s="53">
        <f>'7-2019'!E30</f>
        <v>87074</v>
      </c>
      <c r="E26" s="53"/>
    </row>
    <row r="27" spans="1:5" x14ac:dyDescent="0.25">
      <c r="A27" s="71"/>
      <c r="B27" s="71"/>
      <c r="C27" s="71"/>
      <c r="D27" s="71"/>
      <c r="E27" s="71"/>
    </row>
    <row r="28" spans="1:5" x14ac:dyDescent="0.25">
      <c r="A28" s="71" t="s">
        <v>58</v>
      </c>
      <c r="B28" s="101">
        <f>SUM(C28:D28)</f>
        <v>1</v>
      </c>
      <c r="C28" s="101">
        <f>ROUND(+C26/B26,5)</f>
        <v>0.66164000000000001</v>
      </c>
      <c r="D28" s="101">
        <f>ROUND(+D26/B26,5)</f>
        <v>0.33835999999999999</v>
      </c>
      <c r="E28" s="71"/>
    </row>
    <row r="29" spans="1:5" x14ac:dyDescent="0.25">
      <c r="A29" s="71"/>
      <c r="B29" s="71"/>
      <c r="C29" s="71"/>
      <c r="D29" s="71"/>
      <c r="E29" s="71"/>
    </row>
    <row r="30" spans="1:5" x14ac:dyDescent="0.25">
      <c r="A30" s="71" t="str">
        <f>'7-2019'!A36</f>
        <v>Net Direct Plant (Ending Balance at 12/31/19)</v>
      </c>
      <c r="B30" s="99">
        <f>SUM(C30:D30)</f>
        <v>593033559</v>
      </c>
      <c r="C30" s="99">
        <f>'GasNetPlt-2019'!G44</f>
        <v>413757310</v>
      </c>
      <c r="D30" s="99">
        <f>'GasNetPlt-2019'!H44</f>
        <v>179276249</v>
      </c>
      <c r="E30" s="102"/>
    </row>
    <row r="31" spans="1:5" x14ac:dyDescent="0.25">
      <c r="A31" s="71"/>
      <c r="B31" s="99"/>
      <c r="C31" s="95"/>
      <c r="D31" s="95"/>
      <c r="E31" s="102"/>
    </row>
    <row r="32" spans="1:5" x14ac:dyDescent="0.25">
      <c r="A32" s="71" t="s">
        <v>242</v>
      </c>
      <c r="B32" s="103">
        <f>SUM(C32:D32)</f>
        <v>593033559</v>
      </c>
      <c r="C32" s="103">
        <f>+C30+C31</f>
        <v>413757310</v>
      </c>
      <c r="D32" s="103">
        <f>+D30+D31</f>
        <v>179276249</v>
      </c>
      <c r="E32" s="102"/>
    </row>
    <row r="33" spans="1:5" x14ac:dyDescent="0.25">
      <c r="A33" s="71"/>
      <c r="B33" s="71"/>
      <c r="C33" s="71"/>
      <c r="D33" s="71"/>
      <c r="E33" s="71"/>
    </row>
    <row r="34" spans="1:5" x14ac:dyDescent="0.25">
      <c r="A34" s="71" t="s">
        <v>58</v>
      </c>
      <c r="B34" s="101">
        <f>SUM(C34:D34)</f>
        <v>1</v>
      </c>
      <c r="C34" s="101">
        <f>ROUND(+C32/B32,5)</f>
        <v>0.69769999999999999</v>
      </c>
      <c r="D34" s="101">
        <f>ROUND(+D32/B32,5)</f>
        <v>0.30230000000000001</v>
      </c>
      <c r="E34" s="71"/>
    </row>
    <row r="35" spans="1:5" x14ac:dyDescent="0.25">
      <c r="A35" s="71"/>
      <c r="B35" s="71"/>
      <c r="C35" s="71"/>
      <c r="D35" s="71"/>
      <c r="E35" s="71"/>
    </row>
    <row r="36" spans="1:5" x14ac:dyDescent="0.25">
      <c r="A36" s="71" t="s">
        <v>64</v>
      </c>
      <c r="B36" s="71"/>
      <c r="C36" s="71"/>
      <c r="D36" s="71"/>
      <c r="E36" s="71"/>
    </row>
    <row r="37" spans="1:5" x14ac:dyDescent="0.25">
      <c r="A37" s="71" t="s">
        <v>65</v>
      </c>
      <c r="B37" s="104">
        <f>SUM(C37:D37)</f>
        <v>4</v>
      </c>
      <c r="C37" s="104">
        <f>C16+C24+C28+C34</f>
        <v>2.90374</v>
      </c>
      <c r="D37" s="104">
        <f>D16+D24+D28+D34</f>
        <v>1.09626</v>
      </c>
      <c r="E37" s="98" t="s">
        <v>134</v>
      </c>
    </row>
    <row r="38" spans="1:5" ht="13.2" thickBot="1" x14ac:dyDescent="0.3">
      <c r="A38" s="71" t="s">
        <v>66</v>
      </c>
      <c r="B38" s="105">
        <f>SUM(C38:D38)</f>
        <v>1</v>
      </c>
      <c r="C38" s="31">
        <f>ROUND(+C37/4,5)-0.00001</f>
        <v>0.72593000000000008</v>
      </c>
      <c r="D38" s="105">
        <f>ROUND(+D37/4,5)</f>
        <v>0.27406999999999998</v>
      </c>
      <c r="E38" s="98" t="s">
        <v>134</v>
      </c>
    </row>
    <row r="39" spans="1:5" ht="13.2" thickTop="1" x14ac:dyDescent="0.25">
      <c r="A39" s="71"/>
      <c r="B39" s="71"/>
      <c r="C39" s="71"/>
      <c r="D39" s="71"/>
      <c r="E39" s="71"/>
    </row>
    <row r="40" spans="1:5" x14ac:dyDescent="0.25">
      <c r="A40" s="71" t="s">
        <v>334</v>
      </c>
      <c r="B40" s="71"/>
      <c r="C40" s="71"/>
      <c r="D40" s="71"/>
      <c r="E40" s="71"/>
    </row>
    <row r="41" spans="1:5" x14ac:dyDescent="0.25">
      <c r="A41" s="71" t="s">
        <v>136</v>
      </c>
    </row>
    <row r="43" spans="1:5" x14ac:dyDescent="0.25">
      <c r="A43"/>
    </row>
    <row r="44" spans="1:5" x14ac:dyDescent="0.25">
      <c r="A44"/>
      <c r="B44"/>
    </row>
    <row r="45" spans="1:5" x14ac:dyDescent="0.25">
      <c r="A45"/>
      <c r="C45" s="55"/>
    </row>
  </sheetData>
  <pageMargins left="0.45" right="0.45" top="0.75" bottom="0.75" header="0.3" footer="0.3"/>
  <pageSetup orientation="portrait" r:id="rId1"/>
  <headerFooter>
    <oddFooter>&amp;L&amp;F
&amp;A&amp;RPrepared By: Jeanne Pluth
Date: January 19, 2018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50"/>
  <sheetViews>
    <sheetView showOutlineSymbols="0" zoomScaleNormal="100" zoomScaleSheetLayoutView="100" workbookViewId="0">
      <pane xSplit="1" ySplit="9" topLeftCell="B22" activePane="bottomRight" state="frozen"/>
      <selection activeCell="D27" sqref="D27"/>
      <selection pane="topRight" activeCell="D27" sqref="D27"/>
      <selection pane="bottomLeft" activeCell="D27" sqref="D27"/>
      <selection pane="bottomRight" activeCell="C30" sqref="C30"/>
    </sheetView>
  </sheetViews>
  <sheetFormatPr defaultColWidth="9.6640625" defaultRowHeight="12.6" x14ac:dyDescent="0.25"/>
  <cols>
    <col min="1" max="1" width="36.6640625" style="74" customWidth="1"/>
    <col min="2" max="4" width="15.6640625" style="74" customWidth="1"/>
    <col min="5" max="5" width="5.6640625" style="74" bestFit="1" customWidth="1"/>
    <col min="10" max="16384" width="9.6640625" style="74"/>
  </cols>
  <sheetData>
    <row r="1" spans="1:5" x14ac:dyDescent="0.25">
      <c r="A1" s="71" t="str">
        <f>Notes!A1</f>
        <v>Avista Utilities</v>
      </c>
      <c r="B1" s="71"/>
      <c r="C1" s="71"/>
      <c r="D1" s="71"/>
      <c r="E1" s="97"/>
    </row>
    <row r="2" spans="1:5" x14ac:dyDescent="0.25">
      <c r="A2" s="71" t="s">
        <v>313</v>
      </c>
      <c r="B2" s="71"/>
      <c r="C2" s="71"/>
      <c r="D2" s="71"/>
      <c r="E2" s="71"/>
    </row>
    <row r="3" spans="1:5" x14ac:dyDescent="0.25">
      <c r="A3" s="71" t="str">
        <f>Notes!A4</f>
        <v>For the Twelve Months Ended December 31, 2019</v>
      </c>
      <c r="B3" s="71"/>
      <c r="C3" s="71"/>
      <c r="D3" s="71"/>
      <c r="E3" s="71"/>
    </row>
    <row r="4" spans="1:5" x14ac:dyDescent="0.25">
      <c r="A4" s="71"/>
      <c r="B4" s="71"/>
      <c r="C4" s="71"/>
      <c r="D4" s="71"/>
      <c r="E4" s="71"/>
    </row>
    <row r="5" spans="1:5" x14ac:dyDescent="0.25">
      <c r="A5" s="71"/>
      <c r="B5" s="71"/>
      <c r="C5" s="71"/>
      <c r="D5" s="71"/>
      <c r="E5" s="71"/>
    </row>
    <row r="6" spans="1:5" x14ac:dyDescent="0.25">
      <c r="A6" s="71"/>
      <c r="B6" s="71"/>
      <c r="C6" s="71"/>
      <c r="D6" s="71"/>
      <c r="E6" s="71"/>
    </row>
    <row r="7" spans="1:5" x14ac:dyDescent="0.25">
      <c r="A7" s="71"/>
      <c r="B7" s="98" t="s">
        <v>1</v>
      </c>
      <c r="C7" s="98" t="s">
        <v>78</v>
      </c>
      <c r="D7" s="98" t="s">
        <v>79</v>
      </c>
      <c r="E7" s="98" t="s">
        <v>55</v>
      </c>
    </row>
    <row r="8" spans="1:5" x14ac:dyDescent="0.25">
      <c r="A8" s="71"/>
      <c r="B8" s="98" t="s">
        <v>199</v>
      </c>
      <c r="C8" s="71"/>
      <c r="D8" s="71"/>
      <c r="E8" s="71"/>
    </row>
    <row r="9" spans="1:5" x14ac:dyDescent="0.25">
      <c r="A9" s="71"/>
      <c r="B9" s="71"/>
      <c r="C9" s="71"/>
      <c r="D9" s="71"/>
      <c r="E9" s="71"/>
    </row>
    <row r="10" spans="1:5" x14ac:dyDescent="0.25">
      <c r="A10" s="1" t="s">
        <v>306</v>
      </c>
      <c r="B10" s="71"/>
      <c r="C10" s="71"/>
      <c r="D10" s="71"/>
      <c r="E10" s="71"/>
    </row>
    <row r="11" spans="1:5" x14ac:dyDescent="0.25">
      <c r="A11" s="1" t="s">
        <v>307</v>
      </c>
      <c r="B11" s="99" t="e">
        <f>SUM(C11:D11)</f>
        <v>#REF!</v>
      </c>
      <c r="C11" s="99" t="e">
        <f>'GAS-2019'!C11-#REF!</f>
        <v>#REF!</v>
      </c>
      <c r="D11" s="99" t="e">
        <f>'GAS-2019'!D11-#REF!</f>
        <v>#REF!</v>
      </c>
      <c r="E11" s="136"/>
    </row>
    <row r="12" spans="1:5" x14ac:dyDescent="0.25">
      <c r="A12" s="1" t="s">
        <v>309</v>
      </c>
      <c r="B12" s="53" t="e">
        <f>SUM(C12:D12)</f>
        <v>#REF!</v>
      </c>
      <c r="C12" s="53" t="e">
        <f>'GAS-2019'!C12-#REF!</f>
        <v>#REF!</v>
      </c>
      <c r="D12" s="53" t="e">
        <f>'GAS-2019'!D12-#REF!</f>
        <v>#REF!</v>
      </c>
      <c r="E12" s="136"/>
    </row>
    <row r="13" spans="1:5" x14ac:dyDescent="0.25">
      <c r="A13" s="1" t="s">
        <v>308</v>
      </c>
      <c r="B13" s="53" t="e">
        <f>SUM(C13:D13)</f>
        <v>#REF!</v>
      </c>
      <c r="C13" s="53" t="e">
        <f>'GAS-2019'!C13-#REF!</f>
        <v>#REF!</v>
      </c>
      <c r="D13" s="53" t="e">
        <f>'GAS-2019'!D13-#REF!</f>
        <v>#REF!</v>
      </c>
      <c r="E13" s="136"/>
    </row>
    <row r="14" spans="1:5" x14ac:dyDescent="0.25">
      <c r="A14" s="71" t="s">
        <v>135</v>
      </c>
      <c r="B14" s="100" t="e">
        <f>SUM(B11:B13)</f>
        <v>#REF!</v>
      </c>
      <c r="C14" s="100" t="e">
        <f t="shared" ref="C14:D14" si="0">SUM(C11:C13)</f>
        <v>#REF!</v>
      </c>
      <c r="D14" s="100" t="e">
        <f t="shared" si="0"/>
        <v>#REF!</v>
      </c>
      <c r="E14" s="135"/>
    </row>
    <row r="15" spans="1:5" x14ac:dyDescent="0.25">
      <c r="A15" s="71"/>
      <c r="B15" s="71"/>
      <c r="C15" s="71"/>
      <c r="D15" s="71"/>
      <c r="E15" s="135"/>
    </row>
    <row r="16" spans="1:5" x14ac:dyDescent="0.25">
      <c r="A16" s="71" t="s">
        <v>58</v>
      </c>
      <c r="B16" s="101" t="e">
        <f>SUM(C16:D16)</f>
        <v>#REF!</v>
      </c>
      <c r="C16" s="101" t="e">
        <f>'GAS-2019'!C16-#REF!</f>
        <v>#REF!</v>
      </c>
      <c r="D16" s="101" t="e">
        <f>'GAS-2019'!D16-#REF!</f>
        <v>#REF!</v>
      </c>
      <c r="E16" s="135"/>
    </row>
    <row r="17" spans="1:5" x14ac:dyDescent="0.25">
      <c r="A17" s="71"/>
      <c r="B17" s="71"/>
      <c r="C17" s="71"/>
      <c r="D17" s="71"/>
      <c r="E17" s="135"/>
    </row>
    <row r="18" spans="1:5" x14ac:dyDescent="0.25">
      <c r="A18" s="1" t="s">
        <v>59</v>
      </c>
      <c r="B18" s="71"/>
      <c r="C18" s="71"/>
      <c r="D18" s="71"/>
      <c r="E18" s="135"/>
    </row>
    <row r="19" spans="1:5" x14ac:dyDescent="0.25">
      <c r="A19" s="1" t="s">
        <v>307</v>
      </c>
      <c r="B19" s="99" t="e">
        <f>SUM(C19:D19)</f>
        <v>#REF!</v>
      </c>
      <c r="C19" s="99" t="e">
        <f>'GAS-2019'!C19-#REF!</f>
        <v>#REF!</v>
      </c>
      <c r="D19" s="99" t="e">
        <f>'GAS-2019'!D19-#REF!</f>
        <v>#REF!</v>
      </c>
      <c r="E19" s="136"/>
    </row>
    <row r="20" spans="1:5" x14ac:dyDescent="0.25">
      <c r="A20" s="1" t="s">
        <v>309</v>
      </c>
      <c r="B20" s="53" t="e">
        <f>SUM(C20:D20)</f>
        <v>#REF!</v>
      </c>
      <c r="C20" s="53" t="e">
        <f>'GAS-2019'!C20-#REF!</f>
        <v>#REF!</v>
      </c>
      <c r="D20" s="53" t="e">
        <f>'GAS-2019'!D20-#REF!</f>
        <v>#REF!</v>
      </c>
      <c r="E20" s="136"/>
    </row>
    <row r="21" spans="1:5" x14ac:dyDescent="0.25">
      <c r="A21" s="1" t="s">
        <v>308</v>
      </c>
      <c r="B21" s="53" t="e">
        <f>SUM(C21:D21)</f>
        <v>#REF!</v>
      </c>
      <c r="C21" s="53" t="e">
        <f>'GAS-2019'!C21-#REF!</f>
        <v>#REF!</v>
      </c>
      <c r="D21" s="53" t="e">
        <f>'GAS-2019'!D21-#REF!</f>
        <v>#REF!</v>
      </c>
      <c r="E21" s="136"/>
    </row>
    <row r="22" spans="1:5" x14ac:dyDescent="0.25">
      <c r="A22" s="71" t="s">
        <v>135</v>
      </c>
      <c r="B22" s="100" t="e">
        <f>SUM(B19:B21)</f>
        <v>#REF!</v>
      </c>
      <c r="C22" s="100" t="e">
        <f t="shared" ref="C22:D22" si="1">SUM(C19:C21)</f>
        <v>#REF!</v>
      </c>
      <c r="D22" s="100" t="e">
        <f t="shared" si="1"/>
        <v>#REF!</v>
      </c>
      <c r="E22" s="135"/>
    </row>
    <row r="23" spans="1:5" x14ac:dyDescent="0.25">
      <c r="A23" s="71"/>
      <c r="B23" s="71"/>
      <c r="C23" s="71"/>
      <c r="D23" s="71"/>
      <c r="E23" s="135"/>
    </row>
    <row r="24" spans="1:5" x14ac:dyDescent="0.25">
      <c r="A24" s="71" t="s">
        <v>58</v>
      </c>
      <c r="B24" s="101" t="e">
        <f>SUM(C24:D24)</f>
        <v>#REF!</v>
      </c>
      <c r="C24" s="101" t="e">
        <f>'GAS-2019'!C24-#REF!</f>
        <v>#REF!</v>
      </c>
      <c r="D24" s="101" t="e">
        <f>'GAS-2019'!D24-#REF!</f>
        <v>#REF!</v>
      </c>
      <c r="E24" s="135"/>
    </row>
    <row r="25" spans="1:5" x14ac:dyDescent="0.25">
      <c r="A25" s="71"/>
      <c r="B25" s="71"/>
      <c r="C25" s="71"/>
      <c r="D25" s="71"/>
      <c r="E25" s="135"/>
    </row>
    <row r="26" spans="1:5" x14ac:dyDescent="0.25">
      <c r="A26" s="78" t="s">
        <v>315</v>
      </c>
      <c r="B26" s="53" t="e">
        <f>SUM(C26:D26)</f>
        <v>#REF!</v>
      </c>
      <c r="C26" s="53" t="e">
        <f>'GAS-2019'!C26-#REF!</f>
        <v>#REF!</v>
      </c>
      <c r="D26" s="53" t="e">
        <f>'GAS-2019'!D26-#REF!</f>
        <v>#REF!</v>
      </c>
      <c r="E26" s="140"/>
    </row>
    <row r="27" spans="1:5" x14ac:dyDescent="0.25">
      <c r="A27" s="71"/>
      <c r="B27" s="71"/>
      <c r="C27" s="71"/>
      <c r="D27" s="71"/>
      <c r="E27" s="135"/>
    </row>
    <row r="28" spans="1:5" x14ac:dyDescent="0.25">
      <c r="A28" s="71" t="s">
        <v>58</v>
      </c>
      <c r="B28" s="101" t="e">
        <f>SUM(C28:D28)</f>
        <v>#REF!</v>
      </c>
      <c r="C28" s="101" t="e">
        <f>'GAS-2019'!C28-#REF!</f>
        <v>#REF!</v>
      </c>
      <c r="D28" s="101" t="e">
        <f>'GAS-2019'!D28-#REF!</f>
        <v>#REF!</v>
      </c>
      <c r="E28" s="135"/>
    </row>
    <row r="29" spans="1:5" x14ac:dyDescent="0.25">
      <c r="A29" s="71"/>
      <c r="B29" s="71"/>
      <c r="C29" s="71"/>
      <c r="D29" s="71"/>
      <c r="E29" s="135"/>
    </row>
    <row r="30" spans="1:5" x14ac:dyDescent="0.25">
      <c r="A30" s="71" t="s">
        <v>221</v>
      </c>
      <c r="B30" s="99" t="e">
        <f>SUM(C30:D30)</f>
        <v>#REF!</v>
      </c>
      <c r="C30" s="99" t="e">
        <f>'GAS-2019'!C30-#REF!</f>
        <v>#REF!</v>
      </c>
      <c r="D30" s="99" t="e">
        <f>'GAS-2019'!D30-#REF!</f>
        <v>#REF!</v>
      </c>
      <c r="E30" s="141"/>
    </row>
    <row r="31" spans="1:5" x14ac:dyDescent="0.25">
      <c r="A31" s="71"/>
      <c r="B31" s="99"/>
      <c r="C31" s="95"/>
      <c r="D31" s="95"/>
      <c r="E31" s="141"/>
    </row>
    <row r="32" spans="1:5" x14ac:dyDescent="0.25">
      <c r="A32" s="71" t="s">
        <v>242</v>
      </c>
      <c r="B32" s="103" t="e">
        <f>SUM(C32:D32)</f>
        <v>#REF!</v>
      </c>
      <c r="C32" s="103" t="e">
        <f>+C30+C31</f>
        <v>#REF!</v>
      </c>
      <c r="D32" s="103" t="e">
        <f>+D30+D31</f>
        <v>#REF!</v>
      </c>
      <c r="E32" s="141"/>
    </row>
    <row r="33" spans="1:5" x14ac:dyDescent="0.25">
      <c r="A33" s="71"/>
      <c r="B33" s="71"/>
      <c r="C33" s="71"/>
      <c r="D33" s="71"/>
      <c r="E33" s="135"/>
    </row>
    <row r="34" spans="1:5" x14ac:dyDescent="0.25">
      <c r="A34" s="71" t="s">
        <v>58</v>
      </c>
      <c r="B34" s="101" t="e">
        <f>SUM(C34:D34)</f>
        <v>#REF!</v>
      </c>
      <c r="C34" s="101" t="e">
        <f>'GAS-2019'!C34-#REF!</f>
        <v>#REF!</v>
      </c>
      <c r="D34" s="101" t="e">
        <f>'GAS-2019'!D34-#REF!</f>
        <v>#REF!</v>
      </c>
      <c r="E34" s="135"/>
    </row>
    <row r="35" spans="1:5" x14ac:dyDescent="0.25">
      <c r="A35" s="71"/>
      <c r="B35" s="71"/>
      <c r="C35" s="71"/>
      <c r="D35" s="71"/>
      <c r="E35" s="135"/>
    </row>
    <row r="36" spans="1:5" x14ac:dyDescent="0.25">
      <c r="A36" s="71" t="s">
        <v>64</v>
      </c>
      <c r="B36" s="71"/>
      <c r="C36" s="71"/>
      <c r="D36" s="71"/>
      <c r="E36" s="135"/>
    </row>
    <row r="37" spans="1:5" x14ac:dyDescent="0.25">
      <c r="A37" s="71" t="s">
        <v>65</v>
      </c>
      <c r="B37" s="104" t="e">
        <f>SUM(C37:D37)</f>
        <v>#REF!</v>
      </c>
      <c r="C37" s="104" t="e">
        <f>C16+C24+C28+C34</f>
        <v>#REF!</v>
      </c>
      <c r="D37" s="104" t="e">
        <f>D16+D24+D28+D34</f>
        <v>#REF!</v>
      </c>
      <c r="E37" s="136"/>
    </row>
    <row r="38" spans="1:5" ht="13.2" thickBot="1" x14ac:dyDescent="0.3">
      <c r="A38" s="71" t="s">
        <v>66</v>
      </c>
      <c r="B38" s="142" t="e">
        <f>SUM(C38:D38)</f>
        <v>#REF!</v>
      </c>
      <c r="C38" s="143" t="e">
        <f>'GAS-2019'!C38-#REF!</f>
        <v>#REF!</v>
      </c>
      <c r="D38" s="143" t="e">
        <f>'GAS-2019'!D38-#REF!</f>
        <v>#REF!</v>
      </c>
      <c r="E38" s="136"/>
    </row>
    <row r="39" spans="1:5" ht="13.2" thickTop="1" x14ac:dyDescent="0.25">
      <c r="A39" s="71"/>
      <c r="B39" s="71"/>
      <c r="C39" s="71"/>
      <c r="D39" s="71"/>
      <c r="E39" s="71"/>
    </row>
    <row r="40" spans="1:5" x14ac:dyDescent="0.25">
      <c r="A40" s="71"/>
      <c r="B40" s="71"/>
      <c r="C40" s="71"/>
      <c r="D40" s="71"/>
      <c r="E40" s="71"/>
    </row>
    <row r="41" spans="1:5" x14ac:dyDescent="0.25">
      <c r="A41" s="71"/>
      <c r="B41" s="71"/>
      <c r="C41" s="71"/>
      <c r="D41" s="71"/>
      <c r="E41" s="71"/>
    </row>
    <row r="42" spans="1:5" x14ac:dyDescent="0.25">
      <c r="A42" s="71"/>
      <c r="B42" s="71"/>
      <c r="C42" s="71"/>
      <c r="D42" s="71"/>
      <c r="E42" s="71"/>
    </row>
    <row r="43" spans="1:5" x14ac:dyDescent="0.25">
      <c r="A43" s="71"/>
      <c r="B43" s="71"/>
      <c r="C43" s="71"/>
      <c r="D43" s="71"/>
      <c r="E43" s="71"/>
    </row>
    <row r="44" spans="1:5" x14ac:dyDescent="0.25">
      <c r="A44" s="11"/>
      <c r="B44" s="71"/>
      <c r="C44" s="71"/>
      <c r="D44" s="71"/>
      <c r="E44" s="71"/>
    </row>
    <row r="45" spans="1:5" x14ac:dyDescent="0.25">
      <c r="A45" s="71"/>
      <c r="B45" s="71"/>
      <c r="C45" s="71"/>
      <c r="D45" s="71"/>
      <c r="E45" s="71"/>
    </row>
    <row r="48" spans="1:5" x14ac:dyDescent="0.25">
      <c r="A48"/>
    </row>
    <row r="49" spans="1:3" x14ac:dyDescent="0.25">
      <c r="A49"/>
      <c r="B49"/>
    </row>
    <row r="50" spans="1:3" x14ac:dyDescent="0.25">
      <c r="A50"/>
      <c r="C50" s="55"/>
    </row>
  </sheetData>
  <pageMargins left="0.7" right="0.7" top="0.75" bottom="0.75" header="0.3" footer="0.3"/>
  <pageSetup orientation="portrait" r:id="rId1"/>
  <headerFooter>
    <oddFooter>&amp;L&amp;F
&amp;A&amp;RPrepared By: Jeanne Pluth
Date: January 19, 2018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38"/>
  <sheetViews>
    <sheetView showZeros="0" showOutlineSymbols="0" zoomScaleNormal="100" workbookViewId="0">
      <pane xSplit="3" ySplit="8" topLeftCell="D9" activePane="bottomRight" state="frozen"/>
      <selection pane="topRight"/>
      <selection pane="bottomLeft"/>
      <selection pane="bottomRight" activeCell="G21" activeCellId="1" sqref="D21 G21"/>
    </sheetView>
  </sheetViews>
  <sheetFormatPr defaultColWidth="9.6640625" defaultRowHeight="12.6" x14ac:dyDescent="0.25"/>
  <cols>
    <col min="1" max="1" width="9.6640625" customWidth="1"/>
    <col min="2" max="3" width="16.6640625" customWidth="1"/>
    <col min="4" max="4" width="20.5546875" bestFit="1" customWidth="1"/>
    <col min="5" max="5" width="11.44140625" bestFit="1" customWidth="1"/>
    <col min="6" max="6" width="12.6640625" customWidth="1"/>
    <col min="7" max="7" width="11.77734375" bestFit="1" customWidth="1"/>
    <col min="8" max="8" width="12.44140625" bestFit="1" customWidth="1"/>
  </cols>
  <sheetData>
    <row r="1" spans="1:8" x14ac:dyDescent="0.25">
      <c r="A1" s="1" t="str">
        <f>Notes!A1</f>
        <v>Avista Utilities</v>
      </c>
      <c r="B1" s="1"/>
      <c r="C1" s="1"/>
      <c r="D1" s="1"/>
      <c r="E1" s="1"/>
      <c r="F1" s="1"/>
      <c r="G1" s="85"/>
    </row>
    <row r="2" spans="1:8" x14ac:dyDescent="0.25">
      <c r="A2" s="1" t="s">
        <v>137</v>
      </c>
      <c r="B2" s="1"/>
      <c r="C2" s="1"/>
      <c r="D2" s="1"/>
      <c r="E2" s="1"/>
      <c r="F2" s="1"/>
      <c r="G2" s="1"/>
    </row>
    <row r="3" spans="1:8" x14ac:dyDescent="0.25">
      <c r="A3" s="1" t="str">
        <f>Notes!A5</f>
        <v>Balances at December 31, 2019</v>
      </c>
      <c r="B3" s="1"/>
      <c r="C3" s="1"/>
      <c r="D3" s="1"/>
      <c r="E3" s="1"/>
      <c r="F3" s="1"/>
      <c r="G3" s="1"/>
    </row>
    <row r="4" spans="1:8" x14ac:dyDescent="0.25">
      <c r="A4" s="1"/>
      <c r="B4" s="1"/>
      <c r="C4" s="1"/>
      <c r="D4" s="1"/>
      <c r="E4" s="1"/>
      <c r="F4" s="1"/>
      <c r="G4" s="1"/>
    </row>
    <row r="5" spans="1:8" x14ac:dyDescent="0.25">
      <c r="A5" s="1"/>
      <c r="B5" s="1"/>
      <c r="C5" s="1"/>
      <c r="D5" s="1"/>
      <c r="E5" s="1"/>
      <c r="F5" s="1"/>
      <c r="G5" s="1"/>
    </row>
    <row r="6" spans="1:8" x14ac:dyDescent="0.25">
      <c r="D6" s="8" t="s">
        <v>2</v>
      </c>
    </row>
    <row r="7" spans="1:8" x14ac:dyDescent="0.25">
      <c r="A7" s="1"/>
      <c r="B7" s="1"/>
      <c r="C7" s="1"/>
      <c r="D7" s="8" t="s">
        <v>80</v>
      </c>
      <c r="E7" s="8" t="s">
        <v>78</v>
      </c>
      <c r="F7" s="8" t="s">
        <v>79</v>
      </c>
      <c r="G7" s="51" t="s">
        <v>40</v>
      </c>
    </row>
    <row r="8" spans="1:8" x14ac:dyDescent="0.25">
      <c r="A8" s="1"/>
      <c r="B8" s="1"/>
      <c r="C8" s="1"/>
      <c r="D8" s="8" t="s">
        <v>1</v>
      </c>
      <c r="E8" s="8" t="s">
        <v>80</v>
      </c>
      <c r="F8" s="8" t="s">
        <v>80</v>
      </c>
      <c r="G8" s="40"/>
    </row>
    <row r="9" spans="1:8" x14ac:dyDescent="0.25">
      <c r="A9" s="1" t="s">
        <v>138</v>
      </c>
      <c r="B9" s="1"/>
      <c r="C9" s="1"/>
      <c r="D9" s="1"/>
      <c r="E9" s="1"/>
      <c r="F9" s="1"/>
      <c r="G9" s="40"/>
    </row>
    <row r="10" spans="1:8" x14ac:dyDescent="0.25">
      <c r="G10" s="45"/>
    </row>
    <row r="11" spans="1:8" x14ac:dyDescent="0.25">
      <c r="A11" s="1" t="s">
        <v>139</v>
      </c>
      <c r="B11" s="1" t="s">
        <v>82</v>
      </c>
      <c r="C11" s="1"/>
      <c r="D11" s="3">
        <f t="shared" ref="D11:D20" si="0">E11+F11</f>
        <v>484592</v>
      </c>
      <c r="E11" s="6">
        <v>122313</v>
      </c>
      <c r="F11" s="6">
        <v>362279</v>
      </c>
      <c r="G11" s="52">
        <v>22774</v>
      </c>
      <c r="H11" s="54">
        <f>SUM(E11:G11)-'UtilityPlt-2019'!D29</f>
        <v>0</v>
      </c>
    </row>
    <row r="12" spans="1:8" x14ac:dyDescent="0.25">
      <c r="A12" s="1" t="s">
        <v>140</v>
      </c>
      <c r="B12" s="1" t="s">
        <v>83</v>
      </c>
      <c r="C12" s="1"/>
      <c r="D12" s="3">
        <f t="shared" si="0"/>
        <v>3839172</v>
      </c>
      <c r="E12" s="6">
        <v>1126035</v>
      </c>
      <c r="F12" s="6">
        <v>2713137</v>
      </c>
      <c r="G12" s="52">
        <v>4636340</v>
      </c>
      <c r="H12" s="54">
        <f>SUM(E12:G12)-'UtilityPlt-2019'!D30</f>
        <v>0</v>
      </c>
    </row>
    <row r="13" spans="1:8" x14ac:dyDescent="0.25">
      <c r="A13" s="1" t="s">
        <v>141</v>
      </c>
      <c r="B13" s="1" t="s">
        <v>84</v>
      </c>
      <c r="C13" s="1"/>
      <c r="D13" s="3">
        <f t="shared" si="0"/>
        <v>-195079</v>
      </c>
      <c r="E13" s="6">
        <v>-202686</v>
      </c>
      <c r="F13" s="6">
        <v>7607</v>
      </c>
      <c r="G13" s="52">
        <v>1642750</v>
      </c>
      <c r="H13" s="54">
        <f>SUM(E13:G13)-'UtilityPlt-2019'!D31</f>
        <v>0</v>
      </c>
    </row>
    <row r="14" spans="1:8" x14ac:dyDescent="0.25">
      <c r="A14" s="1" t="s">
        <v>142</v>
      </c>
      <c r="B14" s="1" t="s">
        <v>19</v>
      </c>
      <c r="C14" s="1"/>
      <c r="D14" s="3">
        <f t="shared" si="0"/>
        <v>33967026</v>
      </c>
      <c r="E14" s="6">
        <v>23903607</v>
      </c>
      <c r="F14" s="6">
        <v>10063419</v>
      </c>
      <c r="G14" s="52">
        <v>15962597</v>
      </c>
      <c r="H14" s="54">
        <f>SUM(E14:G14)-'UtilityPlt-2019'!D32</f>
        <v>0</v>
      </c>
    </row>
    <row r="15" spans="1:8" x14ac:dyDescent="0.25">
      <c r="A15" s="1" t="s">
        <v>143</v>
      </c>
      <c r="B15" s="1" t="s">
        <v>20</v>
      </c>
      <c r="C15" s="1"/>
      <c r="D15" s="3">
        <f t="shared" si="0"/>
        <v>2326</v>
      </c>
      <c r="E15" s="6">
        <v>980</v>
      </c>
      <c r="F15" s="6">
        <v>1346</v>
      </c>
      <c r="G15" s="52">
        <v>389504</v>
      </c>
      <c r="H15" s="54">
        <f>SUM(E15:G15)-'UtilityPlt-2019'!D33</f>
        <v>0</v>
      </c>
    </row>
    <row r="16" spans="1:8" x14ac:dyDescent="0.25">
      <c r="A16" s="1" t="s">
        <v>144</v>
      </c>
      <c r="B16" s="1" t="s">
        <v>85</v>
      </c>
      <c r="C16" s="1"/>
      <c r="D16" s="3">
        <f t="shared" si="0"/>
        <v>1018337</v>
      </c>
      <c r="E16" s="6">
        <v>779139</v>
      </c>
      <c r="F16" s="6">
        <v>239198</v>
      </c>
      <c r="G16" s="52">
        <f>5027513+116804</f>
        <v>5144317</v>
      </c>
      <c r="H16" s="54">
        <f>SUM(E16:G16)-'UtilityPlt-2019'!D34</f>
        <v>0</v>
      </c>
    </row>
    <row r="17" spans="1:8" x14ac:dyDescent="0.25">
      <c r="A17" s="1" t="s">
        <v>145</v>
      </c>
      <c r="B17" s="1" t="s">
        <v>22</v>
      </c>
      <c r="C17" s="1"/>
      <c r="D17" s="3">
        <f t="shared" si="0"/>
        <v>424871</v>
      </c>
      <c r="E17" s="6">
        <v>411291</v>
      </c>
      <c r="F17" s="6">
        <v>13580</v>
      </c>
      <c r="G17" s="52">
        <v>1376860</v>
      </c>
      <c r="H17" s="54">
        <f>SUM(E17:G17)-'UtilityPlt-2019'!D35</f>
        <v>0</v>
      </c>
    </row>
    <row r="18" spans="1:8" x14ac:dyDescent="0.25">
      <c r="A18" s="1" t="s">
        <v>146</v>
      </c>
      <c r="B18" s="1" t="s">
        <v>23</v>
      </c>
      <c r="C18" s="1"/>
      <c r="D18" s="3">
        <f t="shared" si="0"/>
        <v>23350425</v>
      </c>
      <c r="E18" s="6">
        <v>13859344</v>
      </c>
      <c r="F18" s="6">
        <v>9491081</v>
      </c>
      <c r="G18" s="52">
        <v>8447701</v>
      </c>
      <c r="H18" s="54">
        <f>SUM(E18:G18)-'UtilityPlt-2019'!D36</f>
        <v>0</v>
      </c>
    </row>
    <row r="19" spans="1:8" x14ac:dyDescent="0.25">
      <c r="A19" s="1" t="s">
        <v>147</v>
      </c>
      <c r="B19" s="1" t="s">
        <v>86</v>
      </c>
      <c r="C19" s="1"/>
      <c r="D19" s="3">
        <f t="shared" si="0"/>
        <v>16497778</v>
      </c>
      <c r="E19" s="6">
        <v>10464759</v>
      </c>
      <c r="F19" s="6">
        <v>6033019</v>
      </c>
      <c r="G19" s="52">
        <v>32310093</v>
      </c>
      <c r="H19" s="54">
        <f>SUM(E19:G19)-'UtilityPlt-2019'!D37</f>
        <v>0</v>
      </c>
    </row>
    <row r="20" spans="1:8" x14ac:dyDescent="0.25">
      <c r="A20" s="1" t="s">
        <v>148</v>
      </c>
      <c r="B20" s="1" t="s">
        <v>25</v>
      </c>
      <c r="C20" s="1"/>
      <c r="D20" s="3">
        <f t="shared" si="0"/>
        <v>6846</v>
      </c>
      <c r="E20" s="6"/>
      <c r="F20" s="6">
        <v>6846</v>
      </c>
      <c r="G20" s="52">
        <v>186505</v>
      </c>
      <c r="H20" s="54">
        <f>SUM(E20:G20)-'UtilityPlt-2019'!D38</f>
        <v>0</v>
      </c>
    </row>
    <row r="21" spans="1:8" ht="13.2" thickBot="1" x14ac:dyDescent="0.3">
      <c r="A21" s="1"/>
      <c r="B21" s="8" t="s">
        <v>1</v>
      </c>
      <c r="C21" s="1"/>
      <c r="D21" s="15">
        <f>SUM(D11:D20)</f>
        <v>79396294</v>
      </c>
      <c r="E21" s="15">
        <f>SUM(E11:E20)</f>
        <v>50464782</v>
      </c>
      <c r="F21" s="15">
        <f>SUM(F11:F20)</f>
        <v>28931512</v>
      </c>
      <c r="G21" s="47">
        <f>SUM(G11:G20)</f>
        <v>70119441</v>
      </c>
      <c r="H21" s="54">
        <f>SUM(E21:G21)-'UtilityPlt-2019'!D39</f>
        <v>0</v>
      </c>
    </row>
    <row r="22" spans="1:8" ht="13.2" thickTop="1" x14ac:dyDescent="0.25">
      <c r="A22" s="1"/>
      <c r="B22" s="1"/>
      <c r="C22" s="1"/>
      <c r="D22" s="73" t="str">
        <f>IF(+D21+G21-'UtilityPlt-2019'!D39=0," ",+'UtilityPlt-2019'!D39)</f>
        <v xml:space="preserve"> </v>
      </c>
      <c r="E22" s="1"/>
      <c r="F22" s="1"/>
      <c r="G22" s="1"/>
    </row>
    <row r="24" spans="1:8" x14ac:dyDescent="0.25">
      <c r="A24" s="1"/>
      <c r="B24" s="1"/>
      <c r="C24" s="1"/>
      <c r="D24" s="9" t="s">
        <v>1</v>
      </c>
      <c r="E24" s="9" t="s">
        <v>78</v>
      </c>
      <c r="F24" s="9" t="s">
        <v>79</v>
      </c>
      <c r="G24" s="9" t="s">
        <v>40</v>
      </c>
    </row>
    <row r="25" spans="1:8" x14ac:dyDescent="0.25">
      <c r="A25" s="1" t="s">
        <v>87</v>
      </c>
      <c r="B25" s="1"/>
      <c r="C25" s="1"/>
      <c r="D25" s="1"/>
      <c r="E25" s="8" t="s">
        <v>80</v>
      </c>
      <c r="F25" s="8" t="s">
        <v>80</v>
      </c>
      <c r="G25" s="1"/>
    </row>
    <row r="27" spans="1:8" x14ac:dyDescent="0.25">
      <c r="A27" s="1" t="s">
        <v>89</v>
      </c>
      <c r="B27" s="1" t="s">
        <v>16</v>
      </c>
      <c r="C27" s="1"/>
      <c r="D27" s="3">
        <f t="shared" ref="D27:D36" si="1">SUM(E27:G27)</f>
        <v>1990400</v>
      </c>
      <c r="E27" s="3">
        <f>'GasPlt-2019'!E29</f>
        <v>887756</v>
      </c>
      <c r="F27" s="3">
        <f>'GasPlt-2019'!F29</f>
        <v>437225</v>
      </c>
      <c r="G27" s="3">
        <f>'GasPlt-2019'!G29</f>
        <v>665419</v>
      </c>
      <c r="H27" s="54">
        <f>SUM(E27:G27)-'UtilityPlt-2019'!I29</f>
        <v>0</v>
      </c>
    </row>
    <row r="28" spans="1:8" x14ac:dyDescent="0.25">
      <c r="A28" s="1" t="s">
        <v>90</v>
      </c>
      <c r="B28" s="1" t="s">
        <v>17</v>
      </c>
      <c r="C28" s="1"/>
      <c r="D28" s="3">
        <f t="shared" si="1"/>
        <v>30170599</v>
      </c>
      <c r="E28" s="3">
        <f>'GasPlt-2019'!E30</f>
        <v>12122325</v>
      </c>
      <c r="F28" s="3">
        <f>'GasPlt-2019'!F30</f>
        <v>7379848</v>
      </c>
      <c r="G28" s="3">
        <f>'GasPlt-2019'!G30</f>
        <v>10668426</v>
      </c>
      <c r="H28" s="54">
        <f>SUM(E28:G28)-'UtilityPlt-2019'!I30</f>
        <v>0</v>
      </c>
    </row>
    <row r="29" spans="1:8" x14ac:dyDescent="0.25">
      <c r="A29" s="1" t="s">
        <v>91</v>
      </c>
      <c r="B29" s="1" t="s">
        <v>18</v>
      </c>
      <c r="C29" s="1"/>
      <c r="D29" s="3">
        <f t="shared" si="1"/>
        <v>5998052</v>
      </c>
      <c r="E29" s="3">
        <f>'GasPlt-2019'!E31</f>
        <v>5690818</v>
      </c>
      <c r="F29" s="3">
        <f>'GasPlt-2019'!F31</f>
        <v>21868</v>
      </c>
      <c r="G29" s="3">
        <f>'GasPlt-2019'!G31</f>
        <v>285366</v>
      </c>
      <c r="H29" s="54">
        <f>SUM(E29:G29)-'UtilityPlt-2019'!I31</f>
        <v>0</v>
      </c>
    </row>
    <row r="30" spans="1:8" x14ac:dyDescent="0.25">
      <c r="A30" s="1" t="s">
        <v>92</v>
      </c>
      <c r="B30" s="1" t="s">
        <v>19</v>
      </c>
      <c r="C30" s="1"/>
      <c r="D30" s="3">
        <f t="shared" si="1"/>
        <v>6917623</v>
      </c>
      <c r="E30" s="3">
        <f>'GasPlt-2019'!E32</f>
        <v>2463120</v>
      </c>
      <c r="F30" s="3">
        <f>'GasPlt-2019'!F32</f>
        <v>1084391</v>
      </c>
      <c r="G30" s="3">
        <f>'GasPlt-2019'!G32</f>
        <v>3370112</v>
      </c>
      <c r="H30" s="54">
        <f>SUM(E30:G30)-'UtilityPlt-2019'!I32</f>
        <v>0</v>
      </c>
    </row>
    <row r="31" spans="1:8" x14ac:dyDescent="0.25">
      <c r="A31" s="1" t="s">
        <v>93</v>
      </c>
      <c r="B31" s="1" t="s">
        <v>20</v>
      </c>
      <c r="C31" s="1"/>
      <c r="D31" s="3">
        <f t="shared" si="1"/>
        <v>4910771</v>
      </c>
      <c r="E31" s="3">
        <f>'GasPlt-2019'!E33</f>
        <v>327743</v>
      </c>
      <c r="F31" s="3">
        <f>'GasPlt-2019'!F33</f>
        <v>224501</v>
      </c>
      <c r="G31" s="3">
        <f>'GasPlt-2019'!G33</f>
        <v>4358527</v>
      </c>
      <c r="H31" s="54">
        <f>SUM(E31:G31)-'UtilityPlt-2019'!I33</f>
        <v>0</v>
      </c>
    </row>
    <row r="32" spans="1:8" x14ac:dyDescent="0.25">
      <c r="A32" s="1" t="s">
        <v>94</v>
      </c>
      <c r="B32" s="1" t="s">
        <v>21</v>
      </c>
      <c r="C32" s="1"/>
      <c r="D32" s="3">
        <f t="shared" si="1"/>
        <v>1365613</v>
      </c>
      <c r="E32" s="3">
        <f>'GasPlt-2019'!E34</f>
        <v>11890</v>
      </c>
      <c r="F32" s="3">
        <f>'GasPlt-2019'!F34</f>
        <v>962260</v>
      </c>
      <c r="G32" s="3">
        <f>'GasPlt-2019'!G34</f>
        <v>391463</v>
      </c>
      <c r="H32" s="54">
        <f>SUM(E32:G32)-'UtilityPlt-2019'!I34</f>
        <v>0</v>
      </c>
    </row>
    <row r="33" spans="1:8" x14ac:dyDescent="0.25">
      <c r="A33" s="1" t="s">
        <v>95</v>
      </c>
      <c r="B33" s="1" t="s">
        <v>22</v>
      </c>
      <c r="C33" s="1"/>
      <c r="D33" s="3">
        <f t="shared" si="1"/>
        <v>0</v>
      </c>
      <c r="E33" s="3">
        <f>'GasPlt-2019'!E35</f>
        <v>0</v>
      </c>
      <c r="F33" s="3">
        <f>'GasPlt-2019'!F35</f>
        <v>0</v>
      </c>
      <c r="G33" s="3">
        <f>'GasPlt-2019'!G35</f>
        <v>0</v>
      </c>
      <c r="H33" s="54">
        <f>SUM(E33:G33)-'UtilityPlt-2019'!I35</f>
        <v>0</v>
      </c>
    </row>
    <row r="34" spans="1:8" x14ac:dyDescent="0.25">
      <c r="A34" s="1" t="s">
        <v>96</v>
      </c>
      <c r="B34" s="1" t="s">
        <v>23</v>
      </c>
      <c r="C34" s="1"/>
      <c r="D34" s="3">
        <f t="shared" si="1"/>
        <v>1498246</v>
      </c>
      <c r="E34" s="3">
        <f>'GasPlt-2019'!E36</f>
        <v>324084</v>
      </c>
      <c r="F34" s="3">
        <f>'GasPlt-2019'!F36</f>
        <v>526732</v>
      </c>
      <c r="G34" s="3">
        <f>'GasPlt-2019'!G36</f>
        <v>647430</v>
      </c>
      <c r="H34" s="54">
        <f>SUM(E34:G34)-'UtilityPlt-2019'!I36</f>
        <v>0</v>
      </c>
    </row>
    <row r="35" spans="1:8" x14ac:dyDescent="0.25">
      <c r="A35" s="1" t="s">
        <v>97</v>
      </c>
      <c r="B35" s="1" t="s">
        <v>24</v>
      </c>
      <c r="C35" s="1"/>
      <c r="D35" s="3">
        <f t="shared" si="1"/>
        <v>15287620</v>
      </c>
      <c r="E35" s="3">
        <f>'GasPlt-2019'!E37</f>
        <v>9415028</v>
      </c>
      <c r="F35" s="3">
        <f>'GasPlt-2019'!F37</f>
        <v>3735469</v>
      </c>
      <c r="G35" s="3">
        <f>'GasPlt-2019'!G37</f>
        <v>2137123</v>
      </c>
      <c r="H35" s="54">
        <f>SUM(E35:G35)-'UtilityPlt-2019'!I37</f>
        <v>0</v>
      </c>
    </row>
    <row r="36" spans="1:8" x14ac:dyDescent="0.25">
      <c r="A36" s="1" t="s">
        <v>98</v>
      </c>
      <c r="B36" s="1" t="s">
        <v>25</v>
      </c>
      <c r="C36" s="1"/>
      <c r="D36" s="18">
        <f t="shared" si="1"/>
        <v>8573</v>
      </c>
      <c r="E36" s="3">
        <f>'GasPlt-2019'!E38</f>
        <v>0</v>
      </c>
      <c r="F36" s="3">
        <f>'GasPlt-2019'!F38</f>
        <v>8573</v>
      </c>
      <c r="G36" s="3">
        <f>'GasPlt-2019'!G38</f>
        <v>0</v>
      </c>
      <c r="H36">
        <f>SUM(E36:G36)-'UtilityPlt-2019'!I38</f>
        <v>0</v>
      </c>
    </row>
    <row r="37" spans="1:8" ht="13.2" thickBot="1" x14ac:dyDescent="0.3">
      <c r="A37" s="1"/>
      <c r="B37" s="8" t="s">
        <v>1</v>
      </c>
      <c r="C37" s="1"/>
      <c r="D37" s="15">
        <f>SUM(D27:D36)</f>
        <v>68147497</v>
      </c>
      <c r="E37" s="15">
        <f>SUM(E27:E36)</f>
        <v>31242764</v>
      </c>
      <c r="F37" s="15">
        <f>SUM(F27:F36)</f>
        <v>14380867</v>
      </c>
      <c r="G37" s="15">
        <f>SUM(G27:G36)</f>
        <v>22523866</v>
      </c>
      <c r="H37">
        <f>SUM(E37:G37)-'UtilityPlt-2019'!I39</f>
        <v>0</v>
      </c>
    </row>
    <row r="38" spans="1:8" ht="13.2" thickTop="1" x14ac:dyDescent="0.25">
      <c r="A38" s="1"/>
      <c r="B38" s="1"/>
      <c r="C38" s="1"/>
      <c r="D38" s="3" t="str">
        <f>IF(D37='UtilityPlt-2019'!I39," ","CALCULATION ERROR")</f>
        <v xml:space="preserve"> </v>
      </c>
      <c r="E38" s="3"/>
      <c r="F38" s="3"/>
      <c r="G38" s="3"/>
    </row>
  </sheetData>
  <pageMargins left="0.7" right="0.7" top="0.75" bottom="0.75" header="0.3" footer="0.3"/>
  <pageSetup orientation="portrait" r:id="rId1"/>
  <headerFooter>
    <oddFooter>&amp;L&amp;F
&amp;A&amp;RPrepared By: Jeanne Pluth
Date: January 23, 2015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L59"/>
  <sheetViews>
    <sheetView showZeros="0" showOutlineSymbols="0" zoomScaleNormal="100" workbookViewId="0">
      <pane xSplit="5" ySplit="7" topLeftCell="F8" activePane="bottomRight" state="frozen"/>
      <selection pane="topRight"/>
      <selection pane="bottomLeft"/>
      <selection pane="bottomRight" activeCell="J33" sqref="J33"/>
    </sheetView>
  </sheetViews>
  <sheetFormatPr defaultColWidth="9.6640625" defaultRowHeight="12.6" x14ac:dyDescent="0.25"/>
  <cols>
    <col min="1" max="1" width="4.6640625" customWidth="1"/>
    <col min="2" max="2" width="1.6640625" customWidth="1"/>
    <col min="3" max="3" width="11.6640625" customWidth="1"/>
    <col min="4" max="4" width="12.6640625" customWidth="1"/>
    <col min="5" max="5" width="23.6640625" customWidth="1"/>
    <col min="6" max="6" width="13.6640625" customWidth="1"/>
    <col min="7" max="7" width="12.77734375" customWidth="1"/>
    <col min="8" max="8" width="11.6640625" customWidth="1"/>
    <col min="9" max="9" width="12" bestFit="1" customWidth="1"/>
    <col min="10" max="10" width="14.44140625" bestFit="1" customWidth="1"/>
    <col min="12" max="12" width="12.88671875" bestFit="1" customWidth="1"/>
  </cols>
  <sheetData>
    <row r="1" spans="1:10" x14ac:dyDescent="0.25">
      <c r="A1" s="1" t="str">
        <f>Notes!A1</f>
        <v>Avista Utilities</v>
      </c>
      <c r="B1" s="1"/>
      <c r="C1" s="1"/>
      <c r="D1" s="1"/>
      <c r="E1" s="1"/>
      <c r="F1" s="1"/>
      <c r="G1" s="1"/>
      <c r="H1" s="1"/>
      <c r="I1" s="85"/>
    </row>
    <row r="2" spans="1:10" x14ac:dyDescent="0.25">
      <c r="A2" s="8" t="s">
        <v>137</v>
      </c>
      <c r="B2" s="1"/>
      <c r="C2" s="1"/>
      <c r="D2" s="1"/>
      <c r="E2" s="1"/>
      <c r="F2" s="1"/>
      <c r="G2" s="1"/>
      <c r="H2" s="1"/>
      <c r="I2" s="1"/>
    </row>
    <row r="3" spans="1:10" x14ac:dyDescent="0.25">
      <c r="A3" s="1" t="str">
        <f>Notes!A5</f>
        <v>Balances at December 31, 2019</v>
      </c>
      <c r="B3" s="1"/>
      <c r="C3" s="1"/>
      <c r="D3" s="1"/>
      <c r="E3" s="1"/>
      <c r="F3" s="1"/>
      <c r="G3" s="1"/>
      <c r="H3" s="1"/>
      <c r="I3" s="1"/>
    </row>
    <row r="5" spans="1:10" x14ac:dyDescent="0.25">
      <c r="A5" s="1"/>
      <c r="B5" s="1"/>
      <c r="C5" s="1"/>
      <c r="D5" s="1"/>
      <c r="E5" s="1"/>
      <c r="F5" s="8" t="s">
        <v>2</v>
      </c>
      <c r="G5" s="8" t="s">
        <v>78</v>
      </c>
      <c r="H5" s="8" t="s">
        <v>79</v>
      </c>
      <c r="I5" s="9" t="s">
        <v>40</v>
      </c>
      <c r="J5" s="9" t="s">
        <v>40</v>
      </c>
    </row>
    <row r="6" spans="1:10" x14ac:dyDescent="0.25">
      <c r="A6" s="8" t="s">
        <v>99</v>
      </c>
      <c r="B6" s="1"/>
      <c r="C6" s="1"/>
      <c r="D6" s="1"/>
      <c r="E6" s="1"/>
      <c r="F6" s="8" t="s">
        <v>1</v>
      </c>
      <c r="G6" s="1"/>
      <c r="H6" s="1"/>
      <c r="I6" s="1"/>
      <c r="J6" s="8" t="s">
        <v>179</v>
      </c>
    </row>
    <row r="7" spans="1:10" x14ac:dyDescent="0.25">
      <c r="A7" s="1"/>
      <c r="B7" s="1"/>
      <c r="C7" s="1"/>
      <c r="D7" s="1"/>
      <c r="E7" s="1"/>
      <c r="F7" s="8" t="s">
        <v>100</v>
      </c>
      <c r="G7" s="8" t="s">
        <v>101</v>
      </c>
      <c r="H7" s="8" t="s">
        <v>102</v>
      </c>
      <c r="I7" s="8" t="s">
        <v>103</v>
      </c>
      <c r="J7" s="1" t="s">
        <v>180</v>
      </c>
    </row>
    <row r="8" spans="1:10" x14ac:dyDescent="0.25">
      <c r="A8" s="3">
        <v>1</v>
      </c>
      <c r="B8" s="1"/>
      <c r="C8" s="1" t="s">
        <v>149</v>
      </c>
      <c r="D8" s="1"/>
      <c r="E8" s="1"/>
      <c r="F8" s="1"/>
      <c r="G8" s="1"/>
      <c r="H8" s="1"/>
      <c r="I8" s="1"/>
    </row>
    <row r="9" spans="1:10" x14ac:dyDescent="0.25">
      <c r="A9" s="3">
        <v>2</v>
      </c>
      <c r="B9" s="1"/>
      <c r="C9" s="1" t="s">
        <v>283</v>
      </c>
      <c r="D9" s="1"/>
      <c r="E9" s="1"/>
      <c r="F9" s="3">
        <f t="shared" ref="F9:F16" si="0">G9+H9</f>
        <v>324636</v>
      </c>
      <c r="G9" s="6">
        <v>324636</v>
      </c>
      <c r="H9" s="6">
        <v>0</v>
      </c>
      <c r="I9" s="6">
        <f>F9+J9-'UtilityPlt-2019'!D14</f>
        <v>0</v>
      </c>
      <c r="J9" s="167">
        <f>44049218+7950000+2000000+1113823+30095749</f>
        <v>85208790</v>
      </c>
    </row>
    <row r="10" spans="1:10" x14ac:dyDescent="0.25">
      <c r="A10" s="3">
        <v>3</v>
      </c>
      <c r="B10" s="1"/>
      <c r="C10" s="1" t="s">
        <v>280</v>
      </c>
      <c r="D10" s="1"/>
      <c r="E10" s="1"/>
      <c r="F10" s="3">
        <f t="shared" si="0"/>
        <v>319716</v>
      </c>
      <c r="G10" s="6">
        <v>319716</v>
      </c>
      <c r="H10" s="6"/>
      <c r="I10" s="6"/>
      <c r="J10" s="167">
        <v>10380105</v>
      </c>
    </row>
    <row r="11" spans="1:10" x14ac:dyDescent="0.25">
      <c r="A11" s="3">
        <v>4</v>
      </c>
      <c r="B11" s="1"/>
      <c r="C11" s="1" t="s">
        <v>281</v>
      </c>
      <c r="D11" s="1"/>
      <c r="E11" s="1"/>
      <c r="F11" s="3">
        <f t="shared" si="0"/>
        <v>-82333</v>
      </c>
      <c r="G11" s="6">
        <v>-81333</v>
      </c>
      <c r="H11" s="6">
        <v>-1000</v>
      </c>
      <c r="I11" s="6"/>
      <c r="J11" s="167">
        <v>14041639</v>
      </c>
    </row>
    <row r="12" spans="1:10" x14ac:dyDescent="0.25">
      <c r="A12" s="3">
        <v>5</v>
      </c>
      <c r="B12" s="1"/>
      <c r="C12" s="1" t="s">
        <v>397</v>
      </c>
      <c r="D12" s="1"/>
      <c r="E12" s="1"/>
      <c r="F12" s="3">
        <f t="shared" si="0"/>
        <v>776272</v>
      </c>
      <c r="G12" s="6">
        <v>776272</v>
      </c>
      <c r="H12" s="6"/>
      <c r="I12" s="6"/>
      <c r="J12" s="54"/>
    </row>
    <row r="13" spans="1:10" x14ac:dyDescent="0.25">
      <c r="A13" s="3">
        <v>6</v>
      </c>
      <c r="B13" s="1"/>
      <c r="C13" s="1" t="s">
        <v>150</v>
      </c>
      <c r="D13" s="1"/>
      <c r="E13" s="1"/>
      <c r="F13" s="3">
        <f t="shared" si="0"/>
        <v>0</v>
      </c>
      <c r="G13" s="1"/>
      <c r="H13" s="1"/>
      <c r="I13" s="1"/>
      <c r="J13" s="167">
        <v>1424570387</v>
      </c>
    </row>
    <row r="14" spans="1:10" x14ac:dyDescent="0.25">
      <c r="A14" s="3">
        <v>7</v>
      </c>
      <c r="B14" s="1"/>
      <c r="C14" s="1" t="s">
        <v>151</v>
      </c>
      <c r="D14" s="1"/>
      <c r="E14" s="1"/>
      <c r="F14" s="3">
        <f t="shared" si="0"/>
        <v>0</v>
      </c>
      <c r="G14" s="1"/>
      <c r="H14" s="1"/>
      <c r="I14" s="1"/>
      <c r="J14" s="167">
        <v>804375656</v>
      </c>
    </row>
    <row r="15" spans="1:10" x14ac:dyDescent="0.25">
      <c r="A15" s="3">
        <v>8</v>
      </c>
      <c r="B15" s="1"/>
      <c r="C15" s="1" t="s">
        <v>106</v>
      </c>
      <c r="D15" s="1"/>
      <c r="E15" s="1"/>
      <c r="F15" s="3">
        <f t="shared" si="0"/>
        <v>1853729981</v>
      </c>
      <c r="G15" s="6">
        <v>1231629649</v>
      </c>
      <c r="H15" s="6">
        <v>622100332</v>
      </c>
      <c r="I15" s="3">
        <f>+F15-'UtilityPlt-2019'!D25+J15</f>
        <v>0</v>
      </c>
      <c r="J15" s="160">
        <v>2969472</v>
      </c>
    </row>
    <row r="16" spans="1:10" x14ac:dyDescent="0.25">
      <c r="A16" s="3">
        <v>9</v>
      </c>
      <c r="B16" s="1"/>
      <c r="C16" s="1" t="s">
        <v>152</v>
      </c>
      <c r="D16" s="1"/>
      <c r="E16" s="1"/>
      <c r="F16" s="3">
        <f t="shared" si="0"/>
        <v>79396294</v>
      </c>
      <c r="G16" s="3">
        <f>'ElecPlt-2019'!E21</f>
        <v>50464782</v>
      </c>
      <c r="H16" s="3">
        <f>'ElecPlt-2019'!F21</f>
        <v>28931512</v>
      </c>
      <c r="I16" s="3"/>
      <c r="J16" s="54">
        <f>'ElecPlt-2019'!G21</f>
        <v>70119441</v>
      </c>
    </row>
    <row r="17" spans="1:12" x14ac:dyDescent="0.25">
      <c r="A17" s="3">
        <v>10</v>
      </c>
      <c r="B17" s="1"/>
      <c r="C17" s="1" t="s">
        <v>107</v>
      </c>
      <c r="D17" s="1"/>
      <c r="E17" s="1"/>
      <c r="F17" s="36">
        <f>SUM(F9:F16)</f>
        <v>1934464566</v>
      </c>
      <c r="G17" s="36">
        <f>SUM(G9:G16)</f>
        <v>1283433722</v>
      </c>
      <c r="H17" s="36">
        <f>SUM(H9:H16)</f>
        <v>651030844</v>
      </c>
      <c r="I17" s="3"/>
      <c r="J17" s="168">
        <f>SUM(J9:J16)</f>
        <v>2411665490</v>
      </c>
      <c r="L17" s="54">
        <f>SUM(G17:J17)</f>
        <v>4346130056</v>
      </c>
    </row>
    <row r="18" spans="1:12" x14ac:dyDescent="0.25">
      <c r="A18" s="3"/>
      <c r="B18" s="1"/>
      <c r="C18" s="1"/>
      <c r="D18" s="1"/>
      <c r="E18" s="1"/>
      <c r="F18" s="3"/>
      <c r="G18" s="3"/>
      <c r="H18" s="3"/>
      <c r="I18" s="3"/>
      <c r="L18" s="54"/>
    </row>
    <row r="19" spans="1:12" x14ac:dyDescent="0.25">
      <c r="A19" s="3">
        <v>11</v>
      </c>
      <c r="B19" s="1"/>
      <c r="C19" s="1" t="s">
        <v>153</v>
      </c>
      <c r="D19" s="1"/>
      <c r="E19" s="1"/>
      <c r="F19" s="3"/>
      <c r="G19" s="3"/>
      <c r="H19" s="3"/>
      <c r="I19" s="3"/>
    </row>
    <row r="20" spans="1:12" x14ac:dyDescent="0.25">
      <c r="A20" s="3">
        <v>12</v>
      </c>
      <c r="B20" s="1"/>
      <c r="C20" s="1" t="s">
        <v>109</v>
      </c>
      <c r="D20" s="1"/>
      <c r="E20" s="1"/>
      <c r="F20" s="1"/>
      <c r="G20" s="1"/>
      <c r="H20" s="1"/>
      <c r="I20" s="1"/>
    </row>
    <row r="21" spans="1:12" x14ac:dyDescent="0.25">
      <c r="A21" s="3">
        <v>13</v>
      </c>
      <c r="B21" s="1"/>
      <c r="C21" s="1" t="s">
        <v>154</v>
      </c>
      <c r="D21" s="1"/>
      <c r="E21" s="1"/>
      <c r="F21" s="3">
        <f>G21+H21</f>
        <v>79396294</v>
      </c>
      <c r="G21" s="3">
        <f>G16</f>
        <v>50464782</v>
      </c>
      <c r="H21" s="3">
        <f>H16</f>
        <v>28931512</v>
      </c>
      <c r="I21" s="3"/>
    </row>
    <row r="22" spans="1:12" x14ac:dyDescent="0.25">
      <c r="A22" s="3">
        <v>14</v>
      </c>
      <c r="B22" s="1"/>
      <c r="C22" s="1" t="s">
        <v>111</v>
      </c>
      <c r="D22" s="1"/>
      <c r="E22" s="1"/>
      <c r="F22" s="3">
        <f>G22+H22</f>
        <v>-484592</v>
      </c>
      <c r="G22" s="3">
        <f>-'ElecPlt-2019'!E11</f>
        <v>-122313</v>
      </c>
      <c r="H22" s="3">
        <f>-'ElecPlt-2019'!F11</f>
        <v>-362279</v>
      </c>
      <c r="I22" s="3"/>
    </row>
    <row r="23" spans="1:12" x14ac:dyDescent="0.25">
      <c r="A23" s="3">
        <v>15</v>
      </c>
      <c r="B23" s="1"/>
      <c r="C23" s="1" t="s">
        <v>112</v>
      </c>
      <c r="D23" s="1"/>
      <c r="E23" s="1"/>
      <c r="F23" s="3">
        <f>G23+H23</f>
        <v>-33967026</v>
      </c>
      <c r="G23" s="3">
        <f>-'ElecPlt-2019'!E14</f>
        <v>-23903607</v>
      </c>
      <c r="H23" s="3">
        <f>-'ElecPlt-2019'!F14</f>
        <v>-10063419</v>
      </c>
      <c r="I23" s="3"/>
    </row>
    <row r="24" spans="1:12" ht="13.2" thickBot="1" x14ac:dyDescent="0.3">
      <c r="A24" s="3">
        <v>16</v>
      </c>
      <c r="B24" s="1"/>
      <c r="C24" s="1" t="s">
        <v>113</v>
      </c>
      <c r="D24" s="1"/>
      <c r="E24" s="1"/>
      <c r="F24" s="15">
        <f>SUM(F21:F23)</f>
        <v>44944676</v>
      </c>
      <c r="G24" s="15">
        <f>SUM(G21:G23)</f>
        <v>26438862</v>
      </c>
      <c r="H24" s="15">
        <f>SUM(H21:H23)</f>
        <v>18505814</v>
      </c>
      <c r="I24" s="3"/>
    </row>
    <row r="25" spans="1:12" ht="13.2" thickTop="1" x14ac:dyDescent="0.25">
      <c r="A25" s="3"/>
      <c r="B25" s="1"/>
      <c r="C25" s="1"/>
      <c r="D25" s="1"/>
      <c r="E25" s="1"/>
      <c r="F25" s="1"/>
      <c r="G25" s="1"/>
      <c r="H25" s="1"/>
      <c r="I25" s="1"/>
    </row>
    <row r="26" spans="1:12" ht="13.2" thickBot="1" x14ac:dyDescent="0.3">
      <c r="A26" s="3">
        <v>17</v>
      </c>
      <c r="B26" s="1"/>
      <c r="C26" s="1" t="s">
        <v>155</v>
      </c>
      <c r="D26" s="1"/>
      <c r="E26" s="1"/>
      <c r="F26" s="37">
        <f>G26+H26</f>
        <v>1</v>
      </c>
      <c r="G26" s="37">
        <f>ROUND(+G24/F24,5)</f>
        <v>0.58825000000000005</v>
      </c>
      <c r="H26" s="37">
        <f>ROUND(+H24/F24,5)</f>
        <v>0.41175</v>
      </c>
      <c r="I26" s="4"/>
    </row>
    <row r="27" spans="1:12" ht="13.2" thickTop="1" x14ac:dyDescent="0.25">
      <c r="A27" s="3"/>
      <c r="B27" s="1"/>
      <c r="C27" s="1"/>
      <c r="D27" s="1"/>
      <c r="E27" s="1"/>
      <c r="F27" s="1"/>
      <c r="G27" s="1"/>
      <c r="H27" s="1"/>
      <c r="I27" s="1"/>
    </row>
    <row r="28" spans="1:12" ht="13.2" thickBot="1" x14ac:dyDescent="0.3">
      <c r="A28" s="3">
        <v>18</v>
      </c>
      <c r="B28" s="1"/>
      <c r="C28" s="1" t="s">
        <v>156</v>
      </c>
      <c r="D28" s="1"/>
      <c r="E28" s="1"/>
      <c r="F28" s="37">
        <f>G28+H28</f>
        <v>1</v>
      </c>
      <c r="G28" s="37">
        <f>ROUND(+G23/F23,5)</f>
        <v>0.70372999999999997</v>
      </c>
      <c r="H28" s="37">
        <f>ROUND(+H23/F23,5)</f>
        <v>0.29626999999999998</v>
      </c>
      <c r="I28" s="4"/>
    </row>
    <row r="29" spans="1:12" ht="13.2" thickTop="1" x14ac:dyDescent="0.25">
      <c r="B29" s="1"/>
      <c r="C29" s="1"/>
      <c r="D29" s="1"/>
      <c r="E29" s="1"/>
      <c r="F29" s="3"/>
      <c r="G29" s="3"/>
      <c r="H29" s="3"/>
      <c r="I29" s="3"/>
    </row>
    <row r="30" spans="1:12" x14ac:dyDescent="0.25">
      <c r="A30" s="3">
        <v>19</v>
      </c>
      <c r="B30" s="1"/>
      <c r="C30" s="1" t="s">
        <v>157</v>
      </c>
      <c r="D30" s="1"/>
      <c r="E30" s="1"/>
      <c r="F30" s="3"/>
      <c r="G30" s="3"/>
      <c r="H30" s="3"/>
      <c r="I30" s="3"/>
    </row>
    <row r="31" spans="1:12" x14ac:dyDescent="0.25">
      <c r="A31" s="3">
        <v>20</v>
      </c>
      <c r="B31" s="1"/>
      <c r="C31" s="1" t="s">
        <v>284</v>
      </c>
      <c r="D31" s="1"/>
      <c r="E31" s="1"/>
      <c r="F31" s="3">
        <f>G31+H31</f>
        <v>245132</v>
      </c>
      <c r="G31" s="6">
        <v>245132</v>
      </c>
      <c r="H31" s="6">
        <v>0</v>
      </c>
      <c r="I31" s="3"/>
      <c r="J31" s="167">
        <v>14964850</v>
      </c>
    </row>
    <row r="32" spans="1:12" x14ac:dyDescent="0.25">
      <c r="A32" s="3">
        <v>21</v>
      </c>
      <c r="B32" s="1"/>
      <c r="C32" s="1" t="s">
        <v>175</v>
      </c>
      <c r="D32" s="1"/>
      <c r="E32" s="1"/>
      <c r="F32" s="3">
        <f>G32+H32</f>
        <v>-33880</v>
      </c>
      <c r="G32" s="6">
        <v>-33704</v>
      </c>
      <c r="H32" s="6">
        <v>-176</v>
      </c>
      <c r="I32" s="3"/>
      <c r="J32" s="167">
        <f>5855629+191965</f>
        <v>6047594</v>
      </c>
    </row>
    <row r="33" spans="1:12" x14ac:dyDescent="0.25">
      <c r="A33" s="3">
        <v>22</v>
      </c>
      <c r="B33" s="1"/>
      <c r="C33" s="1" t="s">
        <v>158</v>
      </c>
      <c r="D33" s="1"/>
      <c r="E33" s="1"/>
      <c r="F33" s="3">
        <f>G33+H33</f>
        <v>0</v>
      </c>
      <c r="G33" s="6">
        <v>0</v>
      </c>
      <c r="H33" s="6">
        <v>0</v>
      </c>
      <c r="I33" s="3">
        <f>J33-'UtilityAccDep-2019'!D28</f>
        <v>0</v>
      </c>
      <c r="J33" s="167">
        <v>597660910</v>
      </c>
    </row>
    <row r="34" spans="1:12" x14ac:dyDescent="0.25">
      <c r="A34" s="3">
        <v>23</v>
      </c>
      <c r="B34" s="1"/>
      <c r="C34" s="1" t="s">
        <v>159</v>
      </c>
      <c r="D34" s="1"/>
      <c r="E34" s="1"/>
      <c r="F34" s="3">
        <f>G34+H34</f>
        <v>0</v>
      </c>
      <c r="G34" s="1"/>
      <c r="H34" s="1"/>
      <c r="I34" s="1">
        <f>J34-'UtilityAccDep-2019'!D30</f>
        <v>0</v>
      </c>
      <c r="J34" s="167">
        <v>230357757</v>
      </c>
    </row>
    <row r="35" spans="1:12" x14ac:dyDescent="0.25">
      <c r="A35" s="3">
        <v>24</v>
      </c>
      <c r="B35" s="1"/>
      <c r="C35" s="1" t="s">
        <v>118</v>
      </c>
      <c r="D35" s="1"/>
      <c r="E35" s="1"/>
      <c r="F35" s="3">
        <f>G35+H35</f>
        <v>591333631</v>
      </c>
      <c r="G35" s="6">
        <v>359396044</v>
      </c>
      <c r="H35" s="6">
        <v>231937587</v>
      </c>
      <c r="I35" s="3">
        <f>+F35-'UtilityAccDep-2019'!D34+J35</f>
        <v>0</v>
      </c>
      <c r="J35" s="161">
        <v>245271</v>
      </c>
    </row>
    <row r="36" spans="1:12" x14ac:dyDescent="0.25">
      <c r="A36" s="3">
        <v>25</v>
      </c>
      <c r="B36" s="1"/>
      <c r="C36" s="1" t="s">
        <v>160</v>
      </c>
      <c r="D36" s="1"/>
      <c r="E36" s="1"/>
      <c r="F36" s="48">
        <f>+'UtilityAccDep-2019'!D37</f>
        <v>68086767</v>
      </c>
      <c r="G36" s="3">
        <f>ROUND(F36*G26,0)</f>
        <v>40052041</v>
      </c>
      <c r="H36" s="3">
        <f>F36-G36</f>
        <v>28034726</v>
      </c>
      <c r="I36" s="3"/>
    </row>
    <row r="37" spans="1:12" x14ac:dyDescent="0.25">
      <c r="A37" s="3">
        <v>26</v>
      </c>
      <c r="B37" s="1"/>
      <c r="C37" s="1" t="s">
        <v>161</v>
      </c>
      <c r="D37" s="1"/>
      <c r="E37" s="1"/>
      <c r="F37" s="48">
        <f>+'UtilityAccDep-2019'!D38</f>
        <v>0</v>
      </c>
      <c r="G37" s="3">
        <f>ROUND(F37*G28,0)</f>
        <v>0</v>
      </c>
      <c r="H37" s="3">
        <f>F37-G37</f>
        <v>0</v>
      </c>
      <c r="I37" s="3"/>
    </row>
    <row r="38" spans="1:12" x14ac:dyDescent="0.25">
      <c r="A38" s="3">
        <v>27</v>
      </c>
      <c r="B38" s="1"/>
      <c r="C38" s="1" t="s">
        <v>398</v>
      </c>
      <c r="D38" s="1"/>
      <c r="E38" s="1"/>
      <c r="F38" s="36">
        <f>SUM(F31:F37)</f>
        <v>659631650</v>
      </c>
      <c r="G38" s="36">
        <f>SUM(G31:G37)</f>
        <v>399659513</v>
      </c>
      <c r="H38" s="36">
        <f>SUM(H31:H37)</f>
        <v>259972137</v>
      </c>
      <c r="I38" s="3"/>
      <c r="J38" s="168">
        <f>SUM(J31:J37)</f>
        <v>849276382</v>
      </c>
      <c r="L38" s="54">
        <f>SUM(G38:J38)</f>
        <v>1508908032</v>
      </c>
    </row>
    <row r="39" spans="1:12" x14ac:dyDescent="0.25">
      <c r="A39" s="3">
        <v>28</v>
      </c>
      <c r="B39" s="1"/>
      <c r="C39" s="1" t="s">
        <v>162</v>
      </c>
      <c r="D39" s="1"/>
      <c r="E39" s="1"/>
      <c r="F39" s="3">
        <f>F17-F38</f>
        <v>1274832916</v>
      </c>
      <c r="G39" s="3">
        <f>G17-G38</f>
        <v>883774209</v>
      </c>
      <c r="H39" s="3">
        <f>H17-H38</f>
        <v>391058707</v>
      </c>
      <c r="I39" s="3"/>
      <c r="L39" s="54"/>
    </row>
    <row r="40" spans="1:12" x14ac:dyDescent="0.25">
      <c r="A40" s="3"/>
      <c r="B40" s="1"/>
      <c r="C40" s="1"/>
      <c r="D40" s="1"/>
      <c r="E40" s="1"/>
      <c r="F40" s="3"/>
      <c r="G40" s="3"/>
      <c r="H40" s="3"/>
      <c r="I40" s="3"/>
    </row>
    <row r="41" spans="1:12" x14ac:dyDescent="0.25">
      <c r="A41" s="3">
        <v>29</v>
      </c>
      <c r="B41" s="1"/>
      <c r="C41" s="1" t="s">
        <v>163</v>
      </c>
      <c r="D41" s="1"/>
      <c r="E41" s="1"/>
      <c r="F41" s="3"/>
      <c r="G41" s="3"/>
      <c r="H41" s="3"/>
      <c r="I41" s="3"/>
    </row>
    <row r="42" spans="1:12" x14ac:dyDescent="0.25">
      <c r="A42" s="3">
        <v>30</v>
      </c>
      <c r="B42" s="1"/>
      <c r="C42" s="1" t="s">
        <v>123</v>
      </c>
      <c r="D42" s="1"/>
      <c r="E42" s="1"/>
      <c r="F42" s="3">
        <f>G42+H42</f>
        <v>45623631</v>
      </c>
      <c r="G42" s="3">
        <f>'ElecPlt-2019'!E$37</f>
        <v>31242764</v>
      </c>
      <c r="H42" s="3">
        <f>'ElecPlt-2019'!F$37</f>
        <v>14380867</v>
      </c>
      <c r="I42" s="3"/>
    </row>
    <row r="43" spans="1:12" x14ac:dyDescent="0.25">
      <c r="A43" s="3">
        <v>31</v>
      </c>
      <c r="B43" s="1"/>
      <c r="C43" s="1" t="s">
        <v>164</v>
      </c>
      <c r="D43" s="1"/>
      <c r="E43" s="1"/>
      <c r="F43" s="4">
        <f>'UtilityNetPlt-2019'!D34</f>
        <v>0.77317999999999998</v>
      </c>
      <c r="G43" s="4">
        <f>F43</f>
        <v>0.77317999999999998</v>
      </c>
      <c r="H43" s="4">
        <f>G43</f>
        <v>0.77317999999999998</v>
      </c>
      <c r="I43" s="4"/>
    </row>
    <row r="44" spans="1:12" x14ac:dyDescent="0.25">
      <c r="A44" s="3">
        <v>32</v>
      </c>
      <c r="B44" s="1"/>
      <c r="C44" s="1" t="s">
        <v>165</v>
      </c>
      <c r="D44" s="1"/>
      <c r="E44" s="1"/>
      <c r="F44" s="22">
        <f>G44+H44</f>
        <v>35275279</v>
      </c>
      <c r="G44" s="22">
        <f>ROUND(G42*G43,0)</f>
        <v>24156280</v>
      </c>
      <c r="H44" s="22">
        <f>ROUND(H42*H43,0)</f>
        <v>11118999</v>
      </c>
      <c r="I44" s="3"/>
    </row>
    <row r="45" spans="1:12" x14ac:dyDescent="0.25">
      <c r="A45" s="3">
        <v>33</v>
      </c>
      <c r="B45" s="1"/>
      <c r="C45" s="1" t="s">
        <v>340</v>
      </c>
      <c r="D45" s="1"/>
      <c r="E45" s="1"/>
      <c r="F45" s="18">
        <f>G45+H45</f>
        <v>10195435</v>
      </c>
      <c r="G45" s="18">
        <f>G58</f>
        <v>6981731</v>
      </c>
      <c r="H45" s="18">
        <f>H58</f>
        <v>3213704</v>
      </c>
      <c r="I45" s="3"/>
    </row>
    <row r="46" spans="1:12" x14ac:dyDescent="0.25">
      <c r="A46" s="3">
        <v>34</v>
      </c>
      <c r="B46" s="1"/>
      <c r="C46" s="1" t="s">
        <v>166</v>
      </c>
      <c r="D46" s="1"/>
      <c r="E46" s="1"/>
      <c r="F46" s="3">
        <f>F44-F45</f>
        <v>25079844</v>
      </c>
      <c r="G46" s="3">
        <f>G44-G45</f>
        <v>17174549</v>
      </c>
      <c r="H46" s="3">
        <f>H44-H45</f>
        <v>7905295</v>
      </c>
      <c r="I46" s="3"/>
    </row>
    <row r="47" spans="1:12" ht="13.2" thickBot="1" x14ac:dyDescent="0.3">
      <c r="A47" s="3">
        <v>35</v>
      </c>
      <c r="B47" s="1"/>
      <c r="C47" s="1" t="s">
        <v>178</v>
      </c>
      <c r="D47" s="1"/>
      <c r="E47" s="1"/>
      <c r="F47" s="15">
        <f>F39+F46</f>
        <v>1299912760</v>
      </c>
      <c r="G47" s="15">
        <f>G39+G46</f>
        <v>900948758</v>
      </c>
      <c r="H47" s="15">
        <f>H39+H46</f>
        <v>398964002</v>
      </c>
      <c r="I47" s="3"/>
    </row>
    <row r="48" spans="1:12" ht="13.2" thickTop="1" x14ac:dyDescent="0.25">
      <c r="B48" s="1"/>
      <c r="C48" s="1"/>
      <c r="D48" s="1"/>
      <c r="E48" s="1"/>
      <c r="F48" s="3"/>
      <c r="G48" s="3"/>
      <c r="H48" s="3"/>
      <c r="I48" s="3"/>
    </row>
    <row r="49" spans="1:9" ht="13.2" thickBot="1" x14ac:dyDescent="0.3">
      <c r="A49" s="3">
        <v>36</v>
      </c>
      <c r="B49" s="1"/>
      <c r="C49" s="1" t="s">
        <v>167</v>
      </c>
      <c r="D49" s="1"/>
      <c r="E49" s="1"/>
      <c r="F49" s="17">
        <f>'UtilityNetPlt-2019'!G18-'UtilityNetPlt-2019'!G12</f>
        <v>68147497</v>
      </c>
      <c r="G49" s="17">
        <f>G42</f>
        <v>31242764</v>
      </c>
      <c r="H49" s="17">
        <f>H42</f>
        <v>14380867</v>
      </c>
      <c r="I49" s="17">
        <f>'ElecPlt-2019'!$G$37</f>
        <v>22523866</v>
      </c>
    </row>
    <row r="50" spans="1:9" ht="13.2" thickTop="1" x14ac:dyDescent="0.25">
      <c r="B50" s="1"/>
      <c r="C50" s="1"/>
      <c r="D50" s="1"/>
      <c r="E50" s="1"/>
      <c r="F50" s="1"/>
      <c r="G50" s="1"/>
      <c r="H50" s="1"/>
      <c r="I50" s="1"/>
    </row>
    <row r="51" spans="1:9" ht="13.2" thickBot="1" x14ac:dyDescent="0.3">
      <c r="A51" s="3">
        <v>37</v>
      </c>
      <c r="B51" s="1"/>
      <c r="C51" s="1" t="s">
        <v>128</v>
      </c>
      <c r="D51" s="1"/>
      <c r="E51" s="1"/>
      <c r="F51" s="37">
        <f>IF(+G51+H51+I51=1,G51+H51+I51,"ERROR")</f>
        <v>0.99999999999999989</v>
      </c>
      <c r="G51" s="37">
        <f>ROUND(+G49/F49,5)</f>
        <v>0.45845999999999998</v>
      </c>
      <c r="H51" s="37">
        <f>ROUND(+H49/F49,5)</f>
        <v>0.21103</v>
      </c>
      <c r="I51" s="38">
        <f>ROUND(+I49/F49,5)-0.00001</f>
        <v>0.33050999999999997</v>
      </c>
    </row>
    <row r="52" spans="1:9" ht="13.2" thickTop="1" x14ac:dyDescent="0.25">
      <c r="A52" s="3"/>
      <c r="B52" s="1"/>
      <c r="C52" s="1"/>
      <c r="D52" s="1"/>
      <c r="E52" s="1"/>
      <c r="F52" s="3"/>
      <c r="G52" s="3"/>
      <c r="H52" s="3"/>
      <c r="I52" s="3"/>
    </row>
    <row r="53" spans="1:9" x14ac:dyDescent="0.25">
      <c r="A53" s="3">
        <v>38</v>
      </c>
      <c r="B53" s="1"/>
      <c r="C53" s="1" t="s">
        <v>129</v>
      </c>
      <c r="D53" s="1"/>
      <c r="E53" s="1"/>
      <c r="F53" s="1"/>
      <c r="G53" s="1"/>
      <c r="H53" s="1"/>
      <c r="I53" s="1"/>
    </row>
    <row r="54" spans="1:9" x14ac:dyDescent="0.25">
      <c r="A54" s="3">
        <v>39</v>
      </c>
      <c r="B54" s="1"/>
      <c r="C54" s="1" t="s">
        <v>168</v>
      </c>
      <c r="D54" s="1"/>
      <c r="E54" s="1"/>
      <c r="F54" s="3">
        <f>'GasNetPlt-2019'!F51</f>
        <v>19696138</v>
      </c>
      <c r="G54" s="3">
        <f>ROUND($F54*G51,0)</f>
        <v>9029891</v>
      </c>
      <c r="H54" s="3">
        <f>ROUND($F54*H51,0)</f>
        <v>4156476</v>
      </c>
      <c r="I54" s="3">
        <f>F54-G54-H54</f>
        <v>6509771</v>
      </c>
    </row>
    <row r="55" spans="1:9" x14ac:dyDescent="0.25">
      <c r="A55" s="3">
        <v>40</v>
      </c>
      <c r="B55" s="1"/>
      <c r="C55" s="1" t="s">
        <v>169</v>
      </c>
      <c r="D55" s="1"/>
      <c r="E55" s="1"/>
      <c r="F55" s="3">
        <f>'GasNetPlt-2019'!F52</f>
        <v>0</v>
      </c>
      <c r="G55" s="3">
        <f>ROUND($F55*G51,0)</f>
        <v>0</v>
      </c>
      <c r="H55" s="3">
        <f>ROUND($F55*H51,0)</f>
        <v>0</v>
      </c>
      <c r="I55" s="3">
        <f>F55-G55-H55</f>
        <v>0</v>
      </c>
    </row>
    <row r="56" spans="1:9" x14ac:dyDescent="0.25">
      <c r="A56" s="3">
        <v>41</v>
      </c>
      <c r="B56" s="1"/>
      <c r="C56" s="1" t="s">
        <v>170</v>
      </c>
      <c r="D56" s="1"/>
      <c r="E56" s="1"/>
      <c r="F56" s="22">
        <f>F55+F54</f>
        <v>19696138</v>
      </c>
      <c r="G56" s="22">
        <f>G55+G54</f>
        <v>9029891</v>
      </c>
      <c r="H56" s="22">
        <f>H55+H54</f>
        <v>4156476</v>
      </c>
      <c r="I56" s="22">
        <f>I55+I54</f>
        <v>6509771</v>
      </c>
    </row>
    <row r="57" spans="1:9" x14ac:dyDescent="0.25">
      <c r="A57" s="3">
        <v>42</v>
      </c>
      <c r="B57" s="1"/>
      <c r="C57" s="1" t="s">
        <v>171</v>
      </c>
      <c r="D57" s="1"/>
      <c r="E57" s="1"/>
      <c r="F57" s="39">
        <f>F43</f>
        <v>0.77317999999999998</v>
      </c>
      <c r="G57" s="39">
        <f>F57</f>
        <v>0.77317999999999998</v>
      </c>
      <c r="H57" s="39">
        <f>G57</f>
        <v>0.77317999999999998</v>
      </c>
      <c r="I57" s="39">
        <f>H57</f>
        <v>0.77317999999999998</v>
      </c>
    </row>
    <row r="58" spans="1:9" ht="13.2" thickBot="1" x14ac:dyDescent="0.3">
      <c r="A58" s="3">
        <v>43</v>
      </c>
      <c r="B58" s="1"/>
      <c r="C58" s="1" t="s">
        <v>181</v>
      </c>
      <c r="D58" s="1"/>
      <c r="E58" s="1"/>
      <c r="F58" s="17">
        <f>G58+H58+I58</f>
        <v>15228660</v>
      </c>
      <c r="G58" s="17">
        <f>ROUND(G56*G57,0)</f>
        <v>6981731</v>
      </c>
      <c r="H58" s="17">
        <f>ROUND(H56*H57,0)</f>
        <v>3213704</v>
      </c>
      <c r="I58" s="17">
        <f>ROUND(I56*I57,0)</f>
        <v>5033225</v>
      </c>
    </row>
    <row r="59" spans="1:9" ht="13.2" thickTop="1" x14ac:dyDescent="0.25">
      <c r="A59" s="1"/>
      <c r="B59" s="1"/>
      <c r="C59" s="1"/>
      <c r="D59" s="1"/>
      <c r="E59" s="1"/>
      <c r="F59" s="1"/>
      <c r="G59" s="1"/>
      <c r="H59" s="1"/>
      <c r="I59" s="1"/>
    </row>
  </sheetData>
  <pageMargins left="0.2" right="0.2" top="0.75" bottom="0.75" header="0.3" footer="0.3"/>
  <pageSetup scale="94" orientation="portrait" r:id="rId1"/>
  <headerFooter>
    <oddFooter>&amp;L&amp;F
&amp;A&amp;RPrepared By: Jeanne Pluth
Date: January 23, 2015</oddFoot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FF00"/>
  </sheetPr>
  <dimension ref="A1:F48"/>
  <sheetViews>
    <sheetView showZeros="0" showOutlineSymbols="0" zoomScaleNormal="100" workbookViewId="0">
      <pane xSplit="1" ySplit="8" topLeftCell="B20" activePane="bottomRight" state="frozen"/>
      <selection activeCell="D27" sqref="D27"/>
      <selection pane="topRight" activeCell="D27" sqref="D27"/>
      <selection pane="bottomLeft" activeCell="D27" sqref="D27"/>
      <selection pane="bottomRight" activeCell="D40" sqref="D40"/>
    </sheetView>
  </sheetViews>
  <sheetFormatPr defaultColWidth="9.6640625" defaultRowHeight="12.6" x14ac:dyDescent="0.25"/>
  <cols>
    <col min="1" max="1" width="36.6640625" customWidth="1"/>
    <col min="2" max="4" width="14.6640625" customWidth="1"/>
    <col min="5" max="5" width="6.21875" bestFit="1" customWidth="1"/>
    <col min="6" max="6" width="1.6640625" customWidth="1"/>
    <col min="7" max="7" width="25.6640625" customWidth="1"/>
    <col min="8" max="10" width="13.6640625" customWidth="1"/>
    <col min="11" max="11" width="1.6640625" customWidth="1"/>
  </cols>
  <sheetData>
    <row r="1" spans="1:6" x14ac:dyDescent="0.25">
      <c r="A1" s="1" t="str">
        <f>Notes!A1</f>
        <v>Avista Utilities</v>
      </c>
      <c r="B1" s="1"/>
      <c r="C1" s="1"/>
      <c r="D1" s="1"/>
      <c r="E1" s="87"/>
      <c r="F1" s="87"/>
    </row>
    <row r="2" spans="1:6" x14ac:dyDescent="0.25">
      <c r="A2" s="1" t="s">
        <v>312</v>
      </c>
      <c r="B2" s="1"/>
      <c r="C2" s="1"/>
      <c r="D2" s="1"/>
      <c r="E2" s="1"/>
      <c r="F2" s="1"/>
    </row>
    <row r="3" spans="1:6" x14ac:dyDescent="0.25">
      <c r="A3" s="1" t="str">
        <f>Notes!A4</f>
        <v>For the Twelve Months Ended December 31, 2019</v>
      </c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7" spans="1:6" x14ac:dyDescent="0.25">
      <c r="A7" s="1"/>
      <c r="B7" s="8" t="s">
        <v>1</v>
      </c>
      <c r="C7" s="8" t="s">
        <v>78</v>
      </c>
      <c r="D7" s="8" t="s">
        <v>79</v>
      </c>
      <c r="E7" s="8" t="s">
        <v>55</v>
      </c>
      <c r="F7" s="8"/>
    </row>
    <row r="8" spans="1:6" x14ac:dyDescent="0.25">
      <c r="A8" s="1"/>
      <c r="B8" s="8" t="s">
        <v>2</v>
      </c>
      <c r="C8" s="1"/>
      <c r="D8" s="1"/>
      <c r="E8" s="1"/>
      <c r="F8" s="1"/>
    </row>
    <row r="10" spans="1:6" x14ac:dyDescent="0.25">
      <c r="A10" s="1" t="s">
        <v>306</v>
      </c>
      <c r="B10" s="1"/>
      <c r="C10" s="1"/>
      <c r="D10" s="1"/>
      <c r="E10" s="1"/>
      <c r="F10" s="1"/>
    </row>
    <row r="11" spans="1:6" x14ac:dyDescent="0.25">
      <c r="A11" s="1" t="s">
        <v>307</v>
      </c>
      <c r="B11" s="7">
        <f>SUM(C11:D11)</f>
        <v>24679594</v>
      </c>
      <c r="C11" s="7">
        <f>'Expenses-2019'!K6</f>
        <v>16810447</v>
      </c>
      <c r="D11" s="7">
        <f>'Expenses-2019'!I6</f>
        <v>7869147</v>
      </c>
      <c r="E11" s="8" t="s">
        <v>331</v>
      </c>
      <c r="F11" s="8"/>
    </row>
    <row r="12" spans="1:6" x14ac:dyDescent="0.25">
      <c r="A12" s="1" t="s">
        <v>309</v>
      </c>
      <c r="B12" s="3">
        <f>SUM(C12:D12)</f>
        <v>39998037</v>
      </c>
      <c r="C12" s="3">
        <f>'Expenses-2019'!K5</f>
        <v>28763089</v>
      </c>
      <c r="D12" s="3">
        <f>'Expenses-2019'!I5+'Expenses-2019'!J5</f>
        <v>11234948</v>
      </c>
      <c r="E12" s="9">
        <v>-2</v>
      </c>
      <c r="F12" s="8"/>
    </row>
    <row r="13" spans="1:6" x14ac:dyDescent="0.25">
      <c r="A13" s="1" t="s">
        <v>308</v>
      </c>
      <c r="B13" s="3">
        <f>SUM(C13:D13)</f>
        <v>3181400</v>
      </c>
      <c r="C13" s="3">
        <f>'Expenses-2019'!G5</f>
        <v>2339754</v>
      </c>
      <c r="D13" s="3">
        <f>'Expenses-2019'!F5</f>
        <v>841646</v>
      </c>
      <c r="E13" s="9">
        <v>-2</v>
      </c>
      <c r="F13" s="8"/>
    </row>
    <row r="14" spans="1:6" x14ac:dyDescent="0.25">
      <c r="A14" s="1" t="s">
        <v>135</v>
      </c>
      <c r="B14" s="26">
        <f>SUM(B11:B13)</f>
        <v>67859031</v>
      </c>
      <c r="C14" s="26">
        <f>SUM(C11:C13)</f>
        <v>47913290</v>
      </c>
      <c r="D14" s="26">
        <f>SUM(D11:D13)</f>
        <v>19945741</v>
      </c>
      <c r="E14" s="137"/>
      <c r="F14" s="1"/>
    </row>
    <row r="15" spans="1:6" x14ac:dyDescent="0.25">
      <c r="E15" s="111"/>
    </row>
    <row r="16" spans="1:6" x14ac:dyDescent="0.25">
      <c r="A16" s="1" t="s">
        <v>58</v>
      </c>
      <c r="B16" s="4">
        <f>SUM(C16:D16)</f>
        <v>1</v>
      </c>
      <c r="C16" s="4">
        <f>ROUND(+C14/B14,5)</f>
        <v>0.70606999999999998</v>
      </c>
      <c r="D16" s="4">
        <f>ROUND(+D14/B14,5)</f>
        <v>0.29393000000000002</v>
      </c>
      <c r="E16" s="138"/>
      <c r="F16" s="77"/>
    </row>
    <row r="17" spans="1:6" x14ac:dyDescent="0.25">
      <c r="E17" s="111"/>
    </row>
    <row r="18" spans="1:6" x14ac:dyDescent="0.25">
      <c r="A18" s="1" t="s">
        <v>59</v>
      </c>
      <c r="B18" s="1"/>
      <c r="C18" s="1"/>
      <c r="D18" s="1"/>
      <c r="E18" s="137"/>
      <c r="F18" s="1"/>
    </row>
    <row r="19" spans="1:6" x14ac:dyDescent="0.25">
      <c r="A19" s="1" t="s">
        <v>307</v>
      </c>
      <c r="B19" s="7">
        <f>SUM(C19:D19)</f>
        <v>13820139</v>
      </c>
      <c r="C19" s="7">
        <f>'Expenses-2019'!K9</f>
        <v>9495065</v>
      </c>
      <c r="D19" s="7">
        <f>'Expenses-2019'!I9</f>
        <v>4325074</v>
      </c>
      <c r="E19" s="139"/>
      <c r="F19" s="8"/>
    </row>
    <row r="20" spans="1:6" x14ac:dyDescent="0.25">
      <c r="A20" s="1" t="s">
        <v>309</v>
      </c>
      <c r="B20" s="3">
        <f>SUM(C20:D20)</f>
        <v>962811</v>
      </c>
      <c r="C20" s="3">
        <f>'Expenses-2019'!K8</f>
        <v>596537</v>
      </c>
      <c r="D20" s="3">
        <f>'Expenses-2019'!I8</f>
        <v>366274</v>
      </c>
      <c r="E20" s="139"/>
      <c r="F20" s="8"/>
    </row>
    <row r="21" spans="1:6" x14ac:dyDescent="0.25">
      <c r="A21" s="1" t="s">
        <v>308</v>
      </c>
      <c r="B21" s="3">
        <f>SUM(C21:D21)</f>
        <v>4971495</v>
      </c>
      <c r="C21" s="3">
        <f>'Expenses-2019'!G8</f>
        <v>4001747</v>
      </c>
      <c r="D21" s="3">
        <f>'Expenses-2019'!F8</f>
        <v>969748</v>
      </c>
      <c r="E21" s="139"/>
      <c r="F21" s="8"/>
    </row>
    <row r="22" spans="1:6" x14ac:dyDescent="0.25">
      <c r="A22" s="1" t="s">
        <v>135</v>
      </c>
      <c r="B22" s="26">
        <f>SUM(B19:B21)</f>
        <v>19754445</v>
      </c>
      <c r="C22" s="26">
        <f>SUM(C19:C21)</f>
        <v>14093349</v>
      </c>
      <c r="D22" s="26">
        <f>SUM(D19:D21)</f>
        <v>5661096</v>
      </c>
      <c r="E22" s="137"/>
      <c r="F22" s="1"/>
    </row>
    <row r="23" spans="1:6" x14ac:dyDescent="0.25">
      <c r="E23" s="111"/>
    </row>
    <row r="24" spans="1:6" x14ac:dyDescent="0.25">
      <c r="A24" s="1" t="s">
        <v>58</v>
      </c>
      <c r="B24" s="4">
        <f>SUM(C24:D24)</f>
        <v>1</v>
      </c>
      <c r="C24" s="4">
        <f>ROUND(+C22/B22,5)</f>
        <v>0.71343000000000001</v>
      </c>
      <c r="D24" s="4">
        <f>ROUND(+D22/B22,5)</f>
        <v>0.28656999999999999</v>
      </c>
      <c r="E24" s="138"/>
      <c r="F24" s="77"/>
    </row>
    <row r="25" spans="1:6" x14ac:dyDescent="0.25">
      <c r="E25" s="111"/>
    </row>
    <row r="26" spans="1:6" x14ac:dyDescent="0.25">
      <c r="A26" s="1" t="str">
        <f>'7-2019'!A28</f>
        <v>Year End Customers at 12/31/19</v>
      </c>
      <c r="B26" s="3" t="str">
        <f>IF(B27=+'7-2019'!$D$32," ","CHECK CUSTOMER NUMBERS")</f>
        <v xml:space="preserve"> </v>
      </c>
      <c r="C26" s="1"/>
      <c r="D26" s="1"/>
      <c r="E26" s="137"/>
      <c r="F26" s="1"/>
    </row>
    <row r="27" spans="1:6" x14ac:dyDescent="0.25">
      <c r="A27" s="1" t="s">
        <v>63</v>
      </c>
      <c r="B27" s="3">
        <f>SUM(C27:D27)</f>
        <v>392987</v>
      </c>
      <c r="C27" s="3">
        <f>'7-2019'!D29</f>
        <v>257394</v>
      </c>
      <c r="D27" s="3">
        <f>'7-2019'!D30</f>
        <v>135593</v>
      </c>
      <c r="E27" s="3"/>
      <c r="F27" s="3"/>
    </row>
    <row r="29" spans="1:6" x14ac:dyDescent="0.25">
      <c r="A29" s="1" t="s">
        <v>58</v>
      </c>
      <c r="B29" s="4">
        <f>SUM(C29:D29)</f>
        <v>1</v>
      </c>
      <c r="C29" s="4">
        <f>ROUND(+C27/B27,5)</f>
        <v>0.65497000000000005</v>
      </c>
      <c r="D29" s="4">
        <f>ROUND(+D27/B27,5)</f>
        <v>0.34503</v>
      </c>
      <c r="E29" s="77"/>
      <c r="F29" s="77"/>
    </row>
    <row r="31" spans="1:6" x14ac:dyDescent="0.25">
      <c r="A31" s="1" t="str">
        <f>'7-2019'!A36</f>
        <v>Net Direct Plant (Ending Balance at 12/31/19)</v>
      </c>
      <c r="B31" s="1"/>
      <c r="C31" s="1"/>
      <c r="D31" s="1"/>
      <c r="E31" s="1"/>
      <c r="F31" s="1"/>
    </row>
    <row r="32" spans="1:6" x14ac:dyDescent="0.25">
      <c r="A32" s="1" t="s">
        <v>63</v>
      </c>
      <c r="B32" s="7">
        <f>SUM(C32:D32)</f>
        <v>1299912760</v>
      </c>
      <c r="C32" s="7">
        <f>'ElecNetPlt-2019'!G47</f>
        <v>900948758</v>
      </c>
      <c r="D32" s="7">
        <f>'ElecNetPlt-2019'!H47</f>
        <v>398964002</v>
      </c>
      <c r="E32" s="9"/>
      <c r="F32" s="1"/>
    </row>
    <row r="33" spans="1:6" x14ac:dyDescent="0.25">
      <c r="A33" s="1"/>
      <c r="B33" s="7">
        <f>SUM(C33:D33)</f>
        <v>0</v>
      </c>
      <c r="C33" s="1"/>
      <c r="D33" s="7"/>
      <c r="E33" s="1"/>
      <c r="F33" s="1"/>
    </row>
    <row r="34" spans="1:6" x14ac:dyDescent="0.25">
      <c r="A34" s="1" t="s">
        <v>65</v>
      </c>
      <c r="B34" s="26">
        <f>SUM(C34:D34)</f>
        <v>1299912760</v>
      </c>
      <c r="C34" s="26">
        <f>SUM(C32:C33)</f>
        <v>900948758</v>
      </c>
      <c r="D34" s="26">
        <f>SUM(D32:D33)</f>
        <v>398964002</v>
      </c>
      <c r="E34" s="9"/>
      <c r="F34" s="9"/>
    </row>
    <row r="36" spans="1:6" x14ac:dyDescent="0.25">
      <c r="A36" s="1" t="s">
        <v>58</v>
      </c>
      <c r="B36" s="4">
        <f>SUM(C36:D36)</f>
        <v>1</v>
      </c>
      <c r="C36" s="4">
        <f>ROUND(+C34/B34,5)</f>
        <v>0.69308000000000003</v>
      </c>
      <c r="D36" s="4">
        <f>ROUND(+D34/B34,5)</f>
        <v>0.30692000000000003</v>
      </c>
      <c r="E36" s="77">
        <f>+C36+D36-1</f>
        <v>0</v>
      </c>
      <c r="F36" s="77"/>
    </row>
    <row r="38" spans="1:6" x14ac:dyDescent="0.25">
      <c r="A38" s="1" t="s">
        <v>64</v>
      </c>
      <c r="B38" s="1"/>
      <c r="C38" s="1"/>
      <c r="D38" s="1"/>
      <c r="E38" s="1"/>
      <c r="F38" s="1"/>
    </row>
    <row r="39" spans="1:6" x14ac:dyDescent="0.25">
      <c r="A39" s="1" t="s">
        <v>65</v>
      </c>
      <c r="B39" s="28">
        <f>SUM(C39:D39)</f>
        <v>4</v>
      </c>
      <c r="C39" s="28">
        <f>C16+C24+C29+C36</f>
        <v>2.76755</v>
      </c>
      <c r="D39" s="28">
        <f>D16+D24+D29+D36</f>
        <v>1.23245</v>
      </c>
      <c r="E39" s="77">
        <f>+C39+D39-4</f>
        <v>0</v>
      </c>
      <c r="F39" s="77"/>
    </row>
    <row r="40" spans="1:6" ht="13.2" thickBot="1" x14ac:dyDescent="0.3">
      <c r="A40" s="1" t="s">
        <v>66</v>
      </c>
      <c r="B40" s="30">
        <f>SUM(C40:D40)</f>
        <v>1</v>
      </c>
      <c r="C40" s="31">
        <f>ROUND(+C39/4,5)</f>
        <v>0.69189000000000001</v>
      </c>
      <c r="D40" s="30">
        <f>ROUND(+D39/4,5)</f>
        <v>0.30810999999999999</v>
      </c>
      <c r="E40" s="77">
        <f>+C40+D40-1</f>
        <v>0</v>
      </c>
      <c r="F40" s="77"/>
    </row>
    <row r="41" spans="1:6" ht="13.2" thickTop="1" x14ac:dyDescent="0.25">
      <c r="A41" s="1"/>
      <c r="B41" s="1"/>
      <c r="C41" s="1"/>
      <c r="D41" s="1"/>
      <c r="E41" s="1"/>
      <c r="F41" s="1"/>
    </row>
    <row r="43" spans="1:6" x14ac:dyDescent="0.25">
      <c r="A43" s="1" t="s">
        <v>333</v>
      </c>
    </row>
    <row r="44" spans="1:6" x14ac:dyDescent="0.25">
      <c r="A44" s="1" t="s">
        <v>136</v>
      </c>
      <c r="B44" s="1"/>
      <c r="C44" s="1"/>
      <c r="D44" s="1"/>
      <c r="E44" s="1"/>
      <c r="F44" s="1"/>
    </row>
    <row r="46" spans="1:6" x14ac:dyDescent="0.25">
      <c r="B46" s="74"/>
    </row>
    <row r="48" spans="1:6" x14ac:dyDescent="0.25">
      <c r="C48" s="55"/>
    </row>
  </sheetData>
  <pageMargins left="0.7" right="0.7" top="0.75" bottom="0.75" header="0.3" footer="0.3"/>
  <pageSetup orientation="portrait" r:id="rId1"/>
  <headerFooter>
    <oddFooter>&amp;L&amp;F
&amp;A&amp;RPrepared By: Jeanne Pluth
Date: January 19, 2018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3:J102"/>
  <sheetViews>
    <sheetView showZeros="0" zoomScaleNormal="100" workbookViewId="0">
      <pane xSplit="2" ySplit="7" topLeftCell="C8" activePane="bottomRight" state="frozen"/>
      <selection pane="topRight"/>
      <selection pane="bottomLeft"/>
      <selection pane="bottomRight" activeCell="H102" sqref="H102:I102"/>
    </sheetView>
  </sheetViews>
  <sheetFormatPr defaultRowHeight="12.6" x14ac:dyDescent="0.25"/>
  <cols>
    <col min="1" max="1" width="1.6640625" customWidth="1"/>
    <col min="2" max="2" width="20.6640625" customWidth="1"/>
    <col min="3" max="3" width="12.6640625" customWidth="1"/>
    <col min="4" max="6" width="8" bestFit="1" customWidth="1"/>
    <col min="7" max="7" width="4.6640625" customWidth="1"/>
  </cols>
  <sheetData>
    <row r="3" spans="1:10" ht="13.2" thickBot="1" x14ac:dyDescent="0.3"/>
    <row r="4" spans="1:10" ht="13.2" thickBot="1" x14ac:dyDescent="0.3">
      <c r="C4" s="183" t="s">
        <v>378</v>
      </c>
      <c r="D4" s="184"/>
      <c r="E4" s="184"/>
      <c r="F4" s="185"/>
      <c r="H4" s="183" t="s">
        <v>379</v>
      </c>
      <c r="I4" s="184"/>
      <c r="J4" s="185"/>
    </row>
    <row r="6" spans="1:10" x14ac:dyDescent="0.25">
      <c r="C6" s="163" t="s">
        <v>1</v>
      </c>
      <c r="D6" s="164" t="s">
        <v>2</v>
      </c>
      <c r="E6" s="164" t="s">
        <v>3</v>
      </c>
      <c r="F6" s="164" t="s">
        <v>297</v>
      </c>
      <c r="H6" s="164" t="s">
        <v>2</v>
      </c>
      <c r="I6" s="164" t="s">
        <v>3</v>
      </c>
      <c r="J6" s="164" t="s">
        <v>297</v>
      </c>
    </row>
    <row r="8" spans="1:10" x14ac:dyDescent="0.25">
      <c r="A8" s="55" t="s">
        <v>193</v>
      </c>
    </row>
    <row r="9" spans="1:10" x14ac:dyDescent="0.25">
      <c r="B9" s="96" t="s">
        <v>237</v>
      </c>
      <c r="C9" s="88">
        <f>+D9+E9+F9</f>
        <v>1</v>
      </c>
      <c r="D9" s="117">
        <v>0.72399000000000002</v>
      </c>
      <c r="E9" s="117">
        <v>0.19517999999999999</v>
      </c>
      <c r="F9" s="117">
        <v>8.0829999999999999E-2</v>
      </c>
      <c r="G9" s="88">
        <f>1-SUM(D9:F9)</f>
        <v>0</v>
      </c>
    </row>
    <row r="10" spans="1:10" x14ac:dyDescent="0.25">
      <c r="B10" s="72"/>
      <c r="C10" s="72"/>
      <c r="D10" s="117"/>
      <c r="E10" s="117"/>
      <c r="F10" s="117"/>
      <c r="G10" s="88"/>
    </row>
    <row r="11" spans="1:10" x14ac:dyDescent="0.25">
      <c r="B11" s="72" t="s">
        <v>238</v>
      </c>
      <c r="C11" s="88">
        <f>+D11+E11+F11</f>
        <v>1</v>
      </c>
      <c r="D11" s="117">
        <v>0.73197000000000001</v>
      </c>
      <c r="E11" s="117">
        <v>0.18926999999999999</v>
      </c>
      <c r="F11" s="117">
        <v>7.8759999999999997E-2</v>
      </c>
      <c r="G11" s="88">
        <f>1-SUM(D11:F11)</f>
        <v>0</v>
      </c>
    </row>
    <row r="12" spans="1:10" x14ac:dyDescent="0.25">
      <c r="B12" s="72" t="s">
        <v>239</v>
      </c>
      <c r="C12" s="88">
        <f>+D12+E12+F12</f>
        <v>1</v>
      </c>
      <c r="D12" s="117">
        <v>0.73541000000000001</v>
      </c>
      <c r="E12" s="117">
        <v>0.18382999999999999</v>
      </c>
      <c r="F12" s="117">
        <v>8.0759999999999998E-2</v>
      </c>
      <c r="G12" s="88">
        <f>1-SUM(D12:F12)</f>
        <v>0</v>
      </c>
    </row>
    <row r="13" spans="1:10" x14ac:dyDescent="0.25">
      <c r="B13" s="72"/>
      <c r="C13" s="72"/>
      <c r="D13" s="117"/>
      <c r="E13" s="117"/>
      <c r="F13" s="117"/>
      <c r="G13" s="88"/>
    </row>
    <row r="14" spans="1:10" x14ac:dyDescent="0.25">
      <c r="B14" s="72" t="s">
        <v>240</v>
      </c>
      <c r="C14" s="88">
        <f>+D14+E14+F14</f>
        <v>0.99999999999999989</v>
      </c>
      <c r="D14" s="117">
        <v>0.73341999999999996</v>
      </c>
      <c r="E14" s="117">
        <v>0.18434</v>
      </c>
      <c r="F14" s="117">
        <v>8.2239999999999994E-2</v>
      </c>
      <c r="G14" s="88">
        <f>1-SUM(D14:F14)</f>
        <v>0</v>
      </c>
    </row>
    <row r="15" spans="1:10" x14ac:dyDescent="0.25">
      <c r="B15" s="72" t="s">
        <v>241</v>
      </c>
      <c r="C15" s="88">
        <f>+D15+E15+F15</f>
        <v>1</v>
      </c>
      <c r="D15" s="117">
        <v>0.71960000000000002</v>
      </c>
      <c r="E15" s="117">
        <v>0.1918</v>
      </c>
      <c r="F15" s="117">
        <v>8.8599999999999998E-2</v>
      </c>
      <c r="G15" s="88">
        <f>1-SUM(D15:F15)</f>
        <v>0</v>
      </c>
    </row>
    <row r="16" spans="1:10" x14ac:dyDescent="0.25">
      <c r="B16" s="72" t="s">
        <v>243</v>
      </c>
      <c r="C16" s="88">
        <f>+D16+E16+F16</f>
        <v>0.99999999999999989</v>
      </c>
      <c r="D16" s="117">
        <v>0.72043999999999997</v>
      </c>
      <c r="E16" s="117">
        <v>0.19345999999999999</v>
      </c>
      <c r="F16" s="117">
        <v>8.6099999999999996E-2</v>
      </c>
      <c r="G16" s="88"/>
    </row>
    <row r="17" spans="1:10" x14ac:dyDescent="0.25">
      <c r="B17" s="72" t="s">
        <v>269</v>
      </c>
      <c r="C17" s="88">
        <f>+D17+E17+F17</f>
        <v>1</v>
      </c>
      <c r="D17" s="117">
        <v>0.72382999999999997</v>
      </c>
      <c r="E17" s="117">
        <v>0.19477</v>
      </c>
      <c r="F17" s="117">
        <v>8.14E-2</v>
      </c>
      <c r="G17" s="88">
        <f>1-SUM(D17:F17)</f>
        <v>0</v>
      </c>
    </row>
    <row r="18" spans="1:10" x14ac:dyDescent="0.25">
      <c r="B18" s="72"/>
      <c r="C18" s="88"/>
      <c r="D18" s="117"/>
      <c r="E18" s="117"/>
      <c r="F18" s="117"/>
      <c r="G18" s="88"/>
    </row>
    <row r="19" spans="1:10" x14ac:dyDescent="0.25">
      <c r="B19" s="72" t="s">
        <v>335</v>
      </c>
      <c r="C19" s="88">
        <f>+D19+E19+F19</f>
        <v>1</v>
      </c>
      <c r="D19" s="117">
        <v>0.72043999999999997</v>
      </c>
      <c r="E19" s="117">
        <v>0.19889000000000001</v>
      </c>
      <c r="F19" s="117">
        <v>8.0670000000000006E-2</v>
      </c>
      <c r="G19" s="88"/>
    </row>
    <row r="20" spans="1:10" x14ac:dyDescent="0.25">
      <c r="B20" s="72" t="s">
        <v>336</v>
      </c>
      <c r="C20" s="88">
        <f>+D20+E20+F20</f>
        <v>1</v>
      </c>
      <c r="D20" s="144">
        <v>0.71122000000000007</v>
      </c>
      <c r="E20" s="144">
        <v>0.20502000000000001</v>
      </c>
      <c r="F20" s="144">
        <v>8.3760000000000001E-2</v>
      </c>
      <c r="G20" s="88"/>
    </row>
    <row r="21" spans="1:10" x14ac:dyDescent="0.25">
      <c r="B21" s="72"/>
      <c r="C21" s="88"/>
      <c r="D21" s="117"/>
      <c r="E21" s="117"/>
      <c r="F21" s="117"/>
      <c r="G21" s="88"/>
    </row>
    <row r="22" spans="1:10" x14ac:dyDescent="0.25">
      <c r="B22" s="72" t="s">
        <v>337</v>
      </c>
      <c r="C22" s="88">
        <f t="shared" ref="C22:C29" si="0">+D22+E22+F22</f>
        <v>1</v>
      </c>
      <c r="D22" s="117">
        <v>0.72345999999999999</v>
      </c>
      <c r="E22" s="117">
        <v>0.19400999999999999</v>
      </c>
      <c r="F22" s="117">
        <v>8.2530000000000006E-2</v>
      </c>
      <c r="G22" s="88"/>
      <c r="H22" s="165">
        <f>D22-D20</f>
        <v>1.2239999999999918E-2</v>
      </c>
      <c r="I22" s="165">
        <f t="shared" ref="I22:J22" si="1">E22-E20</f>
        <v>-1.101000000000002E-2</v>
      </c>
      <c r="J22" s="165">
        <f t="shared" si="1"/>
        <v>-1.229999999999995E-3</v>
      </c>
    </row>
    <row r="23" spans="1:10" x14ac:dyDescent="0.25">
      <c r="B23" s="72" t="s">
        <v>342</v>
      </c>
      <c r="C23" s="88">
        <f t="shared" si="0"/>
        <v>0.99999999999999989</v>
      </c>
      <c r="D23" s="117">
        <v>0.71289999999999998</v>
      </c>
      <c r="E23" s="117">
        <v>0.19822000000000001</v>
      </c>
      <c r="F23" s="117">
        <v>8.8880000000000001E-2</v>
      </c>
      <c r="G23" s="88"/>
      <c r="H23" s="165">
        <f>D23-D22</f>
        <v>-1.0560000000000014E-2</v>
      </c>
      <c r="I23" s="165">
        <f t="shared" ref="I23:J23" si="2">E23-E22</f>
        <v>4.2100000000000193E-3</v>
      </c>
      <c r="J23" s="165">
        <f t="shared" si="2"/>
        <v>6.3499999999999945E-3</v>
      </c>
    </row>
    <row r="24" spans="1:10" x14ac:dyDescent="0.25">
      <c r="B24" s="72" t="s">
        <v>360</v>
      </c>
      <c r="C24" s="88">
        <v>1</v>
      </c>
      <c r="D24" s="117">
        <v>0.71547000000000005</v>
      </c>
      <c r="E24" s="117">
        <v>0.19750999999999999</v>
      </c>
      <c r="F24" s="117">
        <v>8.702E-2</v>
      </c>
      <c r="G24" s="88"/>
      <c r="H24" s="165">
        <f t="shared" ref="H24:H27" si="3">D24-D23</f>
        <v>2.5700000000000722E-3</v>
      </c>
      <c r="I24" s="165">
        <f t="shared" ref="I24:I27" si="4">E24-E23</f>
        <v>-7.1000000000001617E-4</v>
      </c>
      <c r="J24" s="165">
        <f t="shared" ref="J24:J27" si="5">F24-F23</f>
        <v>-1.8600000000000005E-3</v>
      </c>
    </row>
    <row r="25" spans="1:10" x14ac:dyDescent="0.25">
      <c r="B25" s="72" t="s">
        <v>362</v>
      </c>
      <c r="C25" s="88">
        <v>1</v>
      </c>
      <c r="D25" s="117">
        <v>0.71326000000000001</v>
      </c>
      <c r="E25" s="117">
        <v>0.19958000000000001</v>
      </c>
      <c r="F25" s="117">
        <v>8.7160000000000001E-2</v>
      </c>
      <c r="G25" s="88"/>
      <c r="H25" s="165">
        <f t="shared" si="3"/>
        <v>-2.2100000000000453E-3</v>
      </c>
      <c r="I25" s="165">
        <f t="shared" si="4"/>
        <v>2.0700000000000163E-3</v>
      </c>
      <c r="J25" s="165">
        <f t="shared" si="5"/>
        <v>1.4000000000000123E-4</v>
      </c>
    </row>
    <row r="26" spans="1:10" x14ac:dyDescent="0.25">
      <c r="B26" s="72" t="s">
        <v>363</v>
      </c>
      <c r="C26" s="88">
        <v>1</v>
      </c>
      <c r="D26" s="117">
        <v>0.70328000000000002</v>
      </c>
      <c r="E26" s="117">
        <v>0.20444999999999999</v>
      </c>
      <c r="F26" s="117">
        <v>9.2270000000000005E-2</v>
      </c>
      <c r="G26" s="88"/>
      <c r="H26" s="165">
        <f t="shared" si="3"/>
        <v>-9.9799999999999889E-3</v>
      </c>
      <c r="I26" s="165">
        <f t="shared" si="4"/>
        <v>4.8699999999999855E-3</v>
      </c>
      <c r="J26" s="165">
        <f t="shared" si="5"/>
        <v>5.1100000000000034E-3</v>
      </c>
    </row>
    <row r="27" spans="1:10" x14ac:dyDescent="0.25">
      <c r="B27" s="72" t="s">
        <v>365</v>
      </c>
      <c r="C27" s="88">
        <v>1</v>
      </c>
      <c r="D27" s="117">
        <v>0.70135000000000003</v>
      </c>
      <c r="E27" s="117">
        <v>0.20549000000000001</v>
      </c>
      <c r="F27" s="117">
        <v>9.3160000000000007E-2</v>
      </c>
      <c r="G27" s="88"/>
      <c r="H27" s="165">
        <f t="shared" si="3"/>
        <v>-1.9299999999999873E-3</v>
      </c>
      <c r="I27" s="165">
        <f t="shared" si="4"/>
        <v>1.0400000000000131E-3</v>
      </c>
      <c r="J27" s="165">
        <f t="shared" si="5"/>
        <v>8.900000000000019E-4</v>
      </c>
    </row>
    <row r="28" spans="1:10" x14ac:dyDescent="0.25">
      <c r="B28" s="72" t="s">
        <v>375</v>
      </c>
      <c r="C28" s="88">
        <v>1</v>
      </c>
      <c r="D28" s="117">
        <v>0.70577999999999996</v>
      </c>
      <c r="E28" s="117">
        <v>0.20513000000000001</v>
      </c>
      <c r="F28" s="117">
        <v>8.9090000000000003E-2</v>
      </c>
      <c r="G28" s="88"/>
      <c r="H28" s="165">
        <f t="shared" ref="H28" si="6">D28-D27</f>
        <v>4.429999999999934E-3</v>
      </c>
      <c r="I28" s="165">
        <f t="shared" ref="I28:I29" si="7">E28-E27</f>
        <v>-3.5999999999999921E-4</v>
      </c>
      <c r="J28" s="165">
        <f t="shared" ref="J28:J29" si="8">F28-F27</f>
        <v>-4.0700000000000042E-3</v>
      </c>
    </row>
    <row r="29" spans="1:10" x14ac:dyDescent="0.25">
      <c r="B29" s="72" t="s">
        <v>384</v>
      </c>
      <c r="C29" s="88">
        <f t="shared" si="0"/>
        <v>1</v>
      </c>
      <c r="D29" s="88">
        <f>+NewMemo!H22</f>
        <v>0.69821999999999995</v>
      </c>
      <c r="E29" s="88">
        <f>+NewMemo!I22</f>
        <v>0.20882000000000001</v>
      </c>
      <c r="F29" s="88">
        <f>+NewMemo!J22</f>
        <v>9.2960000000000001E-2</v>
      </c>
      <c r="G29" s="88"/>
      <c r="H29" s="165">
        <f>D29-D28</f>
        <v>-7.5600000000000112E-3</v>
      </c>
      <c r="I29" s="165">
        <f t="shared" si="7"/>
        <v>3.6899999999999988E-3</v>
      </c>
      <c r="J29" s="165">
        <f t="shared" si="8"/>
        <v>3.8699999999999984E-3</v>
      </c>
    </row>
    <row r="30" spans="1:10" x14ac:dyDescent="0.25">
      <c r="B30" s="72"/>
      <c r="C30" s="88"/>
      <c r="D30" s="88"/>
      <c r="E30" s="88"/>
      <c r="F30" s="88"/>
      <c r="G30" s="88"/>
    </row>
    <row r="31" spans="1:10" x14ac:dyDescent="0.25">
      <c r="D31" s="88"/>
      <c r="E31" s="88"/>
      <c r="F31" s="88"/>
      <c r="G31" s="88"/>
    </row>
    <row r="32" spans="1:10" x14ac:dyDescent="0.25">
      <c r="A32" s="55" t="s">
        <v>194</v>
      </c>
      <c r="D32" s="88"/>
      <c r="E32" s="88"/>
      <c r="F32" s="88"/>
      <c r="G32" s="88"/>
    </row>
    <row r="33" spans="2:10" x14ac:dyDescent="0.25">
      <c r="B33" s="89" t="str">
        <f>+B9</f>
        <v>For 2005</v>
      </c>
      <c r="C33" s="88">
        <f>+D33+E33+F33</f>
        <v>1</v>
      </c>
      <c r="D33" s="117">
        <v>0</v>
      </c>
      <c r="E33" s="117">
        <v>0.71536</v>
      </c>
      <c r="F33" s="117">
        <v>0.28464</v>
      </c>
      <c r="G33" s="88">
        <f>1-SUM(D33:F33)</f>
        <v>0</v>
      </c>
    </row>
    <row r="34" spans="2:10" x14ac:dyDescent="0.25">
      <c r="D34" s="117"/>
      <c r="E34" s="117"/>
      <c r="F34" s="117"/>
      <c r="G34" s="88"/>
    </row>
    <row r="35" spans="2:10" x14ac:dyDescent="0.25">
      <c r="B35" s="89" t="str">
        <f>+B11</f>
        <v>Original For 2006</v>
      </c>
      <c r="C35" s="88">
        <f>+D35+E35+F35</f>
        <v>1</v>
      </c>
      <c r="D35" s="117"/>
      <c r="E35" s="117">
        <v>0.71565000000000001</v>
      </c>
      <c r="F35" s="117">
        <v>0.28434999999999999</v>
      </c>
      <c r="G35" s="88">
        <f>1-SUM(D35:F35)</f>
        <v>0</v>
      </c>
    </row>
    <row r="36" spans="2:10" x14ac:dyDescent="0.25">
      <c r="B36" s="89" t="str">
        <f>+B12</f>
        <v>Revised For 2006</v>
      </c>
      <c r="C36" s="88">
        <f>+D36+E36+F36</f>
        <v>1</v>
      </c>
      <c r="D36" s="117"/>
      <c r="E36" s="117">
        <v>0.69884999999999997</v>
      </c>
      <c r="F36" s="117">
        <v>0.30114999999999997</v>
      </c>
      <c r="G36" s="88">
        <f>1-SUM(D36:F36)</f>
        <v>0</v>
      </c>
    </row>
    <row r="37" spans="2:10" x14ac:dyDescent="0.25">
      <c r="D37" s="117"/>
      <c r="E37" s="117"/>
      <c r="F37" s="117"/>
      <c r="G37" s="88"/>
    </row>
    <row r="38" spans="2:10" x14ac:dyDescent="0.25">
      <c r="B38" s="89" t="str">
        <f>+B14</f>
        <v>For 2007</v>
      </c>
      <c r="C38" s="88">
        <f>+D38+E38+F38</f>
        <v>1</v>
      </c>
      <c r="D38" s="117"/>
      <c r="E38" s="117">
        <v>0.6925</v>
      </c>
      <c r="F38" s="117">
        <v>0.3075</v>
      </c>
      <c r="G38" s="88">
        <f>1-SUM(D38:F38)</f>
        <v>0</v>
      </c>
    </row>
    <row r="39" spans="2:10" x14ac:dyDescent="0.25">
      <c r="B39" s="89" t="str">
        <f>+B15</f>
        <v>For 2008</v>
      </c>
      <c r="C39" s="88">
        <f>+D39+E39+F39</f>
        <v>1</v>
      </c>
      <c r="D39" s="117"/>
      <c r="E39" s="117">
        <v>0.68157000000000001</v>
      </c>
      <c r="F39" s="117">
        <v>0.31842999999999999</v>
      </c>
      <c r="G39" s="88">
        <f>1-SUM(D39:F39)</f>
        <v>0</v>
      </c>
    </row>
    <row r="40" spans="2:10" x14ac:dyDescent="0.25">
      <c r="B40" s="89" t="str">
        <f>+B16</f>
        <v>For 2009</v>
      </c>
      <c r="C40" s="88">
        <f>+D40+E40+F40</f>
        <v>1</v>
      </c>
      <c r="D40" s="117"/>
      <c r="E40" s="117">
        <v>0.68979999999999997</v>
      </c>
      <c r="F40" s="117">
        <v>0.31019999999999998</v>
      </c>
      <c r="G40" s="88"/>
    </row>
    <row r="41" spans="2:10" x14ac:dyDescent="0.25">
      <c r="B41" s="89" t="str">
        <f>+B17</f>
        <v>For 2010</v>
      </c>
      <c r="C41" s="88">
        <f>+D41+E41+F41</f>
        <v>1</v>
      </c>
      <c r="D41" s="117"/>
      <c r="E41" s="117">
        <v>0.70574999999999999</v>
      </c>
      <c r="F41" s="117">
        <v>0.29425000000000001</v>
      </c>
      <c r="G41" s="88">
        <f>1-SUM(D41:F41)</f>
        <v>0</v>
      </c>
    </row>
    <row r="42" spans="2:10" x14ac:dyDescent="0.25">
      <c r="B42" s="89"/>
      <c r="C42" s="88"/>
      <c r="D42" s="117"/>
      <c r="E42" s="117"/>
      <c r="F42" s="117"/>
      <c r="G42" s="88"/>
    </row>
    <row r="43" spans="2:10" x14ac:dyDescent="0.25">
      <c r="B43" s="89" t="str">
        <f>+B19</f>
        <v>Original For 2011</v>
      </c>
      <c r="C43" s="88">
        <f>+D43+E43+F43</f>
        <v>1</v>
      </c>
      <c r="D43" s="88"/>
      <c r="E43" s="117">
        <v>0.71331</v>
      </c>
      <c r="F43" s="117">
        <v>0.28669</v>
      </c>
      <c r="G43" s="88"/>
    </row>
    <row r="44" spans="2:10" x14ac:dyDescent="0.25">
      <c r="B44" s="145" t="s">
        <v>336</v>
      </c>
      <c r="C44" s="88">
        <f>+D44+E44+F44</f>
        <v>1</v>
      </c>
      <c r="D44" s="88"/>
      <c r="E44" s="144">
        <v>0.71467000000000003</v>
      </c>
      <c r="F44" s="144">
        <v>0.28532999999999997</v>
      </c>
      <c r="G44" s="88"/>
    </row>
    <row r="45" spans="2:10" x14ac:dyDescent="0.25">
      <c r="B45" s="89"/>
      <c r="C45" s="88"/>
      <c r="D45" s="88"/>
      <c r="E45" s="117"/>
      <c r="F45" s="117"/>
      <c r="G45" s="88"/>
    </row>
    <row r="46" spans="2:10" x14ac:dyDescent="0.25">
      <c r="B46" s="89" t="str">
        <f>+B22</f>
        <v>For 2012</v>
      </c>
      <c r="C46" s="88">
        <f t="shared" ref="C46:C47" si="9">+D46+E46+F46</f>
        <v>1</v>
      </c>
      <c r="D46" s="88"/>
      <c r="E46" s="117">
        <v>0.70320000000000005</v>
      </c>
      <c r="F46" s="117">
        <v>0.29680000000000001</v>
      </c>
      <c r="G46" s="88"/>
      <c r="H46" s="165">
        <f>D46-D44</f>
        <v>0</v>
      </c>
      <c r="I46" s="165">
        <f t="shared" ref="I46" si="10">E46-E44</f>
        <v>-1.146999999999998E-2</v>
      </c>
      <c r="J46" s="165">
        <f t="shared" ref="J46" si="11">F46-F44</f>
        <v>1.1470000000000036E-2</v>
      </c>
    </row>
    <row r="47" spans="2:10" x14ac:dyDescent="0.25">
      <c r="B47" s="89" t="str">
        <f>+B23</f>
        <v>For 2013</v>
      </c>
      <c r="C47" s="88">
        <f t="shared" si="9"/>
        <v>1</v>
      </c>
      <c r="D47" s="88"/>
      <c r="E47" s="117">
        <v>0.68732000000000004</v>
      </c>
      <c r="F47" s="117">
        <v>0.31268000000000001</v>
      </c>
      <c r="G47" s="88"/>
      <c r="H47" s="165">
        <f>D47-D46</f>
        <v>0</v>
      </c>
      <c r="I47" s="165">
        <f>E47-E46</f>
        <v>-1.5880000000000005E-2</v>
      </c>
      <c r="J47" s="165">
        <f t="shared" ref="J47" si="12">F47-F46</f>
        <v>1.5880000000000005E-2</v>
      </c>
    </row>
    <row r="48" spans="2:10" x14ac:dyDescent="0.25">
      <c r="B48" s="89" t="s">
        <v>360</v>
      </c>
      <c r="C48" s="88">
        <v>1</v>
      </c>
      <c r="D48" s="88"/>
      <c r="E48" s="117">
        <v>0.69081999999999999</v>
      </c>
      <c r="F48" s="117">
        <v>0.30918000000000001</v>
      </c>
      <c r="G48" s="88"/>
      <c r="H48" s="165">
        <f t="shared" ref="H48:H51" si="13">D48-D46</f>
        <v>0</v>
      </c>
      <c r="I48" s="165">
        <f t="shared" ref="I48:I50" si="14">E48-E47</f>
        <v>3.4999999999999476E-3</v>
      </c>
      <c r="J48" s="165">
        <f t="shared" ref="J48:J51" si="15">F48-F47</f>
        <v>-3.5000000000000031E-3</v>
      </c>
    </row>
    <row r="49" spans="1:10" x14ac:dyDescent="0.25">
      <c r="B49" s="89" t="s">
        <v>362</v>
      </c>
      <c r="C49" s="88">
        <v>1</v>
      </c>
      <c r="D49" s="88"/>
      <c r="E49" s="117">
        <v>0.69633999999999996</v>
      </c>
      <c r="F49" s="117">
        <v>0.30365999999999999</v>
      </c>
      <c r="G49" s="88"/>
      <c r="H49" s="165">
        <f t="shared" si="13"/>
        <v>0</v>
      </c>
      <c r="I49" s="165">
        <f t="shared" si="14"/>
        <v>5.5199999999999694E-3</v>
      </c>
      <c r="J49" s="165">
        <f t="shared" si="15"/>
        <v>-5.5200000000000249E-3</v>
      </c>
    </row>
    <row r="50" spans="1:10" x14ac:dyDescent="0.25">
      <c r="B50" s="89" t="s">
        <v>363</v>
      </c>
      <c r="C50" s="88">
        <v>1</v>
      </c>
      <c r="D50" s="88"/>
      <c r="E50" s="117">
        <v>0.68557999999999997</v>
      </c>
      <c r="F50" s="117">
        <v>0.31441999999999998</v>
      </c>
      <c r="G50" s="88"/>
      <c r="H50" s="165">
        <f t="shared" si="13"/>
        <v>0</v>
      </c>
      <c r="I50" s="165">
        <f t="shared" si="14"/>
        <v>-1.0759999999999992E-2</v>
      </c>
      <c r="J50" s="165">
        <f t="shared" si="15"/>
        <v>1.0759999999999992E-2</v>
      </c>
    </row>
    <row r="51" spans="1:10" x14ac:dyDescent="0.25">
      <c r="B51" s="89" t="s">
        <v>365</v>
      </c>
      <c r="C51" s="88">
        <v>1</v>
      </c>
      <c r="D51" s="88"/>
      <c r="E51" s="117">
        <v>0.68562000000000001</v>
      </c>
      <c r="F51" s="117">
        <v>0.31437999999999999</v>
      </c>
      <c r="G51" s="88"/>
      <c r="H51" s="165">
        <f t="shared" si="13"/>
        <v>0</v>
      </c>
      <c r="I51" s="165">
        <f>E51-E50</f>
        <v>4.0000000000040004E-5</v>
      </c>
      <c r="J51" s="165">
        <f t="shared" si="15"/>
        <v>-3.9999999999984492E-5</v>
      </c>
    </row>
    <row r="52" spans="1:10" x14ac:dyDescent="0.25">
      <c r="B52" s="89" t="s">
        <v>375</v>
      </c>
      <c r="C52" s="88">
        <v>1</v>
      </c>
      <c r="D52" s="88"/>
      <c r="E52" s="117">
        <v>0.69776000000000005</v>
      </c>
      <c r="F52" s="117">
        <v>0.30224000000000001</v>
      </c>
      <c r="G52" s="88"/>
      <c r="H52" s="165">
        <v>0</v>
      </c>
      <c r="I52" s="165">
        <f>E52-E51</f>
        <v>1.214000000000004E-2</v>
      </c>
      <c r="J52" s="165">
        <f t="shared" ref="J52" si="16">F52-F51</f>
        <v>-1.2139999999999984E-2</v>
      </c>
    </row>
    <row r="53" spans="1:10" x14ac:dyDescent="0.25">
      <c r="B53" s="89" t="str">
        <f t="shared" ref="B53" si="17">+B29</f>
        <v>For 2019</v>
      </c>
      <c r="C53" s="88">
        <f t="shared" ref="C53" si="18">+D53+E53+F53</f>
        <v>1</v>
      </c>
      <c r="D53" s="88"/>
      <c r="E53" s="88">
        <f>+NewMemo!I26</f>
        <v>0.69032000000000004</v>
      </c>
      <c r="F53" s="88">
        <f>+NewMemo!J26</f>
        <v>0.30968000000000001</v>
      </c>
      <c r="G53" s="88"/>
      <c r="H53" s="165">
        <f>D53-D50</f>
        <v>0</v>
      </c>
      <c r="I53" s="165">
        <f>E53-E52</f>
        <v>-7.4400000000000022E-3</v>
      </c>
      <c r="J53" s="165">
        <f>F53-F52</f>
        <v>7.4400000000000022E-3</v>
      </c>
    </row>
    <row r="54" spans="1:10" x14ac:dyDescent="0.25">
      <c r="B54" s="89"/>
      <c r="C54" s="88"/>
      <c r="D54" s="88"/>
      <c r="E54" s="88"/>
      <c r="F54" s="88"/>
      <c r="G54" s="88"/>
    </row>
    <row r="55" spans="1:10" x14ac:dyDescent="0.25">
      <c r="B55" s="89"/>
      <c r="C55" s="88"/>
      <c r="D55" s="88"/>
      <c r="E55" s="88"/>
      <c r="F55" s="88"/>
      <c r="G55" s="88"/>
    </row>
    <row r="56" spans="1:10" x14ac:dyDescent="0.25">
      <c r="B56" s="89"/>
      <c r="C56" s="163" t="s">
        <v>1</v>
      </c>
      <c r="D56" s="164" t="s">
        <v>2</v>
      </c>
      <c r="E56" s="164" t="s">
        <v>3</v>
      </c>
      <c r="F56" s="164" t="s">
        <v>297</v>
      </c>
      <c r="H56" s="164" t="s">
        <v>2</v>
      </c>
      <c r="I56" s="164" t="s">
        <v>3</v>
      </c>
      <c r="J56" s="164" t="s">
        <v>297</v>
      </c>
    </row>
    <row r="57" spans="1:10" x14ac:dyDescent="0.25">
      <c r="A57" s="55" t="s">
        <v>195</v>
      </c>
      <c r="D57" s="88"/>
      <c r="E57" s="88"/>
      <c r="F57" s="88"/>
      <c r="G57" s="88"/>
    </row>
    <row r="58" spans="1:10" x14ac:dyDescent="0.25">
      <c r="B58" s="89" t="str">
        <f>+B33</f>
        <v>For 2005</v>
      </c>
      <c r="C58" s="88">
        <f>+D58+E58+F58</f>
        <v>1</v>
      </c>
      <c r="D58" s="117">
        <v>0.79318</v>
      </c>
      <c r="E58" s="117">
        <v>0.20682</v>
      </c>
      <c r="F58" s="117"/>
      <c r="G58" s="88">
        <f>1-SUM(D58:F58)</f>
        <v>0</v>
      </c>
    </row>
    <row r="59" spans="1:10" x14ac:dyDescent="0.25">
      <c r="D59" s="117"/>
      <c r="E59" s="117"/>
      <c r="F59" s="117"/>
      <c r="G59" s="88"/>
    </row>
    <row r="60" spans="1:10" x14ac:dyDescent="0.25">
      <c r="B60" s="89" t="str">
        <f>+B35</f>
        <v>Original For 2006</v>
      </c>
      <c r="C60" s="88">
        <f>+D60+E60+F60</f>
        <v>1</v>
      </c>
      <c r="D60" s="117">
        <v>0.80105999999999999</v>
      </c>
      <c r="E60" s="117">
        <v>0.19894000000000001</v>
      </c>
      <c r="F60" s="117"/>
      <c r="G60" s="88">
        <f>1-SUM(D60:F60)</f>
        <v>0</v>
      </c>
    </row>
    <row r="61" spans="1:10" x14ac:dyDescent="0.25">
      <c r="B61" s="89" t="str">
        <f>+B36</f>
        <v>Revised For 2006</v>
      </c>
      <c r="C61" s="88">
        <f>+D61+E61+F61</f>
        <v>1</v>
      </c>
      <c r="D61" s="117">
        <v>0.80198000000000003</v>
      </c>
      <c r="E61" s="117">
        <v>0.19802</v>
      </c>
      <c r="F61" s="117"/>
      <c r="G61" s="88">
        <f>1-SUM(D61:F61)</f>
        <v>0</v>
      </c>
    </row>
    <row r="62" spans="1:10" x14ac:dyDescent="0.25">
      <c r="D62" s="117"/>
      <c r="E62" s="117"/>
      <c r="F62" s="117"/>
      <c r="G62" s="88"/>
    </row>
    <row r="63" spans="1:10" x14ac:dyDescent="0.25">
      <c r="B63" s="89" t="str">
        <f>+B38</f>
        <v>For 2007</v>
      </c>
      <c r="C63" s="88">
        <f>+D63+E63+F63</f>
        <v>1</v>
      </c>
      <c r="D63" s="117">
        <v>0.80115000000000003</v>
      </c>
      <c r="E63" s="117">
        <v>0.19885</v>
      </c>
      <c r="F63" s="117"/>
      <c r="G63" s="88">
        <f>1-SUM(D63:F63)</f>
        <v>0</v>
      </c>
    </row>
    <row r="64" spans="1:10" x14ac:dyDescent="0.25">
      <c r="B64" s="89" t="str">
        <f>+B39</f>
        <v>For 2008</v>
      </c>
      <c r="C64" s="88">
        <f>+D64+E64+F64</f>
        <v>1</v>
      </c>
      <c r="D64" s="117">
        <v>0.79122000000000003</v>
      </c>
      <c r="E64" s="117">
        <v>0.20877999999999999</v>
      </c>
      <c r="F64" s="117">
        <v>0</v>
      </c>
    </row>
    <row r="65" spans="2:10" x14ac:dyDescent="0.25">
      <c r="B65" s="89" t="str">
        <f>+B40</f>
        <v>For 2009</v>
      </c>
      <c r="C65" s="88">
        <f>+D65+E65+F65</f>
        <v>1</v>
      </c>
      <c r="D65" s="117">
        <v>0.79003999999999996</v>
      </c>
      <c r="E65" s="117">
        <v>0.20996000000000001</v>
      </c>
      <c r="F65" s="117"/>
    </row>
    <row r="66" spans="2:10" x14ac:dyDescent="0.25">
      <c r="B66" s="89" t="str">
        <f>+B41</f>
        <v>For 2010</v>
      </c>
      <c r="C66" s="88">
        <f>+D66+E66+F66</f>
        <v>1</v>
      </c>
      <c r="D66" s="117">
        <v>0.79074999999999995</v>
      </c>
      <c r="E66" s="117">
        <v>0.20924999999999999</v>
      </c>
      <c r="F66" s="117"/>
      <c r="G66" s="88">
        <f>1-SUM(D66:F66)</f>
        <v>0</v>
      </c>
    </row>
    <row r="67" spans="2:10" x14ac:dyDescent="0.25">
      <c r="B67" s="89"/>
      <c r="C67" s="88"/>
      <c r="D67" s="117"/>
      <c r="E67" s="117"/>
      <c r="F67" s="117"/>
      <c r="G67" s="88"/>
    </row>
    <row r="68" spans="2:10" x14ac:dyDescent="0.25">
      <c r="B68" s="89" t="str">
        <f>+B43</f>
        <v>Original For 2011</v>
      </c>
      <c r="C68" s="88">
        <f>+D68+E68+F68</f>
        <v>1</v>
      </c>
      <c r="D68" s="117">
        <v>0.78661000000000003</v>
      </c>
      <c r="E68" s="117">
        <v>0.21339</v>
      </c>
      <c r="F68" s="88"/>
      <c r="G68" s="88"/>
    </row>
    <row r="69" spans="2:10" x14ac:dyDescent="0.25">
      <c r="B69" s="145" t="s">
        <v>336</v>
      </c>
      <c r="C69" s="88">
        <f>+D69+E69+F69</f>
        <v>1</v>
      </c>
      <c r="D69" s="117">
        <v>0.77944000000000002</v>
      </c>
      <c r="E69" s="117">
        <v>0.22056000000000001</v>
      </c>
      <c r="F69" s="88"/>
      <c r="G69" s="88"/>
    </row>
    <row r="70" spans="2:10" x14ac:dyDescent="0.25">
      <c r="B70" s="89"/>
      <c r="C70" s="88"/>
      <c r="D70" s="117"/>
      <c r="E70" s="117"/>
      <c r="F70" s="88"/>
      <c r="G70" s="88"/>
    </row>
    <row r="71" spans="2:10" x14ac:dyDescent="0.25">
      <c r="B71" s="89" t="str">
        <f>+B46</f>
        <v>For 2012</v>
      </c>
      <c r="C71" s="88">
        <f t="shared" ref="C71:C72" si="19">+D71+E71+F71</f>
        <v>1</v>
      </c>
      <c r="D71" s="117">
        <v>0.79220999999999997</v>
      </c>
      <c r="E71" s="117">
        <v>0.20779</v>
      </c>
      <c r="F71" s="88"/>
      <c r="H71" s="165">
        <f>D71-D69</f>
        <v>1.2769999999999948E-2</v>
      </c>
      <c r="I71" s="165">
        <f t="shared" ref="I71" si="20">E71-E69</f>
        <v>-1.2770000000000004E-2</v>
      </c>
      <c r="J71" s="165">
        <f t="shared" ref="J71" si="21">F71-F69</f>
        <v>0</v>
      </c>
    </row>
    <row r="72" spans="2:10" x14ac:dyDescent="0.25">
      <c r="B72" s="89" t="str">
        <f>+B47</f>
        <v>For 2013</v>
      </c>
      <c r="C72" s="88">
        <f t="shared" si="19"/>
        <v>1</v>
      </c>
      <c r="D72" s="117">
        <v>0.78641000000000005</v>
      </c>
      <c r="E72" s="117">
        <v>0.21359</v>
      </c>
      <c r="H72" s="165">
        <f>D72-D71</f>
        <v>-5.7999999999999163E-3</v>
      </c>
      <c r="I72" s="165">
        <f t="shared" ref="I72" si="22">E72-E71</f>
        <v>5.7999999999999996E-3</v>
      </c>
      <c r="J72" s="165">
        <f t="shared" ref="J72" si="23">F72-F71</f>
        <v>0</v>
      </c>
    </row>
    <row r="73" spans="2:10" x14ac:dyDescent="0.25">
      <c r="B73" s="89" t="s">
        <v>360</v>
      </c>
      <c r="C73" s="88">
        <v>1</v>
      </c>
      <c r="D73" s="117">
        <v>0.78744000000000003</v>
      </c>
      <c r="E73" s="117">
        <v>0.21256</v>
      </c>
      <c r="H73" s="165">
        <f t="shared" ref="H73:H75" si="24">D73-D72</f>
        <v>1.0299999999999754E-3</v>
      </c>
      <c r="I73" s="165">
        <f t="shared" ref="I73:I76" si="25">E73-E72</f>
        <v>-1.0300000000000031E-3</v>
      </c>
      <c r="J73" s="165">
        <f t="shared" ref="J73:J76" si="26">F73-F71</f>
        <v>0</v>
      </c>
    </row>
    <row r="74" spans="2:10" x14ac:dyDescent="0.25">
      <c r="B74" s="89" t="s">
        <v>362</v>
      </c>
      <c r="C74" s="88">
        <v>1</v>
      </c>
      <c r="D74" s="117">
        <v>0.78481999999999996</v>
      </c>
      <c r="E74" s="117">
        <v>0.21518000000000001</v>
      </c>
      <c r="H74" s="165">
        <f t="shared" si="24"/>
        <v>-2.6200000000000667E-3</v>
      </c>
      <c r="I74" s="165">
        <f t="shared" si="25"/>
        <v>2.6200000000000112E-3</v>
      </c>
      <c r="J74" s="165">
        <f t="shared" si="26"/>
        <v>0</v>
      </c>
    </row>
    <row r="75" spans="2:10" x14ac:dyDescent="0.25">
      <c r="B75" s="89" t="s">
        <v>363</v>
      </c>
      <c r="C75" s="88">
        <v>1</v>
      </c>
      <c r="D75" s="117">
        <v>0.77807999999999999</v>
      </c>
      <c r="E75" s="117">
        <v>0.22192000000000001</v>
      </c>
      <c r="H75" s="165">
        <f t="shared" si="24"/>
        <v>-6.7399999999999682E-3</v>
      </c>
      <c r="I75" s="165">
        <f t="shared" si="25"/>
        <v>6.739999999999996E-3</v>
      </c>
      <c r="J75" s="165">
        <f t="shared" si="26"/>
        <v>0</v>
      </c>
    </row>
    <row r="76" spans="2:10" x14ac:dyDescent="0.25">
      <c r="B76" s="89" t="s">
        <v>365</v>
      </c>
      <c r="C76" s="88">
        <v>1</v>
      </c>
      <c r="D76" s="117">
        <v>0.77715000000000001</v>
      </c>
      <c r="E76" s="117">
        <v>0.22284999999999999</v>
      </c>
      <c r="H76" s="165">
        <f>D76-D75</f>
        <v>-9.2999999999998639E-4</v>
      </c>
      <c r="I76" s="165">
        <f t="shared" si="25"/>
        <v>9.2999999999998639E-4</v>
      </c>
      <c r="J76" s="165">
        <f t="shared" si="26"/>
        <v>0</v>
      </c>
    </row>
    <row r="77" spans="2:10" x14ac:dyDescent="0.25">
      <c r="B77" s="89" t="s">
        <v>375</v>
      </c>
      <c r="C77" s="88">
        <v>1</v>
      </c>
      <c r="D77" s="117">
        <v>0.77873999999999999</v>
      </c>
      <c r="E77" s="117">
        <v>0.22126000000000001</v>
      </c>
      <c r="H77" s="165">
        <f>D77-D76</f>
        <v>1.5899999999999803E-3</v>
      </c>
      <c r="I77" s="165">
        <f t="shared" ref="I77" si="27">E77-E76</f>
        <v>-1.5899999999999803E-3</v>
      </c>
      <c r="J77" s="165">
        <v>0</v>
      </c>
    </row>
    <row r="78" spans="2:10" x14ac:dyDescent="0.25">
      <c r="B78" s="89" t="str">
        <f t="shared" ref="B78" si="28">+B53</f>
        <v>For 2019</v>
      </c>
      <c r="C78" s="88">
        <f t="shared" ref="C78" si="29">+D78+E78+F78</f>
        <v>1</v>
      </c>
      <c r="D78" s="88">
        <f>+NewMemo!H30</f>
        <v>0.77317999999999998</v>
      </c>
      <c r="E78" s="88">
        <f>+NewMemo!I30</f>
        <v>0.22681999999999999</v>
      </c>
      <c r="H78" s="165">
        <f>D78-D77</f>
        <v>-5.5600000000000094E-3</v>
      </c>
      <c r="I78" s="165">
        <f>E78-E77</f>
        <v>5.5599999999999816E-3</v>
      </c>
      <c r="J78" s="165">
        <f>F78-F75</f>
        <v>0</v>
      </c>
    </row>
    <row r="81" spans="1:10" x14ac:dyDescent="0.25">
      <c r="A81" s="55" t="s">
        <v>376</v>
      </c>
      <c r="C81" s="163" t="s">
        <v>1</v>
      </c>
      <c r="D81" s="163" t="s">
        <v>291</v>
      </c>
      <c r="E81" s="163" t="s">
        <v>290</v>
      </c>
      <c r="H81" s="163" t="s">
        <v>291</v>
      </c>
      <c r="I81" s="163" t="s">
        <v>290</v>
      </c>
    </row>
    <row r="83" spans="1:10" x14ac:dyDescent="0.25">
      <c r="B83" t="str">
        <f t="shared" ref="B83:B88" si="30">B71</f>
        <v>For 2012</v>
      </c>
      <c r="C83" s="88">
        <f t="shared" ref="C83:C102" si="31">SUM(D83:E83)</f>
        <v>1</v>
      </c>
      <c r="D83" s="117">
        <v>0.67</v>
      </c>
      <c r="E83" s="117">
        <v>0.33</v>
      </c>
      <c r="H83" s="165"/>
      <c r="I83" s="165"/>
      <c r="J83" s="165">
        <f t="shared" ref="J83" si="32">F83-F81</f>
        <v>0</v>
      </c>
    </row>
    <row r="84" spans="1:10" x14ac:dyDescent="0.25">
      <c r="B84" t="str">
        <f t="shared" si="30"/>
        <v>For 2013</v>
      </c>
      <c r="C84" s="88">
        <f t="shared" si="31"/>
        <v>1</v>
      </c>
      <c r="D84" s="117">
        <v>0.67676999999999998</v>
      </c>
      <c r="E84" s="117">
        <v>0.32323000000000002</v>
      </c>
      <c r="H84" s="165">
        <f>D84-D83</f>
        <v>6.7699999999999427E-3</v>
      </c>
      <c r="I84" s="165">
        <f t="shared" ref="I84" si="33">E84-E83</f>
        <v>-6.7699999999999982E-3</v>
      </c>
      <c r="J84" s="165">
        <f t="shared" ref="J84" si="34">F84-F83</f>
        <v>0</v>
      </c>
    </row>
    <row r="85" spans="1:10" x14ac:dyDescent="0.25">
      <c r="B85" t="str">
        <f t="shared" si="30"/>
        <v>For 2014</v>
      </c>
      <c r="C85" s="88">
        <f t="shared" si="31"/>
        <v>1</v>
      </c>
      <c r="D85" s="117">
        <v>0.67900000000000005</v>
      </c>
      <c r="E85" s="117">
        <v>0.32100000000000001</v>
      </c>
      <c r="H85" s="165">
        <f t="shared" ref="H85:H88" si="35">D85-D84</f>
        <v>2.2300000000000653E-3</v>
      </c>
      <c r="I85" s="165">
        <f t="shared" ref="I85:I88" si="36">E85-E84</f>
        <v>-2.2300000000000098E-3</v>
      </c>
      <c r="J85" s="165">
        <f t="shared" ref="J85:J88" si="37">F85-F83</f>
        <v>0</v>
      </c>
    </row>
    <row r="86" spans="1:10" x14ac:dyDescent="0.25">
      <c r="B86" t="str">
        <f t="shared" si="30"/>
        <v>For 2015</v>
      </c>
      <c r="C86" s="88">
        <f t="shared" si="31"/>
        <v>1</v>
      </c>
      <c r="D86" s="117">
        <v>0.6804</v>
      </c>
      <c r="E86" s="117">
        <v>0.3196</v>
      </c>
      <c r="H86" s="165">
        <f t="shared" si="35"/>
        <v>1.3999999999999568E-3</v>
      </c>
      <c r="I86" s="165">
        <f t="shared" si="36"/>
        <v>-1.4000000000000123E-3</v>
      </c>
      <c r="J86" s="165">
        <f t="shared" si="37"/>
        <v>0</v>
      </c>
    </row>
    <row r="87" spans="1:10" x14ac:dyDescent="0.25">
      <c r="B87" t="str">
        <f t="shared" si="30"/>
        <v>For 2016</v>
      </c>
      <c r="C87" s="88">
        <f t="shared" si="31"/>
        <v>1</v>
      </c>
      <c r="D87" s="117">
        <v>0.68269999999999997</v>
      </c>
      <c r="E87" s="117">
        <v>0.31730000000000003</v>
      </c>
      <c r="H87" s="165">
        <f t="shared" si="35"/>
        <v>2.2999999999999687E-3</v>
      </c>
      <c r="I87" s="165">
        <f t="shared" si="36"/>
        <v>-2.2999999999999687E-3</v>
      </c>
      <c r="J87" s="165">
        <f t="shared" si="37"/>
        <v>0</v>
      </c>
    </row>
    <row r="88" spans="1:10" x14ac:dyDescent="0.25">
      <c r="B88" t="str">
        <f t="shared" si="30"/>
        <v>For 2017</v>
      </c>
      <c r="C88" s="88">
        <f>SUM(D88:E88)</f>
        <v>1</v>
      </c>
      <c r="D88" s="117">
        <v>0.68249000000000004</v>
      </c>
      <c r="E88" s="117">
        <v>0.31751000000000001</v>
      </c>
      <c r="H88" s="165">
        <f t="shared" si="35"/>
        <v>-2.0999999999993246E-4</v>
      </c>
      <c r="I88" s="165">
        <f t="shared" si="36"/>
        <v>2.0999999999998797E-4</v>
      </c>
      <c r="J88" s="165">
        <f t="shared" si="37"/>
        <v>0</v>
      </c>
    </row>
    <row r="89" spans="1:10" x14ac:dyDescent="0.25">
      <c r="B89" t="s">
        <v>375</v>
      </c>
      <c r="C89" s="88">
        <v>1</v>
      </c>
      <c r="D89" s="117">
        <v>0.68594999999999995</v>
      </c>
      <c r="E89" s="117">
        <v>0.31405</v>
      </c>
      <c r="H89" s="165">
        <f t="shared" ref="H89" si="38">D89-D88</f>
        <v>3.4599999999999076E-3</v>
      </c>
      <c r="I89" s="165">
        <f t="shared" ref="I89" si="39">E89-E88</f>
        <v>-3.4600000000000186E-3</v>
      </c>
      <c r="J89" s="165">
        <v>0</v>
      </c>
    </row>
    <row r="90" spans="1:10" x14ac:dyDescent="0.25">
      <c r="B90" t="str">
        <f t="shared" ref="B90" si="40">B78</f>
        <v>For 2019</v>
      </c>
      <c r="C90" s="88">
        <f t="shared" si="31"/>
        <v>1</v>
      </c>
      <c r="D90" s="88">
        <f>'ELEC-2019'!C40</f>
        <v>0.69189000000000001</v>
      </c>
      <c r="E90" s="88">
        <f>'ELEC-2019'!D40</f>
        <v>0.30810999999999999</v>
      </c>
      <c r="H90" s="165">
        <f>D90-D89</f>
        <v>5.9400000000000563E-3</v>
      </c>
      <c r="I90" s="165">
        <f>E90-E89</f>
        <v>-5.9400000000000008E-3</v>
      </c>
      <c r="J90" s="165">
        <f>F90-F87</f>
        <v>0</v>
      </c>
    </row>
    <row r="91" spans="1:10" x14ac:dyDescent="0.25">
      <c r="C91" s="88">
        <f t="shared" si="31"/>
        <v>0</v>
      </c>
      <c r="D91" s="88"/>
      <c r="E91" s="88"/>
    </row>
    <row r="92" spans="1:10" x14ac:dyDescent="0.25">
      <c r="C92" s="88">
        <f t="shared" si="31"/>
        <v>0</v>
      </c>
      <c r="D92" s="88"/>
      <c r="E92" s="88"/>
    </row>
    <row r="93" spans="1:10" x14ac:dyDescent="0.25">
      <c r="A93" s="55" t="s">
        <v>377</v>
      </c>
      <c r="C93" s="88">
        <f t="shared" si="31"/>
        <v>0</v>
      </c>
      <c r="D93" s="88"/>
      <c r="E93" s="88"/>
    </row>
    <row r="94" spans="1:10" x14ac:dyDescent="0.25">
      <c r="C94" s="88">
        <f t="shared" si="31"/>
        <v>0</v>
      </c>
      <c r="D94" s="88"/>
      <c r="E94" s="88"/>
    </row>
    <row r="95" spans="1:10" x14ac:dyDescent="0.25">
      <c r="B95" t="str">
        <f t="shared" ref="B95:B100" si="41">B83</f>
        <v>For 2012</v>
      </c>
      <c r="C95" s="88">
        <f t="shared" si="31"/>
        <v>1</v>
      </c>
      <c r="D95" s="117">
        <v>0.70603000000000005</v>
      </c>
      <c r="E95" s="117">
        <v>0.29397000000000001</v>
      </c>
      <c r="H95" s="165"/>
      <c r="I95" s="165"/>
      <c r="J95" s="165">
        <f t="shared" ref="J95" si="42">F95-F93</f>
        <v>0</v>
      </c>
    </row>
    <row r="96" spans="1:10" x14ac:dyDescent="0.25">
      <c r="B96" t="str">
        <f t="shared" si="41"/>
        <v>For 2013</v>
      </c>
      <c r="C96" s="88">
        <f t="shared" si="31"/>
        <v>1</v>
      </c>
      <c r="D96" s="117">
        <v>0.72184999999999999</v>
      </c>
      <c r="E96" s="117">
        <v>0.27815000000000001</v>
      </c>
      <c r="H96" s="165">
        <f>D96-D95</f>
        <v>1.5819999999999945E-2</v>
      </c>
      <c r="I96" s="165">
        <f t="shared" ref="I96" si="43">E96-E95</f>
        <v>-1.5820000000000001E-2</v>
      </c>
      <c r="J96" s="165">
        <f t="shared" ref="J96" si="44">F96-F95</f>
        <v>0</v>
      </c>
    </row>
    <row r="97" spans="2:10" x14ac:dyDescent="0.25">
      <c r="B97" t="str">
        <f t="shared" si="41"/>
        <v>For 2014</v>
      </c>
      <c r="C97" s="88">
        <f t="shared" si="31"/>
        <v>1</v>
      </c>
      <c r="D97" s="117">
        <v>0.70757999999999999</v>
      </c>
      <c r="E97" s="117">
        <v>0.29242000000000001</v>
      </c>
      <c r="H97" s="165">
        <f t="shared" ref="H97:H100" si="45">D97-D96</f>
        <v>-1.4270000000000005E-2</v>
      </c>
      <c r="I97" s="165">
        <f t="shared" ref="I97:I100" si="46">E97-E96</f>
        <v>1.4270000000000005E-2</v>
      </c>
      <c r="J97" s="165">
        <f t="shared" ref="J97:J100" si="47">F97-F95</f>
        <v>0</v>
      </c>
    </row>
    <row r="98" spans="2:10" x14ac:dyDescent="0.25">
      <c r="B98" t="str">
        <f t="shared" si="41"/>
        <v>For 2015</v>
      </c>
      <c r="C98" s="88">
        <f t="shared" si="31"/>
        <v>1</v>
      </c>
      <c r="D98" s="117">
        <v>0.72499000000000002</v>
      </c>
      <c r="E98" s="117">
        <v>0.27500999999999998</v>
      </c>
      <c r="H98" s="165">
        <f t="shared" si="45"/>
        <v>1.7410000000000037E-2</v>
      </c>
      <c r="I98" s="165">
        <f t="shared" si="46"/>
        <v>-1.7410000000000037E-2</v>
      </c>
      <c r="J98" s="165">
        <f t="shared" si="47"/>
        <v>0</v>
      </c>
    </row>
    <row r="99" spans="2:10" x14ac:dyDescent="0.25">
      <c r="B99" t="str">
        <f t="shared" si="41"/>
        <v>For 2016</v>
      </c>
      <c r="C99" s="88">
        <f t="shared" si="31"/>
        <v>1</v>
      </c>
      <c r="D99" s="117">
        <v>0.70286999999999999</v>
      </c>
      <c r="E99" s="117">
        <v>0.29713000000000001</v>
      </c>
      <c r="H99" s="165">
        <f t="shared" si="45"/>
        <v>-2.2120000000000029E-2</v>
      </c>
      <c r="I99" s="165">
        <f t="shared" si="46"/>
        <v>2.2120000000000029E-2</v>
      </c>
      <c r="J99" s="165">
        <f t="shared" si="47"/>
        <v>0</v>
      </c>
    </row>
    <row r="100" spans="2:10" x14ac:dyDescent="0.25">
      <c r="B100" t="str">
        <f t="shared" si="41"/>
        <v>For 2017</v>
      </c>
      <c r="C100" s="88">
        <f t="shared" si="31"/>
        <v>1</v>
      </c>
      <c r="D100" s="117">
        <v>0.71353</v>
      </c>
      <c r="E100" s="117">
        <v>0.28647</v>
      </c>
      <c r="H100" s="165">
        <f t="shared" si="45"/>
        <v>1.0660000000000003E-2</v>
      </c>
      <c r="I100" s="165">
        <f t="shared" si="46"/>
        <v>-1.0660000000000003E-2</v>
      </c>
      <c r="J100" s="165">
        <f t="shared" si="47"/>
        <v>0</v>
      </c>
    </row>
    <row r="101" spans="2:10" x14ac:dyDescent="0.25">
      <c r="B101" t="s">
        <v>375</v>
      </c>
      <c r="C101" s="88">
        <v>1</v>
      </c>
      <c r="D101" s="117">
        <v>0.72272000000000003</v>
      </c>
      <c r="E101" s="117">
        <v>0.27728000000000003</v>
      </c>
      <c r="H101" s="165">
        <f t="shared" ref="H101" si="48">D101-D100</f>
        <v>9.1900000000000315E-3</v>
      </c>
      <c r="I101" s="165">
        <f t="shared" ref="I101" si="49">E101-E100</f>
        <v>-9.189999999999976E-3</v>
      </c>
      <c r="J101" s="165">
        <v>0</v>
      </c>
    </row>
    <row r="102" spans="2:10" x14ac:dyDescent="0.25">
      <c r="B102" t="str">
        <f t="shared" ref="B102" si="50">B90</f>
        <v>For 2019</v>
      </c>
      <c r="C102" s="88">
        <f t="shared" si="31"/>
        <v>1</v>
      </c>
      <c r="D102" s="88">
        <f>'GAS-2019'!C38</f>
        <v>0.72593000000000008</v>
      </c>
      <c r="E102" s="88">
        <f>'GAS-2019'!D38</f>
        <v>0.27406999999999998</v>
      </c>
      <c r="H102" s="165">
        <f>D102-D101</f>
        <v>3.2100000000000461E-3</v>
      </c>
      <c r="I102" s="165">
        <f>E102-E101</f>
        <v>-3.2100000000000461E-3</v>
      </c>
      <c r="J102" s="165">
        <f>F102-F99</f>
        <v>0</v>
      </c>
    </row>
  </sheetData>
  <mergeCells count="2">
    <mergeCell ref="C4:F4"/>
    <mergeCell ref="H4:J4"/>
  </mergeCells>
  <phoneticPr fontId="0" type="noConversion"/>
  <pageMargins left="0.7" right="0.7" top="0.75" bottom="0.75" header="0.3" footer="0.3"/>
  <pageSetup orientation="portrait" r:id="rId1"/>
  <headerFooter>
    <oddFooter>&amp;L&amp;F
&amp;A&amp;RPrepared By: Jeanne Pluth
Date: January 23, 2015</oddFooter>
  </headerFooter>
  <rowBreaks count="1" manualBreakCount="1">
    <brk id="5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A5" sqref="A5"/>
    </sheetView>
  </sheetViews>
  <sheetFormatPr defaultRowHeight="12.6" x14ac:dyDescent="0.25"/>
  <cols>
    <col min="1" max="1" width="9.44140625" bestFit="1" customWidth="1"/>
  </cols>
  <sheetData>
    <row r="1" spans="1:6" x14ac:dyDescent="0.25">
      <c r="A1" s="131" t="s">
        <v>0</v>
      </c>
    </row>
    <row r="2" spans="1:6" x14ac:dyDescent="0.25">
      <c r="A2" s="131" t="s">
        <v>373</v>
      </c>
    </row>
    <row r="3" spans="1:6" x14ac:dyDescent="0.25">
      <c r="A3" s="131" t="s">
        <v>374</v>
      </c>
    </row>
    <row r="4" spans="1:6" x14ac:dyDescent="0.25">
      <c r="A4" s="131" t="s">
        <v>382</v>
      </c>
    </row>
    <row r="5" spans="1:6" x14ac:dyDescent="0.25">
      <c r="A5" s="131" t="s">
        <v>383</v>
      </c>
    </row>
    <row r="8" spans="1:6" x14ac:dyDescent="0.25">
      <c r="A8" s="89"/>
    </row>
    <row r="9" spans="1:6" x14ac:dyDescent="0.25">
      <c r="C9" s="54"/>
      <c r="D9" s="54"/>
      <c r="E9" s="54"/>
      <c r="F9" s="54"/>
    </row>
    <row r="10" spans="1:6" x14ac:dyDescent="0.25">
      <c r="C10" s="54"/>
      <c r="D10" s="54"/>
      <c r="E10" s="54"/>
      <c r="F10" s="54"/>
    </row>
    <row r="11" spans="1:6" x14ac:dyDescent="0.25">
      <c r="C11" s="54"/>
      <c r="D11" s="54"/>
      <c r="E11" s="54"/>
    </row>
    <row r="13" spans="1:6" x14ac:dyDescent="0.25">
      <c r="C13" s="54"/>
    </row>
    <row r="14" spans="1:6" x14ac:dyDescent="0.25">
      <c r="C14" s="54"/>
      <c r="D14" s="54"/>
      <c r="E14" s="54"/>
      <c r="F14" s="54"/>
    </row>
    <row r="15" spans="1:6" x14ac:dyDescent="0.25">
      <c r="C15" s="54"/>
      <c r="D15" s="54"/>
      <c r="E15" s="54"/>
      <c r="F15" s="54"/>
    </row>
    <row r="16" spans="1:6" x14ac:dyDescent="0.25">
      <c r="C16" s="54"/>
      <c r="D16" s="54"/>
      <c r="E16" s="54"/>
      <c r="F16" s="54"/>
    </row>
    <row r="17" spans="1:8" x14ac:dyDescent="0.25">
      <c r="C17" s="54"/>
      <c r="D17" s="54"/>
      <c r="E17" s="54"/>
      <c r="F17" s="54"/>
    </row>
    <row r="19" spans="1:8" ht="78" customHeight="1" x14ac:dyDescent="0.25">
      <c r="A19" s="115"/>
      <c r="B19" s="172"/>
      <c r="C19" s="172"/>
      <c r="D19" s="172"/>
      <c r="E19" s="172"/>
      <c r="F19" s="172"/>
      <c r="G19" s="172"/>
      <c r="H19" s="172"/>
    </row>
    <row r="21" spans="1:8" ht="43.5" customHeight="1" x14ac:dyDescent="0.25">
      <c r="A21" s="115"/>
      <c r="B21" s="172"/>
      <c r="C21" s="172"/>
      <c r="D21" s="172"/>
      <c r="E21" s="172"/>
      <c r="F21" s="172"/>
      <c r="G21" s="172"/>
      <c r="H21" s="172"/>
    </row>
    <row r="26" spans="1:8" x14ac:dyDescent="0.25">
      <c r="C26" s="54"/>
    </row>
    <row r="27" spans="1:8" x14ac:dyDescent="0.25">
      <c r="C27" s="54"/>
    </row>
  </sheetData>
  <mergeCells count="2">
    <mergeCell ref="B19:H19"/>
    <mergeCell ref="B21:H21"/>
  </mergeCells>
  <pageMargins left="0.7" right="0.7" top="0.75" bottom="0.75" header="0.3" footer="0.3"/>
  <pageSetup orientation="portrait" r:id="rId1"/>
  <headerFooter>
    <oddFooter>&amp;L&amp;F
&amp;A&amp;RPrepared By: Jeanne Pluth
Date: January 23, 2015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zoomScaleNormal="100" workbookViewId="0">
      <pane xSplit="3" ySplit="4" topLeftCell="D8" activePane="bottomRight" state="frozen"/>
      <selection pane="topRight" activeCell="D1" sqref="D1"/>
      <selection pane="bottomLeft" activeCell="A5" sqref="A5"/>
      <selection pane="bottomRight" activeCell="Q26" sqref="Q26"/>
    </sheetView>
  </sheetViews>
  <sheetFormatPr defaultRowHeight="12.6" x14ac:dyDescent="0.25"/>
  <cols>
    <col min="1" max="1" width="3.88671875" bestFit="1" customWidth="1"/>
    <col min="2" max="2" width="10.109375" bestFit="1" customWidth="1"/>
    <col min="3" max="3" width="5.33203125" bestFit="1" customWidth="1"/>
    <col min="4" max="4" width="11.44140625" bestFit="1" customWidth="1"/>
    <col min="5" max="5" width="10.33203125" bestFit="1" customWidth="1"/>
    <col min="6" max="6" width="9.5546875" bestFit="1" customWidth="1"/>
    <col min="7" max="7" width="10.6640625" bestFit="1" customWidth="1"/>
    <col min="8" max="8" width="12.5546875" bestFit="1" customWidth="1"/>
    <col min="9" max="9" width="11.109375" bestFit="1" customWidth="1"/>
    <col min="10" max="10" width="4.6640625" bestFit="1" customWidth="1"/>
    <col min="11" max="11" width="11" bestFit="1" customWidth="1"/>
    <col min="12" max="12" width="10.33203125" bestFit="1" customWidth="1"/>
    <col min="13" max="13" width="12.5546875" bestFit="1" customWidth="1"/>
    <col min="14" max="14" width="8.6640625" bestFit="1" customWidth="1"/>
    <col min="15" max="15" width="10.6640625" bestFit="1" customWidth="1"/>
    <col min="16" max="16" width="13.6640625" bestFit="1" customWidth="1"/>
    <col min="17" max="17" width="13.6640625" customWidth="1"/>
    <col min="18" max="18" width="9.44140625" style="152" bestFit="1" customWidth="1"/>
    <col min="19" max="19" width="10.88671875" style="152" bestFit="1" customWidth="1"/>
    <col min="20" max="20" width="8.88671875" style="152" bestFit="1" customWidth="1"/>
  </cols>
  <sheetData>
    <row r="1" spans="1:21" x14ac:dyDescent="0.25">
      <c r="A1" t="str">
        <f>Notes!A4</f>
        <v>For the Twelve Months Ended December 31, 2019</v>
      </c>
    </row>
    <row r="2" spans="1:21" ht="13.2" thickBot="1" x14ac:dyDescent="0.3"/>
    <row r="3" spans="1:21" ht="13.2" thickBot="1" x14ac:dyDescent="0.3">
      <c r="D3" s="173" t="s">
        <v>186</v>
      </c>
      <c r="E3" s="174"/>
      <c r="F3" s="174"/>
      <c r="G3" s="175"/>
      <c r="H3" s="173" t="s">
        <v>285</v>
      </c>
      <c r="I3" s="174"/>
      <c r="J3" s="174"/>
      <c r="K3" s="175"/>
      <c r="L3" s="173" t="s">
        <v>187</v>
      </c>
      <c r="M3" s="174"/>
      <c r="N3" s="174"/>
      <c r="O3" s="174"/>
      <c r="P3" s="174"/>
      <c r="Q3" s="175"/>
      <c r="R3" s="153" t="s">
        <v>235</v>
      </c>
      <c r="S3" s="153"/>
    </row>
    <row r="4" spans="1:21" s="127" customFormat="1" x14ac:dyDescent="0.25">
      <c r="D4" s="127" t="s">
        <v>188</v>
      </c>
      <c r="E4" s="127" t="s">
        <v>189</v>
      </c>
      <c r="F4" s="127" t="s">
        <v>290</v>
      </c>
      <c r="G4" s="127" t="s">
        <v>291</v>
      </c>
      <c r="H4" s="127" t="s">
        <v>189</v>
      </c>
      <c r="I4" s="127" t="s">
        <v>290</v>
      </c>
      <c r="J4" s="127" t="s">
        <v>292</v>
      </c>
      <c r="K4" s="127" t="s">
        <v>291</v>
      </c>
      <c r="L4" s="127" t="s">
        <v>188</v>
      </c>
      <c r="M4" s="127" t="s">
        <v>189</v>
      </c>
      <c r="N4" s="127" t="s">
        <v>296</v>
      </c>
      <c r="O4" s="127" t="s">
        <v>290</v>
      </c>
      <c r="P4" s="127" t="s">
        <v>297</v>
      </c>
      <c r="Q4" s="127" t="s">
        <v>291</v>
      </c>
      <c r="R4" s="154"/>
      <c r="S4" s="154"/>
      <c r="T4" s="154"/>
    </row>
    <row r="5" spans="1:21" x14ac:dyDescent="0.25">
      <c r="A5" t="s">
        <v>285</v>
      </c>
      <c r="B5" t="s">
        <v>286</v>
      </c>
      <c r="C5" t="s">
        <v>287</v>
      </c>
      <c r="D5" s="116">
        <v>32641807</v>
      </c>
      <c r="E5" s="116">
        <v>1349668</v>
      </c>
      <c r="F5" s="116">
        <v>841646</v>
      </c>
      <c r="G5" s="116">
        <v>2339754</v>
      </c>
      <c r="H5" s="116">
        <v>5518972</v>
      </c>
      <c r="I5" s="116">
        <v>11234923</v>
      </c>
      <c r="J5" s="116">
        <v>25</v>
      </c>
      <c r="K5" s="116">
        <v>28763089</v>
      </c>
      <c r="L5" s="116"/>
      <c r="M5" s="116"/>
      <c r="N5" s="116"/>
      <c r="O5" s="116"/>
      <c r="P5" s="116"/>
      <c r="Q5" s="116"/>
      <c r="R5" s="155">
        <f>S5-T5</f>
        <v>0</v>
      </c>
      <c r="S5" s="156">
        <v>82689884</v>
      </c>
      <c r="T5" s="155">
        <f>SUM(D5:Q5)</f>
        <v>82689884</v>
      </c>
      <c r="U5" s="54"/>
    </row>
    <row r="6" spans="1:21" x14ac:dyDescent="0.25">
      <c r="A6" t="s">
        <v>285</v>
      </c>
      <c r="B6" t="s">
        <v>286</v>
      </c>
      <c r="C6" t="s">
        <v>288</v>
      </c>
      <c r="D6" s="116"/>
      <c r="E6" s="116"/>
      <c r="F6" s="116"/>
      <c r="G6" s="116"/>
      <c r="H6" s="116">
        <v>42706953</v>
      </c>
      <c r="I6" s="116">
        <v>7869147</v>
      </c>
      <c r="J6" s="116"/>
      <c r="K6" s="116">
        <v>16810447</v>
      </c>
      <c r="L6" s="116"/>
      <c r="M6" s="116"/>
      <c r="N6" s="116"/>
      <c r="O6" s="116"/>
      <c r="P6" s="116"/>
      <c r="Q6" s="116"/>
      <c r="R6" s="155">
        <f t="shared" ref="R6:R22" si="0">S6-T6</f>
        <v>0</v>
      </c>
      <c r="S6" s="156">
        <v>67386547</v>
      </c>
      <c r="T6" s="155">
        <f t="shared" ref="T6:T22" si="1">SUM(D6:Q6)</f>
        <v>67386547</v>
      </c>
      <c r="U6" s="54"/>
    </row>
    <row r="7" spans="1:21" x14ac:dyDescent="0.25">
      <c r="A7" t="s">
        <v>285</v>
      </c>
      <c r="B7" t="s">
        <v>286</v>
      </c>
      <c r="C7" t="s">
        <v>289</v>
      </c>
      <c r="D7" s="116"/>
      <c r="E7" s="116"/>
      <c r="F7" s="116"/>
      <c r="G7" s="116"/>
      <c r="H7" s="116">
        <v>303915583</v>
      </c>
      <c r="I7" s="116">
        <v>1624405</v>
      </c>
      <c r="J7" s="116"/>
      <c r="K7" s="116">
        <v>460893</v>
      </c>
      <c r="L7" s="116"/>
      <c r="M7" s="116"/>
      <c r="N7" s="116"/>
      <c r="O7" s="116"/>
      <c r="P7" s="116"/>
      <c r="Q7" s="116"/>
      <c r="R7" s="155">
        <f t="shared" si="0"/>
        <v>1</v>
      </c>
      <c r="S7" s="156">
        <v>306000882</v>
      </c>
      <c r="T7" s="155">
        <f t="shared" si="1"/>
        <v>306000881</v>
      </c>
      <c r="U7" s="54"/>
    </row>
    <row r="8" spans="1:21" x14ac:dyDescent="0.25">
      <c r="A8" s="147" t="s">
        <v>285</v>
      </c>
      <c r="B8" s="147" t="s">
        <v>293</v>
      </c>
      <c r="C8" s="147" t="s">
        <v>287</v>
      </c>
      <c r="D8" s="148">
        <v>40982530</v>
      </c>
      <c r="E8" s="148">
        <v>1645708</v>
      </c>
      <c r="F8" s="148">
        <v>969748</v>
      </c>
      <c r="G8" s="148">
        <v>4001747</v>
      </c>
      <c r="H8" s="148">
        <v>3170106</v>
      </c>
      <c r="I8" s="148">
        <v>366274</v>
      </c>
      <c r="J8" s="148">
        <v>0</v>
      </c>
      <c r="K8" s="148">
        <v>596537</v>
      </c>
      <c r="L8" s="148"/>
      <c r="M8" s="148"/>
      <c r="N8" s="148"/>
      <c r="O8" s="148"/>
      <c r="P8" s="148"/>
      <c r="Q8" s="148"/>
      <c r="R8" s="155">
        <f t="shared" si="0"/>
        <v>0</v>
      </c>
      <c r="S8" s="156">
        <v>51732650</v>
      </c>
      <c r="T8" s="155">
        <f t="shared" si="1"/>
        <v>51732650</v>
      </c>
      <c r="U8" s="54"/>
    </row>
    <row r="9" spans="1:21" x14ac:dyDescent="0.25">
      <c r="A9" s="147" t="s">
        <v>285</v>
      </c>
      <c r="B9" s="147" t="s">
        <v>293</v>
      </c>
      <c r="C9" s="147" t="s">
        <v>288</v>
      </c>
      <c r="D9" s="148"/>
      <c r="E9" s="148"/>
      <c r="F9" s="148"/>
      <c r="G9" s="148"/>
      <c r="H9" s="148">
        <v>40567587</v>
      </c>
      <c r="I9" s="148">
        <v>4325074</v>
      </c>
      <c r="J9" s="148"/>
      <c r="K9" s="148">
        <v>9495065</v>
      </c>
      <c r="L9" s="148"/>
      <c r="M9" s="148"/>
      <c r="N9" s="148"/>
      <c r="O9" s="148"/>
      <c r="P9" s="148"/>
      <c r="Q9" s="148"/>
      <c r="R9" s="155">
        <f t="shared" si="0"/>
        <v>0</v>
      </c>
      <c r="S9" s="156">
        <v>54387726</v>
      </c>
      <c r="T9" s="155">
        <f t="shared" si="1"/>
        <v>54387726</v>
      </c>
      <c r="U9" s="54"/>
    </row>
    <row r="10" spans="1:21" ht="13.2" thickBot="1" x14ac:dyDescent="0.3">
      <c r="A10" s="150" t="s">
        <v>285</v>
      </c>
      <c r="B10" s="150" t="s">
        <v>293</v>
      </c>
      <c r="C10" s="150" t="s">
        <v>289</v>
      </c>
      <c r="D10" s="151"/>
      <c r="E10" s="151"/>
      <c r="F10" s="151"/>
      <c r="G10" s="151"/>
      <c r="H10" s="151">
        <v>7740231</v>
      </c>
      <c r="I10" s="151"/>
      <c r="J10" s="151"/>
      <c r="K10" s="151"/>
      <c r="L10" s="151"/>
      <c r="M10" s="151"/>
      <c r="N10" s="151"/>
      <c r="O10" s="151"/>
      <c r="P10" s="151"/>
      <c r="Q10" s="151"/>
      <c r="R10" s="155">
        <f t="shared" si="0"/>
        <v>0</v>
      </c>
      <c r="S10" s="156">
        <v>7740231</v>
      </c>
      <c r="T10" s="155">
        <f t="shared" si="1"/>
        <v>7740231</v>
      </c>
      <c r="U10" s="54"/>
    </row>
    <row r="11" spans="1:21" x14ac:dyDescent="0.25">
      <c r="A11" t="s">
        <v>294</v>
      </c>
      <c r="B11" t="s">
        <v>286</v>
      </c>
      <c r="C11" t="s">
        <v>287</v>
      </c>
      <c r="D11" s="116">
        <v>10232649</v>
      </c>
      <c r="E11" s="116">
        <v>715012</v>
      </c>
      <c r="F11" s="116">
        <v>425084</v>
      </c>
      <c r="G11" s="116">
        <v>1201965</v>
      </c>
      <c r="H11" s="116"/>
      <c r="I11" s="116"/>
      <c r="J11" s="116"/>
      <c r="K11" s="116"/>
      <c r="L11" s="116">
        <v>258385</v>
      </c>
      <c r="M11" s="116">
        <v>174953</v>
      </c>
      <c r="N11" s="116"/>
      <c r="O11" s="116">
        <v>1620146</v>
      </c>
      <c r="P11" s="116"/>
      <c r="Q11" s="116">
        <v>9192292</v>
      </c>
      <c r="R11" s="155">
        <f>S11-T11</f>
        <v>0</v>
      </c>
      <c r="S11" s="156">
        <v>23820486</v>
      </c>
      <c r="T11" s="155">
        <f t="shared" si="1"/>
        <v>23820486</v>
      </c>
      <c r="U11" s="54"/>
    </row>
    <row r="12" spans="1:21" x14ac:dyDescent="0.25">
      <c r="A12" t="s">
        <v>294</v>
      </c>
      <c r="B12" t="s">
        <v>286</v>
      </c>
      <c r="C12" t="s">
        <v>288</v>
      </c>
      <c r="D12" s="116"/>
      <c r="E12" s="116"/>
      <c r="F12" s="116"/>
      <c r="G12" s="116"/>
      <c r="H12" s="116"/>
      <c r="I12" s="116"/>
      <c r="J12" s="116"/>
      <c r="K12" s="116"/>
      <c r="L12" s="116">
        <v>656276</v>
      </c>
      <c r="M12" s="116">
        <v>3182110</v>
      </c>
      <c r="N12" s="116"/>
      <c r="O12" s="116">
        <v>1800831</v>
      </c>
      <c r="P12" s="116"/>
      <c r="Q12" s="116">
        <v>3863083</v>
      </c>
      <c r="R12" s="155">
        <f t="shared" si="0"/>
        <v>1</v>
      </c>
      <c r="S12" s="156">
        <v>9502301</v>
      </c>
      <c r="T12" s="155">
        <f t="shared" si="1"/>
        <v>9502300</v>
      </c>
      <c r="U12" s="54"/>
    </row>
    <row r="13" spans="1:21" x14ac:dyDescent="0.25">
      <c r="A13" t="s">
        <v>294</v>
      </c>
      <c r="B13" t="s">
        <v>286</v>
      </c>
      <c r="C13" t="s">
        <v>289</v>
      </c>
      <c r="D13" s="116"/>
      <c r="E13" s="116"/>
      <c r="F13" s="116"/>
      <c r="G13" s="116"/>
      <c r="H13" s="116"/>
      <c r="I13" s="116"/>
      <c r="J13" s="116"/>
      <c r="K13" s="116"/>
      <c r="L13" s="116">
        <v>0</v>
      </c>
      <c r="M13" s="116">
        <v>176128688</v>
      </c>
      <c r="N13" s="116"/>
      <c r="O13" s="116">
        <v>-9767064</v>
      </c>
      <c r="P13" s="116"/>
      <c r="Q13" s="116">
        <v>-22009991</v>
      </c>
      <c r="R13" s="155">
        <f t="shared" si="0"/>
        <v>0</v>
      </c>
      <c r="S13" s="156">
        <v>144351633</v>
      </c>
      <c r="T13" s="155">
        <f t="shared" si="1"/>
        <v>144351633</v>
      </c>
      <c r="U13" s="54"/>
    </row>
    <row r="14" spans="1:21" x14ac:dyDescent="0.25">
      <c r="A14" s="147" t="s">
        <v>294</v>
      </c>
      <c r="B14" s="147" t="s">
        <v>293</v>
      </c>
      <c r="C14" s="147" t="s">
        <v>287</v>
      </c>
      <c r="D14" s="148">
        <v>14295594</v>
      </c>
      <c r="E14" s="148">
        <v>718089</v>
      </c>
      <c r="F14" s="148">
        <v>501303</v>
      </c>
      <c r="G14" s="148">
        <v>2208431</v>
      </c>
      <c r="H14" s="148"/>
      <c r="I14" s="148"/>
      <c r="J14" s="148"/>
      <c r="K14" s="148"/>
      <c r="L14" s="148">
        <v>372642</v>
      </c>
      <c r="M14" s="148">
        <v>1562</v>
      </c>
      <c r="N14" s="148"/>
      <c r="O14" s="148">
        <v>27910</v>
      </c>
      <c r="P14" s="148"/>
      <c r="Q14" s="148">
        <v>156658</v>
      </c>
      <c r="R14" s="155">
        <f t="shared" si="0"/>
        <v>-1</v>
      </c>
      <c r="S14" s="156">
        <v>18282188</v>
      </c>
      <c r="T14" s="155">
        <f t="shared" si="1"/>
        <v>18282189</v>
      </c>
      <c r="U14" s="54"/>
    </row>
    <row r="15" spans="1:21" x14ac:dyDescent="0.25">
      <c r="A15" s="147" t="s">
        <v>294</v>
      </c>
      <c r="B15" s="147" t="s">
        <v>293</v>
      </c>
      <c r="C15" s="147" t="s">
        <v>288</v>
      </c>
      <c r="D15" s="148"/>
      <c r="E15" s="148"/>
      <c r="F15" s="148"/>
      <c r="G15" s="148"/>
      <c r="H15" s="148"/>
      <c r="I15" s="148"/>
      <c r="J15" s="148"/>
      <c r="K15" s="148"/>
      <c r="L15" s="148">
        <v>4321976</v>
      </c>
      <c r="M15" s="148">
        <v>1008071</v>
      </c>
      <c r="N15" s="148"/>
      <c r="O15" s="148">
        <v>2226894</v>
      </c>
      <c r="P15" s="148"/>
      <c r="Q15" s="148">
        <v>6213670</v>
      </c>
      <c r="R15" s="155">
        <f t="shared" si="0"/>
        <v>0</v>
      </c>
      <c r="S15" s="156">
        <v>13770611</v>
      </c>
      <c r="T15" s="155">
        <f t="shared" si="1"/>
        <v>13770611</v>
      </c>
      <c r="U15" s="54"/>
    </row>
    <row r="16" spans="1:21" ht="13.2" thickBot="1" x14ac:dyDescent="0.3">
      <c r="A16" s="150" t="s">
        <v>294</v>
      </c>
      <c r="B16" s="150" t="s">
        <v>293</v>
      </c>
      <c r="C16" s="150" t="s">
        <v>289</v>
      </c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5">
        <f t="shared" si="0"/>
        <v>0</v>
      </c>
      <c r="S16" s="156">
        <v>0</v>
      </c>
      <c r="T16" s="155">
        <f t="shared" si="1"/>
        <v>0</v>
      </c>
      <c r="U16" s="54"/>
    </row>
    <row r="17" spans="1:21" x14ac:dyDescent="0.25">
      <c r="A17" t="s">
        <v>295</v>
      </c>
      <c r="B17" t="s">
        <v>286</v>
      </c>
      <c r="C17" t="s">
        <v>287</v>
      </c>
      <c r="D17" s="116">
        <v>4410189</v>
      </c>
      <c r="E17" s="116"/>
      <c r="F17" s="116"/>
      <c r="G17" s="116"/>
      <c r="H17" s="116"/>
      <c r="I17" s="116"/>
      <c r="J17" s="116"/>
      <c r="K17" s="116"/>
      <c r="L17" s="116">
        <v>111921</v>
      </c>
      <c r="M17" s="116"/>
      <c r="N17" s="116">
        <v>-38</v>
      </c>
      <c r="O17" s="116"/>
      <c r="P17" s="116">
        <v>4830696</v>
      </c>
      <c r="Q17" s="116"/>
      <c r="R17" s="155">
        <f t="shared" si="0"/>
        <v>0</v>
      </c>
      <c r="S17" s="156">
        <v>9352768</v>
      </c>
      <c r="T17" s="155">
        <f t="shared" si="1"/>
        <v>9352768</v>
      </c>
      <c r="U17" s="54"/>
    </row>
    <row r="18" spans="1:21" x14ac:dyDescent="0.25">
      <c r="A18" t="s">
        <v>295</v>
      </c>
      <c r="B18" t="s">
        <v>286</v>
      </c>
      <c r="C18" t="s">
        <v>288</v>
      </c>
      <c r="D18" s="116"/>
      <c r="E18" s="116"/>
      <c r="F18" s="116"/>
      <c r="G18" s="116"/>
      <c r="H18" s="116"/>
      <c r="I18" s="116"/>
      <c r="J18" s="116"/>
      <c r="K18" s="116"/>
      <c r="L18" s="116">
        <v>284272</v>
      </c>
      <c r="M18" s="116"/>
      <c r="N18" s="116"/>
      <c r="O18" s="116"/>
      <c r="P18" s="116">
        <v>4626850</v>
      </c>
      <c r="Q18" s="116"/>
      <c r="R18" s="155">
        <f t="shared" si="0"/>
        <v>0</v>
      </c>
      <c r="S18" s="156">
        <v>4911122</v>
      </c>
      <c r="T18" s="155">
        <f t="shared" si="1"/>
        <v>4911122</v>
      </c>
      <c r="U18" s="54"/>
    </row>
    <row r="19" spans="1:21" x14ac:dyDescent="0.25">
      <c r="A19" t="s">
        <v>295</v>
      </c>
      <c r="B19" t="s">
        <v>286</v>
      </c>
      <c r="C19" t="s">
        <v>289</v>
      </c>
      <c r="D19" s="116"/>
      <c r="E19" s="116"/>
      <c r="F19" s="116"/>
      <c r="G19" s="116"/>
      <c r="H19" s="116"/>
      <c r="I19" s="116"/>
      <c r="J19" s="116"/>
      <c r="K19" s="116"/>
      <c r="L19" s="116">
        <v>0</v>
      </c>
      <c r="M19" s="116"/>
      <c r="N19" s="116"/>
      <c r="O19" s="116"/>
      <c r="P19" s="116">
        <v>80682854</v>
      </c>
      <c r="Q19" s="116"/>
      <c r="R19" s="155">
        <f t="shared" si="0"/>
        <v>0</v>
      </c>
      <c r="S19" s="156">
        <v>80682854</v>
      </c>
      <c r="T19" s="155">
        <f t="shared" si="1"/>
        <v>80682854</v>
      </c>
      <c r="U19" s="54"/>
    </row>
    <row r="20" spans="1:21" x14ac:dyDescent="0.25">
      <c r="A20" s="147" t="s">
        <v>295</v>
      </c>
      <c r="B20" s="147" t="s">
        <v>293</v>
      </c>
      <c r="C20" s="147" t="s">
        <v>287</v>
      </c>
      <c r="D20" s="148">
        <v>6100138</v>
      </c>
      <c r="E20" s="148"/>
      <c r="F20" s="148"/>
      <c r="G20" s="148"/>
      <c r="H20" s="148"/>
      <c r="I20" s="148"/>
      <c r="J20" s="148"/>
      <c r="K20" s="148"/>
      <c r="L20" s="148">
        <v>161413</v>
      </c>
      <c r="M20" s="148"/>
      <c r="N20" s="148">
        <v>0</v>
      </c>
      <c r="O20" s="148"/>
      <c r="P20" s="148">
        <v>1493264</v>
      </c>
      <c r="Q20" s="148"/>
      <c r="R20" s="155">
        <f t="shared" si="0"/>
        <v>0</v>
      </c>
      <c r="S20" s="156">
        <v>7754815</v>
      </c>
      <c r="T20" s="155">
        <f t="shared" si="1"/>
        <v>7754815</v>
      </c>
      <c r="U20" s="54"/>
    </row>
    <row r="21" spans="1:21" x14ac:dyDescent="0.25">
      <c r="A21" s="147" t="s">
        <v>295</v>
      </c>
      <c r="B21" s="147" t="s">
        <v>293</v>
      </c>
      <c r="C21" s="147" t="s">
        <v>288</v>
      </c>
      <c r="D21" s="148"/>
      <c r="E21" s="148"/>
      <c r="F21" s="148"/>
      <c r="G21" s="148"/>
      <c r="H21" s="148"/>
      <c r="I21" s="148"/>
      <c r="J21" s="148"/>
      <c r="K21" s="148"/>
      <c r="L21" s="148">
        <v>1872096</v>
      </c>
      <c r="M21" s="148"/>
      <c r="N21" s="148"/>
      <c r="O21" s="148"/>
      <c r="P21" s="148">
        <v>4455707</v>
      </c>
      <c r="Q21" s="148"/>
      <c r="R21" s="155">
        <f t="shared" si="0"/>
        <v>0</v>
      </c>
      <c r="S21" s="156">
        <v>6327803</v>
      </c>
      <c r="T21" s="155">
        <f t="shared" si="1"/>
        <v>6327803</v>
      </c>
      <c r="U21" s="54"/>
    </row>
    <row r="22" spans="1:21" x14ac:dyDescent="0.25">
      <c r="A22" s="147" t="s">
        <v>295</v>
      </c>
      <c r="B22" s="147" t="s">
        <v>293</v>
      </c>
      <c r="C22" s="147" t="s">
        <v>289</v>
      </c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55">
        <f t="shared" si="0"/>
        <v>0</v>
      </c>
      <c r="S22" s="156"/>
      <c r="T22" s="155">
        <f t="shared" si="1"/>
        <v>0</v>
      </c>
      <c r="U22" s="54"/>
    </row>
    <row r="23" spans="1:21" x14ac:dyDescent="0.25"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155"/>
      <c r="S23" s="155"/>
      <c r="T23" s="155"/>
      <c r="U23" s="54"/>
    </row>
    <row r="24" spans="1:21" ht="13.2" thickBot="1" x14ac:dyDescent="0.3"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155"/>
      <c r="S24" s="155"/>
      <c r="T24" s="155"/>
      <c r="U24" s="54"/>
    </row>
    <row r="25" spans="1:21" x14ac:dyDescent="0.25"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118" t="s">
        <v>304</v>
      </c>
      <c r="Q25" s="119"/>
      <c r="R25" s="157"/>
      <c r="S25" s="157"/>
      <c r="T25" s="155"/>
      <c r="U25" s="54"/>
    </row>
    <row r="26" spans="1:21" x14ac:dyDescent="0.25"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120" t="s">
        <v>1</v>
      </c>
      <c r="Q26" s="121">
        <f>SUM(D5:Q22)</f>
        <v>888694500</v>
      </c>
      <c r="R26" s="157"/>
      <c r="S26" s="157"/>
      <c r="T26" s="155"/>
      <c r="U26" s="54"/>
    </row>
    <row r="27" spans="1:21" x14ac:dyDescent="0.25"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120" t="s">
        <v>298</v>
      </c>
      <c r="Q27" s="134">
        <v>569937920</v>
      </c>
      <c r="R27" s="158"/>
      <c r="S27" s="158"/>
      <c r="T27" s="155"/>
      <c r="U27" s="54"/>
    </row>
    <row r="28" spans="1:21" x14ac:dyDescent="0.25"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120" t="s">
        <v>299</v>
      </c>
      <c r="Q28" s="134">
        <v>0</v>
      </c>
      <c r="R28" s="158"/>
      <c r="S28" s="158"/>
      <c r="T28" s="155"/>
      <c r="U28" s="54"/>
    </row>
    <row r="29" spans="1:21" x14ac:dyDescent="0.25"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120" t="s">
        <v>300</v>
      </c>
      <c r="Q29" s="134">
        <v>209727219</v>
      </c>
      <c r="R29" s="158"/>
      <c r="S29" s="158"/>
      <c r="T29" s="155"/>
      <c r="U29" s="54"/>
    </row>
    <row r="30" spans="1:21" x14ac:dyDescent="0.25"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120" t="s">
        <v>301</v>
      </c>
      <c r="Q30" s="134">
        <v>0</v>
      </c>
      <c r="R30" s="158"/>
      <c r="S30" s="158"/>
      <c r="T30" s="155"/>
      <c r="U30" s="54"/>
    </row>
    <row r="31" spans="1:21" x14ac:dyDescent="0.25"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120" t="s">
        <v>302</v>
      </c>
      <c r="Q31" s="134">
        <v>109029361</v>
      </c>
      <c r="R31" s="158"/>
      <c r="S31" s="158"/>
      <c r="T31" s="155"/>
      <c r="U31" s="54"/>
    </row>
    <row r="32" spans="1:21" x14ac:dyDescent="0.25"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120" t="s">
        <v>303</v>
      </c>
      <c r="Q32" s="134">
        <v>0</v>
      </c>
      <c r="R32" s="158"/>
      <c r="S32" s="158"/>
      <c r="T32" s="155"/>
      <c r="U32" s="54"/>
    </row>
    <row r="33" spans="4:21" ht="13.2" thickBot="1" x14ac:dyDescent="0.3"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122" t="s">
        <v>305</v>
      </c>
      <c r="Q33" s="123">
        <f>SUM(Q26-Q27-Q28-Q29-Q30-Q31-Q32)</f>
        <v>0</v>
      </c>
      <c r="R33" s="157"/>
      <c r="S33" s="157"/>
      <c r="T33" s="155"/>
      <c r="U33" s="54"/>
    </row>
  </sheetData>
  <mergeCells count="3">
    <mergeCell ref="D3:G3"/>
    <mergeCell ref="H3:K3"/>
    <mergeCell ref="L3:Q3"/>
  </mergeCells>
  <pageMargins left="0.7" right="0.7" top="0.75" bottom="0.75" header="0.3" footer="0.3"/>
  <pageSetup scale="73" orientation="landscape" r:id="rId1"/>
  <headerFooter>
    <oddFooter>&amp;L&amp;F
&amp;A&amp;RPrepared By: Jeanne Pluth
Date: January 23, 2015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K55"/>
  <sheetViews>
    <sheetView showZeros="0" showOutlineSymbols="0" zoomScaleNormal="100" workbookViewId="0">
      <pane xSplit="3" ySplit="8" topLeftCell="D25" activePane="bottomRight" state="frozen"/>
      <selection pane="topRight"/>
      <selection pane="bottomLeft"/>
      <selection pane="bottomRight" activeCell="E42" sqref="E42"/>
    </sheetView>
  </sheetViews>
  <sheetFormatPr defaultColWidth="9.6640625" defaultRowHeight="12.6" x14ac:dyDescent="0.25"/>
  <cols>
    <col min="1" max="1" width="3.6640625" customWidth="1"/>
    <col min="2" max="2" width="10.88671875" style="127" customWidth="1"/>
    <col min="3" max="3" width="25" bestFit="1" customWidth="1"/>
    <col min="4" max="4" width="13.6640625" customWidth="1"/>
    <col min="5" max="5" width="13.88671875" bestFit="1" customWidth="1"/>
    <col min="6" max="6" width="11.6640625" customWidth="1"/>
    <col min="7" max="7" width="12.6640625" bestFit="1" customWidth="1"/>
    <col min="8" max="9" width="10.6640625" customWidth="1"/>
    <col min="10" max="10" width="14.88671875" bestFit="1" customWidth="1"/>
    <col min="11" max="11" width="12.44140625" bestFit="1" customWidth="1"/>
  </cols>
  <sheetData>
    <row r="1" spans="1:10" x14ac:dyDescent="0.25">
      <c r="A1" s="1" t="str">
        <f>Notes!A1</f>
        <v>Avista Utilities</v>
      </c>
      <c r="B1" s="8"/>
      <c r="C1" s="1"/>
      <c r="D1" s="1"/>
      <c r="E1" s="1"/>
      <c r="F1" s="1"/>
      <c r="G1" s="1"/>
      <c r="H1" s="1"/>
      <c r="I1" s="1"/>
      <c r="J1" s="56"/>
    </row>
    <row r="2" spans="1:10" x14ac:dyDescent="0.25">
      <c r="A2" s="1" t="s">
        <v>4</v>
      </c>
      <c r="B2" s="8"/>
      <c r="C2" s="1"/>
      <c r="D2" s="1"/>
      <c r="E2" s="1"/>
      <c r="F2" s="1"/>
      <c r="G2" s="1"/>
      <c r="H2" s="1"/>
      <c r="I2" s="1"/>
      <c r="J2" s="1"/>
    </row>
    <row r="3" spans="1:10" x14ac:dyDescent="0.25">
      <c r="A3" s="71" t="str">
        <f>Notes!A5</f>
        <v>Balances at December 31, 2019</v>
      </c>
      <c r="B3" s="8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8"/>
      <c r="C4" s="1"/>
      <c r="D4" s="1"/>
      <c r="E4" s="1"/>
      <c r="F4" s="1"/>
      <c r="G4" s="1"/>
      <c r="H4" s="1"/>
      <c r="I4" s="1"/>
      <c r="J4" s="1"/>
    </row>
    <row r="7" spans="1:10" x14ac:dyDescent="0.25">
      <c r="A7" s="1"/>
      <c r="B7" s="8"/>
      <c r="C7" s="1"/>
      <c r="D7" s="9" t="s">
        <v>2</v>
      </c>
      <c r="E7" s="9" t="s">
        <v>199</v>
      </c>
      <c r="F7" s="9" t="s">
        <v>234</v>
      </c>
      <c r="G7" s="8" t="s">
        <v>204</v>
      </c>
      <c r="H7" s="8" t="s">
        <v>205</v>
      </c>
      <c r="I7" s="8" t="s">
        <v>206</v>
      </c>
      <c r="J7" s="8" t="s">
        <v>1</v>
      </c>
    </row>
    <row r="8" spans="1:10" x14ac:dyDescent="0.25">
      <c r="I8" s="8" t="s">
        <v>207</v>
      </c>
    </row>
    <row r="9" spans="1:10" x14ac:dyDescent="0.25">
      <c r="A9" s="1" t="s">
        <v>5</v>
      </c>
      <c r="B9" s="8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8" t="s">
        <v>222</v>
      </c>
      <c r="C10" s="1" t="s">
        <v>6</v>
      </c>
      <c r="D10" s="6"/>
      <c r="E10" s="6"/>
      <c r="F10" s="6"/>
      <c r="G10" s="3"/>
      <c r="H10" s="3"/>
      <c r="I10" s="3"/>
      <c r="J10" s="3">
        <f>SUM(D10:I10)</f>
        <v>0</v>
      </c>
    </row>
    <row r="11" spans="1:10" x14ac:dyDescent="0.25">
      <c r="A11" s="1"/>
      <c r="B11" s="8" t="s">
        <v>223</v>
      </c>
      <c r="C11" s="1" t="s">
        <v>7</v>
      </c>
      <c r="D11" s="6">
        <v>44373854</v>
      </c>
      <c r="E11" s="6"/>
      <c r="F11" s="6"/>
      <c r="G11" s="3"/>
      <c r="H11" s="3"/>
      <c r="I11" s="3"/>
      <c r="J11" s="3">
        <f>SUM(D11:I11)</f>
        <v>44373854</v>
      </c>
    </row>
    <row r="12" spans="1:10" x14ac:dyDescent="0.25">
      <c r="A12" s="1"/>
      <c r="B12" s="8" t="s">
        <v>354</v>
      </c>
      <c r="C12" s="1" t="s">
        <v>244</v>
      </c>
      <c r="D12" s="6">
        <f>7950000+1113823+30095749</f>
        <v>39159572</v>
      </c>
      <c r="E12" s="6"/>
      <c r="F12" s="6"/>
      <c r="G12" s="3"/>
      <c r="H12" s="3"/>
      <c r="I12" s="3"/>
      <c r="J12" s="3">
        <f>SUM(D12:I12)</f>
        <v>39159572</v>
      </c>
    </row>
    <row r="13" spans="1:10" x14ac:dyDescent="0.25">
      <c r="A13" s="1"/>
      <c r="B13" s="114">
        <v>182325</v>
      </c>
      <c r="C13" s="1" t="s">
        <v>270</v>
      </c>
      <c r="D13" s="6">
        <v>2000000</v>
      </c>
      <c r="E13" s="6"/>
      <c r="F13" s="6"/>
      <c r="G13" s="3"/>
      <c r="H13" s="3"/>
      <c r="I13" s="3"/>
      <c r="J13" s="3">
        <f>SUM(D13:I13)</f>
        <v>2000000</v>
      </c>
    </row>
    <row r="14" spans="1:10" ht="13.2" thickBot="1" x14ac:dyDescent="0.3">
      <c r="A14" s="1"/>
      <c r="B14" s="8"/>
      <c r="C14" s="1"/>
      <c r="D14" s="15">
        <f t="shared" ref="D14:J14" si="0">SUM(D10:D13)</f>
        <v>85533426</v>
      </c>
      <c r="E14" s="15">
        <f t="shared" si="0"/>
        <v>0</v>
      </c>
      <c r="F14" s="15">
        <f t="shared" si="0"/>
        <v>0</v>
      </c>
      <c r="G14" s="15">
        <f t="shared" si="0"/>
        <v>0</v>
      </c>
      <c r="H14" s="15">
        <f t="shared" si="0"/>
        <v>0</v>
      </c>
      <c r="I14" s="15">
        <f t="shared" si="0"/>
        <v>0</v>
      </c>
      <c r="J14" s="15">
        <f t="shared" si="0"/>
        <v>85533426</v>
      </c>
    </row>
    <row r="15" spans="1:10" ht="13.2" thickTop="1" x14ac:dyDescent="0.25">
      <c r="A15" s="1"/>
      <c r="B15" s="8"/>
      <c r="C15" s="1"/>
      <c r="D15" s="3"/>
      <c r="E15" s="3"/>
      <c r="F15" s="3"/>
      <c r="G15" s="3"/>
      <c r="H15" s="3"/>
      <c r="I15" s="3"/>
      <c r="J15" s="3"/>
    </row>
    <row r="16" spans="1:10" x14ac:dyDescent="0.25">
      <c r="A16" s="1" t="s">
        <v>8</v>
      </c>
      <c r="B16" s="8"/>
      <c r="C16" s="1"/>
      <c r="D16" s="6">
        <v>439361968</v>
      </c>
      <c r="E16" s="6"/>
      <c r="F16" s="6"/>
      <c r="G16" s="3"/>
      <c r="H16" s="3"/>
      <c r="I16" s="3"/>
      <c r="J16" s="3">
        <f>SUM(D16:I16)</f>
        <v>439361968</v>
      </c>
    </row>
    <row r="17" spans="1:11" x14ac:dyDescent="0.25">
      <c r="A17" s="1" t="s">
        <v>9</v>
      </c>
      <c r="B17" s="8"/>
      <c r="C17" s="1"/>
      <c r="D17" s="6">
        <v>676555999</v>
      </c>
      <c r="E17" s="6"/>
      <c r="F17" s="6"/>
      <c r="G17" s="3"/>
      <c r="H17" s="3"/>
      <c r="I17" s="3"/>
      <c r="J17" s="3">
        <f>SUM(D17:I17)</f>
        <v>676555999</v>
      </c>
    </row>
    <row r="18" spans="1:11" x14ac:dyDescent="0.25">
      <c r="A18" s="1" t="s">
        <v>10</v>
      </c>
      <c r="B18" s="8"/>
      <c r="C18" s="1"/>
      <c r="D18" s="6">
        <v>308652420</v>
      </c>
      <c r="E18" s="6"/>
      <c r="F18" s="6">
        <v>7628</v>
      </c>
      <c r="G18" s="3"/>
      <c r="H18" s="3"/>
      <c r="I18" s="3"/>
      <c r="J18" s="3">
        <f>SUM(D18:I18)</f>
        <v>308660048</v>
      </c>
    </row>
    <row r="19" spans="1:11" ht="13.2" thickBot="1" x14ac:dyDescent="0.3">
      <c r="A19" s="1" t="s">
        <v>11</v>
      </c>
      <c r="B19" s="8"/>
      <c r="C19" s="1"/>
      <c r="D19" s="15">
        <f t="shared" ref="D19:J19" si="1">SUM(D16:D18)</f>
        <v>1424570387</v>
      </c>
      <c r="E19" s="15">
        <f t="shared" si="1"/>
        <v>0</v>
      </c>
      <c r="F19" s="15">
        <f t="shared" si="1"/>
        <v>7628</v>
      </c>
      <c r="G19" s="15">
        <f t="shared" si="1"/>
        <v>0</v>
      </c>
      <c r="H19" s="15">
        <f t="shared" si="1"/>
        <v>0</v>
      </c>
      <c r="I19" s="15">
        <f t="shared" si="1"/>
        <v>0</v>
      </c>
      <c r="J19" s="15">
        <f t="shared" si="1"/>
        <v>1424578015</v>
      </c>
    </row>
    <row r="20" spans="1:11" ht="13.2" thickTop="1" x14ac:dyDescent="0.25">
      <c r="A20" s="1"/>
      <c r="B20" s="8"/>
      <c r="C20" s="1"/>
      <c r="D20" s="3">
        <f>-D19+1424570387</f>
        <v>0</v>
      </c>
      <c r="E20" s="3"/>
      <c r="F20" s="3"/>
      <c r="G20" s="3"/>
      <c r="H20" s="3"/>
      <c r="I20" s="3"/>
      <c r="J20" s="3"/>
    </row>
    <row r="21" spans="1:11" ht="13.2" thickBot="1" x14ac:dyDescent="0.3">
      <c r="A21" s="1" t="s">
        <v>12</v>
      </c>
      <c r="B21" s="8"/>
      <c r="C21" s="1"/>
      <c r="D21" s="16">
        <v>804375656</v>
      </c>
      <c r="E21" s="16"/>
      <c r="F21" s="16"/>
      <c r="G21" s="17"/>
      <c r="H21" s="17"/>
      <c r="I21" s="17"/>
      <c r="J21" s="17">
        <f>SUM(D21:I21)</f>
        <v>804375656</v>
      </c>
    </row>
    <row r="22" spans="1:11" ht="13.2" thickTop="1" x14ac:dyDescent="0.25">
      <c r="A22" s="1"/>
      <c r="B22" s="8"/>
      <c r="C22" s="1"/>
      <c r="D22" s="6"/>
      <c r="E22" s="6"/>
      <c r="F22" s="6"/>
      <c r="G22" s="3"/>
      <c r="H22" s="3"/>
      <c r="I22" s="3"/>
      <c r="J22" s="3"/>
    </row>
    <row r="23" spans="1:11" ht="13.2" thickBot="1" x14ac:dyDescent="0.3">
      <c r="A23" s="1" t="s">
        <v>13</v>
      </c>
      <c r="B23" s="8"/>
      <c r="C23" s="1"/>
      <c r="D23" s="16"/>
      <c r="E23" s="16">
        <v>44237870</v>
      </c>
      <c r="F23" s="16">
        <v>6813975</v>
      </c>
      <c r="G23" s="17"/>
      <c r="H23" s="17"/>
      <c r="I23" s="17"/>
      <c r="J23" s="17">
        <f>SUM(D23:I23)</f>
        <v>51051845</v>
      </c>
    </row>
    <row r="24" spans="1:11" ht="13.2" thickTop="1" x14ac:dyDescent="0.25">
      <c r="A24" s="1"/>
      <c r="B24" s="8"/>
      <c r="C24" s="1"/>
      <c r="D24" s="6"/>
      <c r="E24" s="6"/>
      <c r="F24" s="6"/>
      <c r="G24" s="3"/>
      <c r="H24" s="3"/>
      <c r="I24" s="3"/>
      <c r="J24" s="3"/>
    </row>
    <row r="25" spans="1:11" ht="13.2" thickBot="1" x14ac:dyDescent="0.3">
      <c r="A25" s="1" t="s">
        <v>14</v>
      </c>
      <c r="B25" s="8"/>
      <c r="C25" s="1"/>
      <c r="D25" s="16">
        <v>1856699453</v>
      </c>
      <c r="E25" s="16">
        <v>785519061</v>
      </c>
      <c r="F25" s="16">
        <v>421871941</v>
      </c>
      <c r="G25" s="17"/>
      <c r="H25" s="17"/>
      <c r="I25" s="17"/>
      <c r="J25" s="17">
        <f>SUM(D25:I25)</f>
        <v>3064090455</v>
      </c>
    </row>
    <row r="26" spans="1:11" ht="13.2" thickTop="1" x14ac:dyDescent="0.25">
      <c r="A26" s="1"/>
      <c r="B26" s="8"/>
      <c r="C26" s="1"/>
      <c r="D26" s="3">
        <f>ROUND(+D25+D23+D21+D19+D14-4812680722+15242752+96936015+145837+71164646+20511902+16323670+421176978,0)</f>
        <v>0</v>
      </c>
      <c r="E26" s="3">
        <f>ROUND(+E25+E23+E21+E19+E14-1023434641+58732931+134944779,0)</f>
        <v>0</v>
      </c>
      <c r="F26" s="3">
        <f>ROUND(+F25+F23+F21+F19+F14-492420170+23274555+40452071,0)</f>
        <v>0</v>
      </c>
      <c r="G26" s="112"/>
      <c r="H26" s="112"/>
      <c r="I26" s="112"/>
      <c r="J26" s="112"/>
    </row>
    <row r="27" spans="1:11" x14ac:dyDescent="0.25">
      <c r="A27" s="1"/>
      <c r="B27" s="8"/>
      <c r="C27" s="1"/>
      <c r="G27" s="3"/>
      <c r="H27" s="3"/>
      <c r="I27" s="3"/>
      <c r="J27" s="3"/>
    </row>
    <row r="28" spans="1:11" x14ac:dyDescent="0.25">
      <c r="A28" s="1" t="s">
        <v>15</v>
      </c>
      <c r="B28" s="8"/>
      <c r="C28" s="1"/>
      <c r="D28" s="3"/>
      <c r="E28" s="3"/>
      <c r="F28" s="3"/>
      <c r="G28" s="3"/>
      <c r="H28" s="3"/>
      <c r="I28" s="3"/>
      <c r="J28" s="3"/>
    </row>
    <row r="29" spans="1:11" x14ac:dyDescent="0.25">
      <c r="A29" s="1"/>
      <c r="B29" s="8" t="s">
        <v>224</v>
      </c>
      <c r="C29" s="1" t="s">
        <v>16</v>
      </c>
      <c r="D29" s="6">
        <v>507366</v>
      </c>
      <c r="E29" s="6">
        <v>3073284</v>
      </c>
      <c r="F29" s="6">
        <v>845134</v>
      </c>
      <c r="G29" s="6">
        <v>11825224</v>
      </c>
      <c r="H29" s="6"/>
      <c r="I29" s="6">
        <v>1990400</v>
      </c>
      <c r="J29" s="3">
        <f t="shared" ref="J29:J39" si="2">SUM(D29:I29)</f>
        <v>18241408</v>
      </c>
      <c r="K29" s="54">
        <f>-J29+18241408</f>
        <v>0</v>
      </c>
    </row>
    <row r="30" spans="1:11" x14ac:dyDescent="0.25">
      <c r="A30" s="1"/>
      <c r="B30" s="8" t="s">
        <v>225</v>
      </c>
      <c r="C30" s="1" t="s">
        <v>17</v>
      </c>
      <c r="D30" s="6">
        <v>8475512</v>
      </c>
      <c r="E30" s="6">
        <v>25915950</v>
      </c>
      <c r="F30" s="6">
        <v>3823659</v>
      </c>
      <c r="G30" s="6">
        <v>126034548</v>
      </c>
      <c r="H30" s="6"/>
      <c r="I30" s="6">
        <v>30170599</v>
      </c>
      <c r="J30" s="3">
        <f t="shared" si="2"/>
        <v>194420268</v>
      </c>
      <c r="K30" s="54">
        <f>-J30+194420268</f>
        <v>0</v>
      </c>
    </row>
    <row r="31" spans="1:11" x14ac:dyDescent="0.25">
      <c r="A31" s="1"/>
      <c r="B31" s="8" t="s">
        <v>226</v>
      </c>
      <c r="C31" s="1" t="s">
        <v>18</v>
      </c>
      <c r="D31" s="6">
        <v>1447671</v>
      </c>
      <c r="E31" s="6">
        <v>1016221</v>
      </c>
      <c r="F31" s="6">
        <v>12109</v>
      </c>
      <c r="G31" s="6">
        <v>86261569</v>
      </c>
      <c r="H31" s="6">
        <v>244141</v>
      </c>
      <c r="I31" s="6">
        <v>5998052</v>
      </c>
      <c r="J31" s="3">
        <f t="shared" si="2"/>
        <v>94979763</v>
      </c>
      <c r="K31" s="54">
        <f>-J31+94979763</f>
        <v>0</v>
      </c>
    </row>
    <row r="32" spans="1:11" x14ac:dyDescent="0.25">
      <c r="A32" s="1"/>
      <c r="B32" s="8" t="s">
        <v>227</v>
      </c>
      <c r="C32" s="1" t="s">
        <v>19</v>
      </c>
      <c r="D32" s="6">
        <v>49929623</v>
      </c>
      <c r="E32" s="6">
        <v>13809549</v>
      </c>
      <c r="F32" s="6">
        <v>4177230</v>
      </c>
      <c r="G32" s="6">
        <v>7373539</v>
      </c>
      <c r="H32" s="6">
        <v>46950</v>
      </c>
      <c r="I32" s="6">
        <v>6917623</v>
      </c>
      <c r="J32" s="3">
        <f t="shared" si="2"/>
        <v>82254514</v>
      </c>
      <c r="K32" s="54">
        <f>-J32+82254514</f>
        <v>0</v>
      </c>
    </row>
    <row r="33" spans="1:11" x14ac:dyDescent="0.25">
      <c r="A33" s="1"/>
      <c r="B33" s="8" t="s">
        <v>228</v>
      </c>
      <c r="C33" s="1" t="s">
        <v>20</v>
      </c>
      <c r="D33" s="6">
        <v>391830</v>
      </c>
      <c r="E33" s="6">
        <v>88160</v>
      </c>
      <c r="F33" s="6">
        <v>24642</v>
      </c>
      <c r="G33" s="6">
        <v>0</v>
      </c>
      <c r="H33" s="6"/>
      <c r="I33" s="6">
        <v>4910771</v>
      </c>
      <c r="J33" s="3">
        <f t="shared" si="2"/>
        <v>5415403</v>
      </c>
      <c r="K33" s="54">
        <f>-J33+5415403</f>
        <v>0</v>
      </c>
    </row>
    <row r="34" spans="1:11" x14ac:dyDescent="0.25">
      <c r="A34" s="1"/>
      <c r="B34" s="8" t="s">
        <v>229</v>
      </c>
      <c r="C34" s="1" t="s">
        <v>197</v>
      </c>
      <c r="D34" s="6">
        <f>6045850+116804</f>
        <v>6162654</v>
      </c>
      <c r="E34" s="6">
        <v>2821623</v>
      </c>
      <c r="F34" s="6">
        <v>940569</v>
      </c>
      <c r="G34" s="6">
        <v>13167071</v>
      </c>
      <c r="H34" s="6">
        <v>5013392</v>
      </c>
      <c r="I34" s="6">
        <v>1365613</v>
      </c>
      <c r="J34" s="3">
        <f t="shared" si="2"/>
        <v>29470922</v>
      </c>
      <c r="K34" s="54">
        <f>-J34+29354118+116804</f>
        <v>0</v>
      </c>
    </row>
    <row r="35" spans="1:11" x14ac:dyDescent="0.25">
      <c r="A35" s="1"/>
      <c r="B35" s="8" t="s">
        <v>230</v>
      </c>
      <c r="C35" s="1" t="s">
        <v>22</v>
      </c>
      <c r="D35" s="6">
        <v>1801731</v>
      </c>
      <c r="E35" s="6">
        <v>159506</v>
      </c>
      <c r="F35" s="6">
        <v>48404</v>
      </c>
      <c r="G35" s="6">
        <v>1568516</v>
      </c>
      <c r="H35" s="6">
        <v>205171</v>
      </c>
      <c r="I35" s="6">
        <v>0</v>
      </c>
      <c r="J35" s="3">
        <f t="shared" si="2"/>
        <v>3783328</v>
      </c>
      <c r="K35" s="54">
        <f>-J35+3783328</f>
        <v>0</v>
      </c>
    </row>
    <row r="36" spans="1:11" x14ac:dyDescent="0.25">
      <c r="A36" s="1"/>
      <c r="B36" s="8" t="s">
        <v>231</v>
      </c>
      <c r="C36" s="1" t="s">
        <v>23</v>
      </c>
      <c r="D36" s="6">
        <v>31798126</v>
      </c>
      <c r="E36" s="6">
        <v>4156155</v>
      </c>
      <c r="F36" s="6">
        <v>43834</v>
      </c>
      <c r="G36" s="6">
        <v>528479</v>
      </c>
      <c r="H36" s="6"/>
      <c r="I36" s="6">
        <v>1498246</v>
      </c>
      <c r="J36" s="3">
        <f t="shared" si="2"/>
        <v>38024840</v>
      </c>
      <c r="K36" s="54">
        <f>-J36+38024840</f>
        <v>0</v>
      </c>
    </row>
    <row r="37" spans="1:11" x14ac:dyDescent="0.25">
      <c r="A37" s="1"/>
      <c r="B37" s="8" t="s">
        <v>232</v>
      </c>
      <c r="C37" s="1" t="s">
        <v>24</v>
      </c>
      <c r="D37" s="6">
        <v>48807871</v>
      </c>
      <c r="E37" s="6">
        <v>1082589</v>
      </c>
      <c r="F37" s="6">
        <v>1117627</v>
      </c>
      <c r="G37" s="6">
        <v>62341275</v>
      </c>
      <c r="H37" s="6">
        <v>524369</v>
      </c>
      <c r="I37" s="6">
        <v>15287620</v>
      </c>
      <c r="J37" s="3">
        <f t="shared" si="2"/>
        <v>129161351</v>
      </c>
      <c r="K37" s="54">
        <f>-J37+129161351</f>
        <v>0</v>
      </c>
    </row>
    <row r="38" spans="1:11" x14ac:dyDescent="0.25">
      <c r="A38" s="1"/>
      <c r="B38" s="8" t="s">
        <v>233</v>
      </c>
      <c r="C38" s="1" t="s">
        <v>25</v>
      </c>
      <c r="D38" s="14">
        <v>193351</v>
      </c>
      <c r="E38" s="14"/>
      <c r="F38" s="14">
        <v>2367</v>
      </c>
      <c r="G38" s="6">
        <v>617739</v>
      </c>
      <c r="H38" s="6">
        <v>0</v>
      </c>
      <c r="I38" s="6">
        <v>8573</v>
      </c>
      <c r="J38" s="3">
        <f t="shared" si="2"/>
        <v>822030</v>
      </c>
      <c r="K38" s="54">
        <f>-J38+822030</f>
        <v>0</v>
      </c>
    </row>
    <row r="39" spans="1:11" ht="13.2" thickBot="1" x14ac:dyDescent="0.3">
      <c r="A39" s="1"/>
      <c r="B39" s="8"/>
      <c r="C39" s="8" t="s">
        <v>1</v>
      </c>
      <c r="D39" s="17">
        <f t="shared" ref="D39:I39" si="3">SUM(D29:D38)</f>
        <v>149515735</v>
      </c>
      <c r="E39" s="17">
        <f t="shared" si="3"/>
        <v>52123037</v>
      </c>
      <c r="F39" s="17">
        <f t="shared" si="3"/>
        <v>11035575</v>
      </c>
      <c r="G39" s="15">
        <f t="shared" si="3"/>
        <v>309717960</v>
      </c>
      <c r="H39" s="15">
        <f t="shared" si="3"/>
        <v>6034023</v>
      </c>
      <c r="I39" s="15">
        <f t="shared" si="3"/>
        <v>68147497</v>
      </c>
      <c r="J39" s="15">
        <f t="shared" si="2"/>
        <v>596573827</v>
      </c>
    </row>
    <row r="40" spans="1:11" ht="13.2" thickTop="1" x14ac:dyDescent="0.25">
      <c r="A40" s="1"/>
      <c r="B40" s="8"/>
      <c r="C40" s="1"/>
      <c r="D40" s="3"/>
      <c r="E40" s="3"/>
      <c r="F40" s="3"/>
      <c r="G40" s="3"/>
      <c r="H40" s="3"/>
      <c r="I40" s="3"/>
      <c r="J40" s="3">
        <f>-J39+596573827</f>
        <v>0</v>
      </c>
    </row>
    <row r="41" spans="1:11" x14ac:dyDescent="0.25">
      <c r="A41" s="1" t="s">
        <v>274</v>
      </c>
      <c r="B41" s="8"/>
      <c r="C41" s="1"/>
      <c r="D41" s="3"/>
      <c r="E41" s="3"/>
      <c r="F41" s="3"/>
      <c r="G41" s="3"/>
      <c r="H41" s="3"/>
      <c r="I41" s="3"/>
      <c r="J41" s="3"/>
    </row>
    <row r="42" spans="1:11" x14ac:dyDescent="0.25">
      <c r="A42" s="1"/>
      <c r="B42" s="114">
        <v>303000</v>
      </c>
      <c r="C42" s="1" t="s">
        <v>173</v>
      </c>
      <c r="D42" s="6">
        <v>10699821</v>
      </c>
      <c r="E42" s="6">
        <v>1794115</v>
      </c>
      <c r="F42" s="6">
        <v>406156</v>
      </c>
      <c r="G42" s="6">
        <v>6222638</v>
      </c>
      <c r="H42" s="6"/>
      <c r="I42" s="6">
        <v>194058</v>
      </c>
      <c r="J42" s="3">
        <f>SUM(D42:I42)</f>
        <v>19316788</v>
      </c>
      <c r="K42" s="54">
        <f>-J42+19316788</f>
        <v>0</v>
      </c>
    </row>
    <row r="43" spans="1:11" x14ac:dyDescent="0.25">
      <c r="A43" s="1"/>
      <c r="B43" s="114">
        <v>303100</v>
      </c>
      <c r="C43" s="1" t="s">
        <v>26</v>
      </c>
      <c r="D43" s="6">
        <v>13959306</v>
      </c>
      <c r="E43" s="6"/>
      <c r="F43" s="6">
        <v>0</v>
      </c>
      <c r="G43" s="6">
        <v>117062959</v>
      </c>
      <c r="H43" s="6">
        <v>564045</v>
      </c>
      <c r="I43" s="6">
        <v>457172</v>
      </c>
      <c r="J43" s="3">
        <f>SUM(D43:I43)</f>
        <v>132043482</v>
      </c>
      <c r="K43" s="54">
        <f>-J43+132043482</f>
        <v>0</v>
      </c>
    </row>
    <row r="44" spans="1:11" x14ac:dyDescent="0.25">
      <c r="A44" s="1"/>
      <c r="B44" s="114">
        <v>303110</v>
      </c>
      <c r="C44" s="1" t="s">
        <v>27</v>
      </c>
      <c r="D44" s="6">
        <v>0</v>
      </c>
      <c r="E44" s="6"/>
      <c r="F44" s="6"/>
      <c r="G44" s="6">
        <v>206633</v>
      </c>
      <c r="H44" s="6"/>
      <c r="I44" s="6"/>
      <c r="J44" s="3">
        <f>SUM(D44:I44)</f>
        <v>206633</v>
      </c>
      <c r="K44" s="54">
        <f>-J44+206633</f>
        <v>0</v>
      </c>
    </row>
    <row r="45" spans="1:11" x14ac:dyDescent="0.25">
      <c r="A45" s="1"/>
      <c r="B45" s="114">
        <v>303115</v>
      </c>
      <c r="C45" s="1" t="s">
        <v>27</v>
      </c>
      <c r="D45" s="6"/>
      <c r="E45" s="6"/>
      <c r="F45" s="6"/>
      <c r="G45" s="6">
        <v>100831204</v>
      </c>
      <c r="H45" s="6"/>
      <c r="I45" s="6"/>
      <c r="J45" s="112">
        <f t="shared" ref="J45:J46" si="4">SUM(D45:I45)</f>
        <v>100831204</v>
      </c>
      <c r="K45" s="54">
        <f>-J45+100831204</f>
        <v>0</v>
      </c>
    </row>
    <row r="46" spans="1:11" x14ac:dyDescent="0.25">
      <c r="A46" s="1"/>
      <c r="B46" s="114">
        <v>303120</v>
      </c>
      <c r="C46" s="1" t="s">
        <v>366</v>
      </c>
      <c r="D46" s="6"/>
      <c r="E46" s="6"/>
      <c r="F46" s="6"/>
      <c r="G46" s="6">
        <v>29062742</v>
      </c>
      <c r="H46" s="6"/>
      <c r="I46" s="6"/>
      <c r="J46" s="112">
        <f t="shared" si="4"/>
        <v>29062742</v>
      </c>
      <c r="K46" s="54">
        <f>-J46+29062742</f>
        <v>0</v>
      </c>
    </row>
    <row r="47" spans="1:11" x14ac:dyDescent="0.25">
      <c r="A47" s="1"/>
      <c r="B47" s="114">
        <v>303121</v>
      </c>
      <c r="C47" s="1" t="s">
        <v>367</v>
      </c>
      <c r="D47" s="6">
        <v>776272</v>
      </c>
      <c r="E47" s="6"/>
      <c r="F47" s="6"/>
      <c r="G47" s="6">
        <v>1389010</v>
      </c>
      <c r="H47" s="6"/>
      <c r="I47" s="6">
        <v>18706179</v>
      </c>
      <c r="J47" s="18">
        <f>SUM(D47:I47)</f>
        <v>20871461</v>
      </c>
      <c r="K47" s="54">
        <f>-J47+20871461</f>
        <v>0</v>
      </c>
    </row>
    <row r="48" spans="1:11" ht="13.2" thickBot="1" x14ac:dyDescent="0.3">
      <c r="A48" s="1"/>
      <c r="B48" s="8"/>
      <c r="C48" s="8" t="s">
        <v>1</v>
      </c>
      <c r="D48" s="15">
        <f t="shared" ref="D48:I48" si="5">SUM(D42:D47)</f>
        <v>25435399</v>
      </c>
      <c r="E48" s="15">
        <f t="shared" si="5"/>
        <v>1794115</v>
      </c>
      <c r="F48" s="15">
        <f t="shared" si="5"/>
        <v>406156</v>
      </c>
      <c r="G48" s="15">
        <f t="shared" si="5"/>
        <v>254775186</v>
      </c>
      <c r="H48" s="15">
        <f t="shared" si="5"/>
        <v>564045</v>
      </c>
      <c r="I48" s="15">
        <f t="shared" si="5"/>
        <v>19357409</v>
      </c>
      <c r="J48" s="17">
        <f>SUM(D48:I48)</f>
        <v>302332310</v>
      </c>
    </row>
    <row r="49" spans="1:10" ht="13.2" thickTop="1" x14ac:dyDescent="0.25">
      <c r="A49" s="1"/>
      <c r="B49" s="8"/>
      <c r="C49" s="1"/>
      <c r="D49" s="3"/>
      <c r="E49" s="3"/>
      <c r="F49" s="3"/>
      <c r="G49" s="3"/>
      <c r="H49" s="3"/>
      <c r="I49" s="3"/>
      <c r="J49" s="3">
        <f>-J48+302332310</f>
        <v>0</v>
      </c>
    </row>
    <row r="50" spans="1:10" x14ac:dyDescent="0.25">
      <c r="D50" s="3"/>
      <c r="E50" s="3"/>
      <c r="F50" s="3"/>
      <c r="G50" s="3"/>
      <c r="H50" s="3"/>
      <c r="I50" s="3" t="s">
        <v>320</v>
      </c>
      <c r="J50" s="3"/>
    </row>
    <row r="51" spans="1:10" x14ac:dyDescent="0.25">
      <c r="A51" s="8" t="s">
        <v>28</v>
      </c>
      <c r="B51" s="41" t="s">
        <v>29</v>
      </c>
      <c r="C51" s="1"/>
      <c r="D51" s="3"/>
      <c r="E51" s="3"/>
      <c r="F51" s="3"/>
      <c r="G51" s="3"/>
      <c r="H51" s="3"/>
      <c r="I51" t="s">
        <v>1</v>
      </c>
      <c r="J51" s="3">
        <f>SUM(J14,J19,J21,J23,J25,J39,J48)</f>
        <v>6328535534</v>
      </c>
    </row>
    <row r="52" spans="1:10" x14ac:dyDescent="0.25">
      <c r="A52" s="8" t="s">
        <v>30</v>
      </c>
      <c r="B52" s="41" t="s">
        <v>31</v>
      </c>
      <c r="C52" s="1"/>
      <c r="D52" s="3"/>
      <c r="E52" s="3"/>
      <c r="F52" s="3"/>
      <c r="G52" s="3"/>
      <c r="H52" s="3"/>
      <c r="I52" s="3" t="s">
        <v>321</v>
      </c>
      <c r="J52" s="132">
        <v>4812680722</v>
      </c>
    </row>
    <row r="53" spans="1:10" x14ac:dyDescent="0.25">
      <c r="A53" s="8" t="s">
        <v>32</v>
      </c>
      <c r="B53" s="41" t="s">
        <v>33</v>
      </c>
      <c r="C53" s="1"/>
      <c r="D53" s="3"/>
      <c r="E53" s="3"/>
      <c r="F53" s="3"/>
      <c r="G53" s="3"/>
      <c r="H53" s="3"/>
      <c r="I53" s="3" t="s">
        <v>322</v>
      </c>
      <c r="J53" s="132">
        <v>1023434641</v>
      </c>
    </row>
    <row r="54" spans="1:10" x14ac:dyDescent="0.25">
      <c r="A54" s="75"/>
      <c r="B54" s="8"/>
      <c r="I54" s="3" t="s">
        <v>323</v>
      </c>
      <c r="J54" s="116">
        <v>492420170</v>
      </c>
    </row>
    <row r="55" spans="1:10" x14ac:dyDescent="0.25">
      <c r="I55" t="s">
        <v>317</v>
      </c>
      <c r="J55" s="54">
        <f>J51-J52-J53-J54</f>
        <v>1</v>
      </c>
    </row>
  </sheetData>
  <pageMargins left="0.2" right="0.2" top="0.75" bottom="0.75" header="0.3" footer="0.3"/>
  <pageSetup scale="82" orientation="portrait" r:id="rId1"/>
  <headerFooter>
    <oddFooter>&amp;L&amp;F
&amp;A&amp;RPrepared By: Jeanne Pluth
Date: January 23, 2015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46"/>
  <sheetViews>
    <sheetView showZeros="0" showOutlineSymbols="0" zoomScaleNormal="100" workbookViewId="0">
      <pane xSplit="3" ySplit="8" topLeftCell="D9" activePane="bottomRight" state="frozen"/>
      <selection pane="topRight"/>
      <selection pane="bottomLeft"/>
      <selection pane="bottomRight" activeCell="D13" sqref="D13"/>
    </sheetView>
  </sheetViews>
  <sheetFormatPr defaultColWidth="9.6640625" defaultRowHeight="12.6" x14ac:dyDescent="0.25"/>
  <cols>
    <col min="1" max="1" width="1.6640625" customWidth="1"/>
    <col min="2" max="2" width="5.88671875" customWidth="1"/>
    <col min="3" max="3" width="32.6640625" customWidth="1"/>
    <col min="4" max="4" width="13.6640625" bestFit="1" customWidth="1"/>
    <col min="5" max="5" width="13.5546875" bestFit="1" customWidth="1"/>
    <col min="6" max="7" width="11.88671875" bestFit="1" customWidth="1"/>
    <col min="8" max="8" width="9.88671875" customWidth="1"/>
    <col min="9" max="9" width="11.6640625" bestFit="1" customWidth="1"/>
    <col min="10" max="10" width="15.5546875" bestFit="1" customWidth="1"/>
    <col min="11" max="11" width="11.6640625" customWidth="1"/>
  </cols>
  <sheetData>
    <row r="1" spans="1:11" x14ac:dyDescent="0.25">
      <c r="A1" s="1" t="str">
        <f>Notes!A1</f>
        <v>Avista Utilities</v>
      </c>
      <c r="B1" s="1"/>
      <c r="C1" s="1"/>
      <c r="D1" s="1"/>
      <c r="E1" s="1"/>
      <c r="F1" s="1"/>
      <c r="G1" s="1"/>
      <c r="H1" s="1"/>
      <c r="I1" s="1"/>
      <c r="J1" s="56"/>
    </row>
    <row r="2" spans="1:11" x14ac:dyDescent="0.25">
      <c r="A2" s="1" t="s">
        <v>4</v>
      </c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1" t="s">
        <v>34</v>
      </c>
      <c r="B3" s="1"/>
      <c r="C3" s="1"/>
      <c r="D3" s="1"/>
      <c r="E3" s="1"/>
      <c r="F3" s="1"/>
      <c r="G3" s="1"/>
      <c r="H3" s="1"/>
      <c r="I3" s="1"/>
      <c r="J3" s="1"/>
    </row>
    <row r="4" spans="1:11" x14ac:dyDescent="0.25">
      <c r="A4" s="1" t="str">
        <f>Notes!A5</f>
        <v>Balances at December 31, 2019</v>
      </c>
      <c r="B4" s="1"/>
      <c r="C4" s="1"/>
      <c r="D4" s="1"/>
      <c r="E4" s="1"/>
      <c r="F4" s="1"/>
      <c r="G4" s="1"/>
      <c r="H4" s="1"/>
      <c r="I4" s="1"/>
      <c r="J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7" spans="1:11" x14ac:dyDescent="0.25">
      <c r="A7" s="1"/>
      <c r="B7" s="1"/>
      <c r="C7" s="1"/>
      <c r="D7" s="9" t="s">
        <v>2</v>
      </c>
      <c r="E7" s="9" t="s">
        <v>199</v>
      </c>
      <c r="F7" s="9" t="s">
        <v>234</v>
      </c>
      <c r="G7" s="8" t="s">
        <v>204</v>
      </c>
      <c r="H7" s="8" t="s">
        <v>205</v>
      </c>
      <c r="I7" s="8" t="s">
        <v>206</v>
      </c>
      <c r="J7" s="8" t="s">
        <v>1</v>
      </c>
    </row>
    <row r="8" spans="1:11" x14ac:dyDescent="0.25">
      <c r="I8" s="8" t="s">
        <v>207</v>
      </c>
    </row>
    <row r="9" spans="1:11" x14ac:dyDescent="0.25">
      <c r="A9" s="1" t="s">
        <v>279</v>
      </c>
      <c r="B9" s="1"/>
      <c r="C9" s="1"/>
      <c r="D9" s="1"/>
      <c r="E9" s="1"/>
      <c r="F9" s="1"/>
      <c r="G9" s="1"/>
      <c r="H9" s="1"/>
      <c r="I9" s="1"/>
      <c r="J9" s="1"/>
    </row>
    <row r="10" spans="1:11" x14ac:dyDescent="0.25">
      <c r="A10" s="1"/>
      <c r="B10" s="8"/>
      <c r="C10" s="1" t="s">
        <v>275</v>
      </c>
      <c r="D10" s="19">
        <v>14964850</v>
      </c>
      <c r="E10" s="19"/>
      <c r="F10" s="19"/>
      <c r="G10" s="19"/>
      <c r="H10" s="19"/>
      <c r="I10" s="19"/>
      <c r="J10" s="3">
        <f t="shared" ref="J10:J14" si="0">SUM(D10:I10)</f>
        <v>14964850</v>
      </c>
      <c r="K10" s="54">
        <f>-J10+14964850</f>
        <v>0</v>
      </c>
    </row>
    <row r="11" spans="1:11" x14ac:dyDescent="0.25">
      <c r="A11" s="1"/>
      <c r="B11" s="8"/>
      <c r="C11" s="1" t="s">
        <v>282</v>
      </c>
      <c r="D11" s="19">
        <v>245132</v>
      </c>
      <c r="E11" s="19"/>
      <c r="F11" s="19"/>
      <c r="G11" s="19"/>
      <c r="H11" s="19"/>
      <c r="I11" s="19"/>
      <c r="J11" s="3">
        <f t="shared" si="0"/>
        <v>245132</v>
      </c>
      <c r="K11" s="54">
        <f>-J11+245132</f>
        <v>0</v>
      </c>
    </row>
    <row r="12" spans="1:11" x14ac:dyDescent="0.25">
      <c r="A12" s="1"/>
      <c r="B12" s="8"/>
      <c r="C12" s="1" t="s">
        <v>277</v>
      </c>
      <c r="D12" s="19"/>
      <c r="E12" s="19">
        <f>115216+240903</f>
        <v>356119</v>
      </c>
      <c r="F12" s="19">
        <v>101267</v>
      </c>
      <c r="G12" s="19">
        <v>3793639</v>
      </c>
      <c r="H12" s="19"/>
      <c r="I12" s="19">
        <v>116226</v>
      </c>
      <c r="J12" s="3">
        <f t="shared" si="0"/>
        <v>4367251</v>
      </c>
      <c r="K12" s="54">
        <f>-J12+4367251</f>
        <v>0</v>
      </c>
    </row>
    <row r="13" spans="1:11" x14ac:dyDescent="0.25">
      <c r="A13" s="1"/>
      <c r="B13" s="8"/>
      <c r="C13" s="1" t="s">
        <v>276</v>
      </c>
      <c r="D13" s="19">
        <f>5855629-176-33704</f>
        <v>5821749</v>
      </c>
      <c r="E13" s="19">
        <v>0</v>
      </c>
      <c r="F13" s="19">
        <v>0</v>
      </c>
      <c r="G13" s="19">
        <v>91713686</v>
      </c>
      <c r="H13" s="19">
        <v>505147</v>
      </c>
      <c r="I13" s="19">
        <f>105437+36608+4537158</f>
        <v>4679203</v>
      </c>
      <c r="J13" s="3">
        <f t="shared" si="0"/>
        <v>102719785</v>
      </c>
      <c r="K13" s="54">
        <f>-J13+102719785</f>
        <v>0</v>
      </c>
    </row>
    <row r="14" spans="1:11" x14ac:dyDescent="0.25">
      <c r="A14" s="1"/>
      <c r="B14" s="8"/>
      <c r="C14" s="1" t="s">
        <v>38</v>
      </c>
      <c r="D14" s="19"/>
      <c r="E14" s="19">
        <v>0</v>
      </c>
      <c r="F14" s="19"/>
      <c r="G14" s="19"/>
      <c r="H14" s="19"/>
      <c r="I14" s="19"/>
      <c r="J14" s="3">
        <f t="shared" si="0"/>
        <v>0</v>
      </c>
      <c r="K14" s="54">
        <f>-J14+0</f>
        <v>0</v>
      </c>
    </row>
    <row r="15" spans="1:11" x14ac:dyDescent="0.25">
      <c r="A15" s="1"/>
      <c r="B15" s="8"/>
      <c r="C15" s="1" t="s">
        <v>278</v>
      </c>
      <c r="D15" s="19">
        <v>191965</v>
      </c>
      <c r="E15" s="19">
        <v>0</v>
      </c>
      <c r="F15" s="19">
        <v>0</v>
      </c>
      <c r="G15" s="19">
        <v>-155</v>
      </c>
      <c r="H15" s="19"/>
      <c r="I15" s="19"/>
      <c r="J15" s="3">
        <f>SUM(D15:I15)</f>
        <v>191810</v>
      </c>
      <c r="K15" s="54">
        <f>-J15+191810</f>
        <v>0</v>
      </c>
    </row>
    <row r="16" spans="1:11" ht="13.2" thickBot="1" x14ac:dyDescent="0.3">
      <c r="A16" s="1"/>
      <c r="B16" s="8"/>
      <c r="C16" s="1"/>
      <c r="D16" s="20">
        <f t="shared" ref="D16:I16" si="1">SUM(D10:D15)</f>
        <v>21223696</v>
      </c>
      <c r="E16" s="20">
        <f t="shared" si="1"/>
        <v>356119</v>
      </c>
      <c r="F16" s="20">
        <f t="shared" si="1"/>
        <v>101267</v>
      </c>
      <c r="G16" s="20">
        <f t="shared" si="1"/>
        <v>95507170</v>
      </c>
      <c r="H16" s="20">
        <f t="shared" si="1"/>
        <v>505147</v>
      </c>
      <c r="I16" s="20">
        <f t="shared" si="1"/>
        <v>4795429</v>
      </c>
      <c r="J16" s="159">
        <f>SUM(J10:J15)</f>
        <v>122488828</v>
      </c>
    </row>
    <row r="17" spans="1:11" ht="13.2" thickTop="1" x14ac:dyDescent="0.25">
      <c r="A17" s="1"/>
      <c r="B17" s="8"/>
      <c r="C17" s="1"/>
      <c r="D17" s="3"/>
      <c r="E17" s="3"/>
      <c r="F17" s="3"/>
      <c r="G17" s="3"/>
      <c r="H17" s="3"/>
      <c r="I17" s="3"/>
      <c r="J17" s="3">
        <f>-J16+122488828</f>
        <v>0</v>
      </c>
    </row>
    <row r="18" spans="1:11" x14ac:dyDescent="0.25">
      <c r="A18" s="1" t="s">
        <v>324</v>
      </c>
      <c r="B18" s="8"/>
      <c r="C18" s="1"/>
      <c r="D18" s="3"/>
      <c r="E18" s="3"/>
      <c r="F18" s="3"/>
      <c r="G18" s="3"/>
      <c r="H18" s="3"/>
      <c r="I18" s="3"/>
      <c r="J18" s="3"/>
    </row>
    <row r="19" spans="1:11" x14ac:dyDescent="0.25">
      <c r="A19" s="1"/>
      <c r="B19" s="8"/>
      <c r="C19" s="1" t="s">
        <v>271</v>
      </c>
      <c r="D19" s="6"/>
      <c r="E19" s="6"/>
      <c r="F19" s="6"/>
      <c r="G19" s="6"/>
      <c r="H19" s="6"/>
      <c r="I19" s="6"/>
      <c r="J19" s="3">
        <f>SUM(D19:I19)</f>
        <v>0</v>
      </c>
      <c r="K19" s="54"/>
    </row>
    <row r="20" spans="1:11" x14ac:dyDescent="0.25">
      <c r="A20" s="1"/>
      <c r="B20" s="8"/>
      <c r="C20" s="1" t="s">
        <v>35</v>
      </c>
      <c r="D20" s="14"/>
      <c r="E20" s="6"/>
      <c r="F20" s="6"/>
      <c r="G20" s="6"/>
      <c r="H20" s="6"/>
      <c r="I20" s="6"/>
      <c r="J20" s="3">
        <f>SUM(D20:I20)</f>
        <v>0</v>
      </c>
      <c r="K20" s="54"/>
    </row>
    <row r="21" spans="1:11" ht="13.2" thickBot="1" x14ac:dyDescent="0.3">
      <c r="A21" s="1"/>
      <c r="B21" s="8"/>
      <c r="C21" s="1"/>
      <c r="D21" s="15">
        <f t="shared" ref="D21:J21" si="2">SUM(D19:D20)</f>
        <v>0</v>
      </c>
      <c r="E21" s="15">
        <f t="shared" si="2"/>
        <v>0</v>
      </c>
      <c r="F21" s="15">
        <f t="shared" si="2"/>
        <v>0</v>
      </c>
      <c r="G21" s="15">
        <f t="shared" si="2"/>
        <v>0</v>
      </c>
      <c r="H21" s="15">
        <f t="shared" si="2"/>
        <v>0</v>
      </c>
      <c r="I21" s="15">
        <f t="shared" si="2"/>
        <v>0</v>
      </c>
      <c r="J21" s="15">
        <f t="shared" si="2"/>
        <v>0</v>
      </c>
    </row>
    <row r="22" spans="1:11" ht="13.2" thickTop="1" x14ac:dyDescent="0.25">
      <c r="A22" s="1"/>
      <c r="B22" s="8"/>
      <c r="C22" s="1"/>
      <c r="D22" s="3"/>
      <c r="E22" s="3"/>
      <c r="F22" s="3"/>
      <c r="G22" s="3"/>
      <c r="H22" s="3"/>
      <c r="I22" s="3"/>
      <c r="J22" s="3"/>
    </row>
    <row r="23" spans="1:11" x14ac:dyDescent="0.25">
      <c r="A23" s="1" t="s">
        <v>325</v>
      </c>
      <c r="B23" s="8"/>
      <c r="C23" s="1"/>
      <c r="D23" s="3"/>
      <c r="E23" s="3"/>
      <c r="F23" s="3"/>
      <c r="G23" s="3"/>
      <c r="H23" s="3"/>
      <c r="I23" s="3"/>
      <c r="J23" s="3"/>
    </row>
    <row r="24" spans="1:11" x14ac:dyDescent="0.25">
      <c r="A24" s="1"/>
      <c r="B24" s="8"/>
      <c r="C24" s="1" t="s">
        <v>316</v>
      </c>
      <c r="D24" s="6">
        <f>70923167+85313654+158051211</f>
        <v>314288032</v>
      </c>
      <c r="E24" s="6"/>
      <c r="F24" s="6"/>
      <c r="G24" s="3"/>
      <c r="H24" s="3"/>
      <c r="I24" s="3"/>
      <c r="J24" s="3">
        <f>SUM(D24:I24)</f>
        <v>314288032</v>
      </c>
      <c r="K24" s="54">
        <f>-J24+70923167+85313654+158051211</f>
        <v>0</v>
      </c>
    </row>
    <row r="25" spans="1:11" x14ac:dyDescent="0.25">
      <c r="A25" s="1"/>
      <c r="B25" s="9"/>
      <c r="C25" s="1" t="s">
        <v>36</v>
      </c>
      <c r="D25" s="6">
        <v>144718721</v>
      </c>
      <c r="E25" s="6"/>
      <c r="F25" s="6"/>
      <c r="G25" s="3"/>
      <c r="H25" s="3"/>
      <c r="I25" s="3"/>
      <c r="J25" s="3">
        <f>SUM(D25:I25)</f>
        <v>144718721</v>
      </c>
      <c r="K25" s="54">
        <f>-J25+144718721</f>
        <v>0</v>
      </c>
    </row>
    <row r="26" spans="1:11" x14ac:dyDescent="0.25">
      <c r="A26" s="1"/>
      <c r="B26" s="8"/>
      <c r="C26" s="1" t="s">
        <v>37</v>
      </c>
      <c r="D26" s="19">
        <v>138654157</v>
      </c>
      <c r="E26" s="3"/>
      <c r="F26" s="3"/>
      <c r="G26" s="3"/>
      <c r="H26" s="3"/>
      <c r="I26" s="3"/>
      <c r="J26" s="3">
        <f>SUM(D26:I26)</f>
        <v>138654157</v>
      </c>
      <c r="K26" s="54">
        <f>-J26+138654157</f>
        <v>0</v>
      </c>
    </row>
    <row r="27" spans="1:11" x14ac:dyDescent="0.25">
      <c r="A27" s="1"/>
      <c r="B27" s="8"/>
      <c r="C27" s="1" t="s">
        <v>37</v>
      </c>
      <c r="D27" s="6"/>
      <c r="E27" s="6"/>
      <c r="F27" s="6">
        <v>0</v>
      </c>
      <c r="G27" s="3"/>
      <c r="H27" s="3"/>
      <c r="I27" s="3"/>
      <c r="J27" s="3">
        <f>SUM(D27:I27)</f>
        <v>0</v>
      </c>
    </row>
    <row r="28" spans="1:11" ht="13.2" thickBot="1" x14ac:dyDescent="0.3">
      <c r="A28" s="1"/>
      <c r="B28" s="1"/>
      <c r="C28" s="1"/>
      <c r="D28" s="15">
        <f t="shared" ref="D28:J28" si="3">SUM(D24:D27)</f>
        <v>597660910</v>
      </c>
      <c r="E28" s="15">
        <f t="shared" si="3"/>
        <v>0</v>
      </c>
      <c r="F28" s="15">
        <f t="shared" si="3"/>
        <v>0</v>
      </c>
      <c r="G28" s="15">
        <f t="shared" si="3"/>
        <v>0</v>
      </c>
      <c r="H28" s="21">
        <f t="shared" si="3"/>
        <v>0</v>
      </c>
      <c r="I28" s="15">
        <f t="shared" si="3"/>
        <v>0</v>
      </c>
      <c r="J28" s="15">
        <f t="shared" si="3"/>
        <v>597660910</v>
      </c>
    </row>
    <row r="29" spans="1:11" ht="13.2" thickTop="1" x14ac:dyDescent="0.25">
      <c r="A29" s="1"/>
      <c r="B29" s="1"/>
      <c r="C29" s="1"/>
      <c r="D29" s="3"/>
      <c r="E29" s="3"/>
      <c r="F29" s="3"/>
      <c r="G29" s="3"/>
      <c r="H29" s="3"/>
      <c r="I29" s="3"/>
      <c r="J29" s="3"/>
    </row>
    <row r="30" spans="1:11" ht="13.2" thickBot="1" x14ac:dyDescent="0.3">
      <c r="A30" s="1" t="s">
        <v>326</v>
      </c>
      <c r="B30" s="1"/>
      <c r="C30" s="1"/>
      <c r="D30" s="16">
        <v>230357757</v>
      </c>
      <c r="E30" s="16"/>
      <c r="F30" s="16"/>
      <c r="G30" s="16"/>
      <c r="H30" s="16"/>
      <c r="I30" s="16"/>
      <c r="J30" s="17">
        <f>SUM(D30:I30)</f>
        <v>230357757</v>
      </c>
      <c r="K30" s="54">
        <f>-J30+230357757</f>
        <v>0</v>
      </c>
    </row>
    <row r="31" spans="1:11" ht="13.2" thickTop="1" x14ac:dyDescent="0.25">
      <c r="A31" s="1"/>
      <c r="B31" s="1"/>
      <c r="C31" s="1"/>
      <c r="D31" s="3"/>
      <c r="E31" s="3"/>
      <c r="F31" s="3"/>
      <c r="G31" s="3"/>
      <c r="H31" s="3"/>
      <c r="I31" s="3"/>
      <c r="J31" s="3"/>
      <c r="K31" s="54"/>
    </row>
    <row r="32" spans="1:11" ht="13.2" thickBot="1" x14ac:dyDescent="0.3">
      <c r="A32" s="1" t="s">
        <v>327</v>
      </c>
      <c r="B32" s="1"/>
      <c r="C32" s="1"/>
      <c r="D32" s="16"/>
      <c r="E32" s="16">
        <v>17164639</v>
      </c>
      <c r="F32" s="16">
        <v>1278494</v>
      </c>
      <c r="G32" s="16"/>
      <c r="H32" s="16"/>
      <c r="I32" s="16"/>
      <c r="J32" s="17">
        <f>SUM(D32:I32)</f>
        <v>18443133</v>
      </c>
      <c r="K32" s="54">
        <f>-J32+18443133</f>
        <v>0</v>
      </c>
    </row>
    <row r="33" spans="1:11" ht="13.2" thickTop="1" x14ac:dyDescent="0.25">
      <c r="A33" s="1"/>
      <c r="B33" s="1"/>
      <c r="C33" s="1"/>
      <c r="D33" s="6"/>
      <c r="E33" s="6"/>
      <c r="F33" s="6"/>
      <c r="G33" s="6"/>
      <c r="H33" s="6"/>
      <c r="I33" s="6"/>
      <c r="J33" s="3"/>
      <c r="K33" s="54"/>
    </row>
    <row r="34" spans="1:11" ht="13.2" thickBot="1" x14ac:dyDescent="0.3">
      <c r="A34" s="1" t="s">
        <v>328</v>
      </c>
      <c r="B34" s="1"/>
      <c r="C34" s="1"/>
      <c r="D34" s="16">
        <v>591578902</v>
      </c>
      <c r="E34" s="16">
        <f>84409225+148582541+1851025</f>
        <v>234842791</v>
      </c>
      <c r="F34" s="16">
        <v>118309508</v>
      </c>
      <c r="G34" s="16"/>
      <c r="H34" s="16"/>
      <c r="I34" s="16"/>
      <c r="J34" s="17">
        <f>SUM(D34:I34)</f>
        <v>944731201</v>
      </c>
      <c r="K34" s="54">
        <f>-J34+591578902+353152299</f>
        <v>0</v>
      </c>
    </row>
    <row r="35" spans="1:11" ht="13.2" thickTop="1" x14ac:dyDescent="0.25">
      <c r="A35" s="1"/>
      <c r="B35" s="1"/>
      <c r="C35" s="1"/>
      <c r="D35" s="3">
        <f>+D28+D30+D32+D34-1557983981+138386412</f>
        <v>0</v>
      </c>
      <c r="E35" s="3"/>
      <c r="F35" s="3"/>
      <c r="G35" s="3"/>
      <c r="H35" s="3"/>
      <c r="I35" s="3"/>
      <c r="J35" s="3"/>
      <c r="K35" s="54"/>
    </row>
    <row r="36" spans="1:11" x14ac:dyDescent="0.25">
      <c r="B36" s="1"/>
      <c r="C36" s="1"/>
      <c r="D36" s="3"/>
      <c r="E36" s="3"/>
      <c r="F36" s="3"/>
      <c r="G36" s="3"/>
      <c r="H36" s="3"/>
      <c r="I36" s="3"/>
      <c r="J36" s="3"/>
      <c r="K36" s="54"/>
    </row>
    <row r="37" spans="1:11" x14ac:dyDescent="0.25">
      <c r="A37" s="1" t="s">
        <v>329</v>
      </c>
      <c r="C37" s="1"/>
      <c r="D37" s="6">
        <f>36886591+11033253+20166923</f>
        <v>68086767</v>
      </c>
      <c r="E37" s="6">
        <f>3336979+2124861+9074899</f>
        <v>14536739</v>
      </c>
      <c r="F37" s="6">
        <v>4994935</v>
      </c>
      <c r="G37" s="6">
        <v>77873660</v>
      </c>
      <c r="H37" s="6">
        <v>1918654</v>
      </c>
      <c r="I37" s="6">
        <f>7585390+6447122+5663626</f>
        <v>19696138</v>
      </c>
      <c r="J37" s="3">
        <f>SUM(D37:I37)</f>
        <v>187106893</v>
      </c>
      <c r="K37" s="54">
        <f>-J37+187106893</f>
        <v>0</v>
      </c>
    </row>
    <row r="38" spans="1:11" x14ac:dyDescent="0.25">
      <c r="C38" s="1"/>
      <c r="D38" s="6"/>
      <c r="E38" s="6"/>
      <c r="F38" s="6"/>
      <c r="G38" s="6"/>
      <c r="H38" s="6"/>
      <c r="I38" s="6"/>
      <c r="J38" s="3">
        <f>SUM(D38:I38)</f>
        <v>0</v>
      </c>
      <c r="K38" s="54"/>
    </row>
    <row r="39" spans="1:11" ht="13.2" thickBot="1" x14ac:dyDescent="0.3">
      <c r="C39" s="1"/>
      <c r="D39" s="15">
        <f t="shared" ref="D39:J39" si="4">SUM(D37:D38)</f>
        <v>68086767</v>
      </c>
      <c r="E39" s="15">
        <f t="shared" si="4"/>
        <v>14536739</v>
      </c>
      <c r="F39" s="15">
        <f t="shared" si="4"/>
        <v>4994935</v>
      </c>
      <c r="G39" s="15">
        <f t="shared" si="4"/>
        <v>77873660</v>
      </c>
      <c r="H39" s="15">
        <f t="shared" si="4"/>
        <v>1918654</v>
      </c>
      <c r="I39" s="15">
        <f t="shared" si="4"/>
        <v>19696138</v>
      </c>
      <c r="J39" s="15">
        <f t="shared" si="4"/>
        <v>187106893</v>
      </c>
      <c r="K39" s="86"/>
    </row>
    <row r="40" spans="1:11" ht="13.2" thickTop="1" x14ac:dyDescent="0.25">
      <c r="C40" s="1"/>
      <c r="D40" s="1"/>
      <c r="E40" s="1"/>
      <c r="F40" s="1"/>
      <c r="G40" s="1"/>
      <c r="H40" s="1"/>
      <c r="I40" s="1"/>
      <c r="J40" s="1"/>
    </row>
    <row r="42" spans="1:11" x14ac:dyDescent="0.25">
      <c r="I42" t="s">
        <v>320</v>
      </c>
    </row>
    <row r="43" spans="1:11" x14ac:dyDescent="0.25">
      <c r="I43" t="s">
        <v>1</v>
      </c>
      <c r="J43" s="54">
        <f>SUM(J16,J28,J30,J32,J34,J39)</f>
        <v>2100788722</v>
      </c>
    </row>
    <row r="44" spans="1:11" x14ac:dyDescent="0.25">
      <c r="I44" t="s">
        <v>318</v>
      </c>
      <c r="J44" s="116">
        <v>1978299894</v>
      </c>
    </row>
    <row r="45" spans="1:11" x14ac:dyDescent="0.25">
      <c r="I45" t="s">
        <v>319</v>
      </c>
      <c r="J45" s="116">
        <v>122488828</v>
      </c>
    </row>
    <row r="46" spans="1:11" x14ac:dyDescent="0.25">
      <c r="I46" t="s">
        <v>317</v>
      </c>
      <c r="J46" s="54">
        <f>J43-J44-J45</f>
        <v>0</v>
      </c>
    </row>
  </sheetData>
  <pageMargins left="0.2" right="0.2" top="0.75" bottom="0.75" header="0.3" footer="0.3"/>
  <pageSetup scale="82" orientation="portrait" r:id="rId1"/>
  <headerFooter>
    <oddFooter>&amp;L&amp;F
&amp;A&amp;RPrepared By: Jeanne Pluth
Date: January 23, 2015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42"/>
  <sheetViews>
    <sheetView showZeros="0" showOutlineSymbols="0" workbookViewId="0">
      <pane xSplit="3" ySplit="9" topLeftCell="D19" activePane="bottomRight" state="frozen"/>
      <selection pane="topRight"/>
      <selection pane="bottomLeft"/>
      <selection pane="bottomRight" activeCell="E34" sqref="E34"/>
    </sheetView>
  </sheetViews>
  <sheetFormatPr defaultColWidth="9.6640625" defaultRowHeight="12.6" x14ac:dyDescent="0.25"/>
  <cols>
    <col min="1" max="1" width="1.6640625" customWidth="1"/>
    <col min="2" max="2" width="15.6640625" customWidth="1"/>
    <col min="3" max="3" width="16.44140625" customWidth="1"/>
    <col min="4" max="10" width="13.6640625" customWidth="1"/>
  </cols>
  <sheetData>
    <row r="1" spans="1:10" x14ac:dyDescent="0.25">
      <c r="A1" s="1" t="str">
        <f>Notes!A1</f>
        <v>Avista Utilities</v>
      </c>
      <c r="B1" s="1"/>
      <c r="C1" s="1"/>
      <c r="D1" s="1"/>
      <c r="E1" s="76"/>
      <c r="F1" s="1"/>
      <c r="G1" s="1"/>
      <c r="H1" s="1"/>
      <c r="I1" s="1"/>
      <c r="J1" s="56"/>
    </row>
    <row r="2" spans="1:10" x14ac:dyDescent="0.25">
      <c r="A2" s="3" t="s">
        <v>39</v>
      </c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29" t="str">
        <f>Notes!A5</f>
        <v>Balances at December 31, 2019</v>
      </c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6" spans="1:10" x14ac:dyDescent="0.25">
      <c r="A6" s="1"/>
      <c r="B6" s="1"/>
      <c r="C6" s="1"/>
      <c r="D6" s="1"/>
      <c r="E6" s="1"/>
      <c r="F6" s="1"/>
      <c r="G6" s="9" t="s">
        <v>40</v>
      </c>
      <c r="H6" s="9" t="s">
        <v>40</v>
      </c>
      <c r="I6" s="1"/>
      <c r="J6" s="1"/>
    </row>
    <row r="7" spans="1:10" x14ac:dyDescent="0.25">
      <c r="A7" s="1"/>
      <c r="B7" s="1"/>
      <c r="C7" s="1"/>
      <c r="D7" s="1"/>
      <c r="E7" s="1"/>
      <c r="F7" s="1"/>
      <c r="G7" s="9" t="s">
        <v>41</v>
      </c>
      <c r="H7" s="9" t="s">
        <v>209</v>
      </c>
      <c r="I7" s="9" t="s">
        <v>40</v>
      </c>
      <c r="J7" s="1"/>
    </row>
    <row r="8" spans="1:10" x14ac:dyDescent="0.25">
      <c r="A8" s="1"/>
      <c r="B8" s="1"/>
      <c r="C8" s="1"/>
      <c r="D8" s="9" t="s">
        <v>2</v>
      </c>
      <c r="E8" s="9" t="s">
        <v>199</v>
      </c>
      <c r="F8" s="9" t="s">
        <v>208</v>
      </c>
      <c r="G8" s="9" t="str">
        <f>+E8</f>
        <v>Gas North</v>
      </c>
      <c r="H8" s="9" t="str">
        <f>+F8</f>
        <v>Oregon Gas</v>
      </c>
      <c r="I8" s="9" t="s">
        <v>42</v>
      </c>
      <c r="J8" s="9" t="s">
        <v>1</v>
      </c>
    </row>
    <row r="9" spans="1:10" x14ac:dyDescent="0.25">
      <c r="A9" s="1"/>
      <c r="B9" s="1"/>
      <c r="C9" s="1"/>
      <c r="D9" s="1"/>
      <c r="E9" s="1"/>
      <c r="F9" s="1"/>
      <c r="G9" s="8" t="s">
        <v>210</v>
      </c>
      <c r="H9" s="8" t="s">
        <v>211</v>
      </c>
      <c r="I9" s="8" t="s">
        <v>212</v>
      </c>
      <c r="J9" s="1"/>
    </row>
    <row r="10" spans="1:10" x14ac:dyDescent="0.25">
      <c r="A10" s="3" t="s">
        <v>43</v>
      </c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3" t="s">
        <v>214</v>
      </c>
      <c r="C11" s="1"/>
      <c r="D11" s="3">
        <f>'UtilityPlt-2019'!D14</f>
        <v>85533426</v>
      </c>
      <c r="E11" s="3">
        <f>'UtilityPlt-2019'!E14</f>
        <v>0</v>
      </c>
      <c r="F11" s="3">
        <f>'UtilityPlt-2019'!$F14</f>
        <v>0</v>
      </c>
      <c r="G11" s="3">
        <f>'UtilityPlt-2019'!I14</f>
        <v>0</v>
      </c>
      <c r="H11" s="3">
        <f>'UtilityPlt-2019'!H14</f>
        <v>0</v>
      </c>
      <c r="I11" s="3">
        <f>'UtilityPlt-2019'!G14</f>
        <v>0</v>
      </c>
      <c r="J11" s="3">
        <f t="shared" ref="J11:J17" si="0">SUM(D11:I11)</f>
        <v>85533426</v>
      </c>
    </row>
    <row r="12" spans="1:10" x14ac:dyDescent="0.25">
      <c r="A12" s="1"/>
      <c r="B12" s="3" t="s">
        <v>213</v>
      </c>
      <c r="C12" s="1"/>
      <c r="D12" s="3">
        <f>'UtilityPlt-2019'!D48</f>
        <v>25435399</v>
      </c>
      <c r="E12" s="3">
        <f>'UtilityPlt-2019'!E48</f>
        <v>1794115</v>
      </c>
      <c r="F12" s="3">
        <f>'UtilityPlt-2019'!F48</f>
        <v>406156</v>
      </c>
      <c r="G12" s="3">
        <f>'UtilityPlt-2019'!I48</f>
        <v>19357409</v>
      </c>
      <c r="H12" s="3">
        <f>'UtilityPlt-2019'!H48</f>
        <v>564045</v>
      </c>
      <c r="I12" s="3">
        <f>'UtilityPlt-2019'!G48</f>
        <v>254775186</v>
      </c>
      <c r="J12" s="3">
        <f t="shared" si="0"/>
        <v>302332310</v>
      </c>
    </row>
    <row r="13" spans="1:10" x14ac:dyDescent="0.25">
      <c r="A13" s="1"/>
      <c r="B13" s="3" t="s">
        <v>44</v>
      </c>
      <c r="C13" s="1"/>
      <c r="D13" s="3">
        <f>'UtilityPlt-2019'!D19</f>
        <v>1424570387</v>
      </c>
      <c r="E13" s="3">
        <f>'UtilityPlt-2019'!E19</f>
        <v>0</v>
      </c>
      <c r="F13" s="3">
        <f>'UtilityPlt-2019'!F19</f>
        <v>7628</v>
      </c>
      <c r="G13" s="3">
        <f>'UtilityPlt-2019'!I19</f>
        <v>0</v>
      </c>
      <c r="H13" s="3">
        <f>'UtilityPlt-2019'!H19</f>
        <v>0</v>
      </c>
      <c r="I13" s="3">
        <f>'UtilityPlt-2019'!G19</f>
        <v>0</v>
      </c>
      <c r="J13" s="3">
        <f t="shared" si="0"/>
        <v>1424578015</v>
      </c>
    </row>
    <row r="14" spans="1:10" x14ac:dyDescent="0.25">
      <c r="A14" s="1"/>
      <c r="B14" s="3" t="s">
        <v>45</v>
      </c>
      <c r="C14" s="1"/>
      <c r="D14" s="3">
        <f>'UtilityPlt-2019'!D21</f>
        <v>804375656</v>
      </c>
      <c r="E14" s="3">
        <f>'UtilityPlt-2019'!E21</f>
        <v>0</v>
      </c>
      <c r="F14" s="3">
        <f>'UtilityPlt-2019'!F21</f>
        <v>0</v>
      </c>
      <c r="G14" s="3">
        <f>'UtilityPlt-2019'!I21</f>
        <v>0</v>
      </c>
      <c r="H14" s="3">
        <f>'UtilityPlt-2019'!H21</f>
        <v>0</v>
      </c>
      <c r="I14" s="3">
        <f>'UtilityPlt-2019'!G21</f>
        <v>0</v>
      </c>
      <c r="J14" s="3">
        <f t="shared" si="0"/>
        <v>804375656</v>
      </c>
    </row>
    <row r="15" spans="1:10" x14ac:dyDescent="0.25">
      <c r="A15" s="1"/>
      <c r="B15" s="3" t="s">
        <v>38</v>
      </c>
      <c r="C15" s="1"/>
      <c r="D15" s="3">
        <f>'UtilityPlt-2019'!D23</f>
        <v>0</v>
      </c>
      <c r="E15" s="3">
        <f>'UtilityPlt-2019'!E23</f>
        <v>44237870</v>
      </c>
      <c r="F15" s="3">
        <f>'UtilityPlt-2019'!F23</f>
        <v>6813975</v>
      </c>
      <c r="G15" s="3">
        <f>'UtilityPlt-2019'!I23</f>
        <v>0</v>
      </c>
      <c r="H15" s="3">
        <f>'UtilityPlt-2019'!H23</f>
        <v>0</v>
      </c>
      <c r="I15" s="3"/>
      <c r="J15" s="3">
        <f t="shared" si="0"/>
        <v>51051845</v>
      </c>
    </row>
    <row r="16" spans="1:10" x14ac:dyDescent="0.25">
      <c r="A16" s="1"/>
      <c r="B16" s="3" t="s">
        <v>46</v>
      </c>
      <c r="C16" s="1"/>
      <c r="D16" s="3">
        <f>'UtilityPlt-2019'!D25</f>
        <v>1856699453</v>
      </c>
      <c r="E16" s="3">
        <f>'UtilityPlt-2019'!E25</f>
        <v>785519061</v>
      </c>
      <c r="F16" s="3">
        <f>'UtilityPlt-2019'!F25</f>
        <v>421871941</v>
      </c>
      <c r="G16" s="3">
        <f>'UtilityPlt-2019'!I25</f>
        <v>0</v>
      </c>
      <c r="H16" s="3">
        <f>'UtilityPlt-2019'!H25</f>
        <v>0</v>
      </c>
      <c r="I16" s="3">
        <f>'UtilityPlt-2019'!G25</f>
        <v>0</v>
      </c>
      <c r="J16" s="3">
        <f t="shared" si="0"/>
        <v>3064090455</v>
      </c>
    </row>
    <row r="17" spans="1:11" x14ac:dyDescent="0.25">
      <c r="A17" s="1"/>
      <c r="B17" s="3" t="s">
        <v>47</v>
      </c>
      <c r="C17" s="1"/>
      <c r="D17" s="18">
        <f>'UtilityPlt-2019'!D39</f>
        <v>149515735</v>
      </c>
      <c r="E17" s="18">
        <f>'UtilityPlt-2019'!E39</f>
        <v>52123037</v>
      </c>
      <c r="F17" s="18">
        <f>'UtilityPlt-2019'!F39</f>
        <v>11035575</v>
      </c>
      <c r="G17" s="18">
        <f>'UtilityPlt-2019'!I39</f>
        <v>68147497</v>
      </c>
      <c r="H17" s="3">
        <f>'UtilityPlt-2019'!H39</f>
        <v>6034023</v>
      </c>
      <c r="I17" s="3">
        <f>'UtilityPlt-2019'!G39</f>
        <v>309717960</v>
      </c>
      <c r="J17" s="3">
        <f t="shared" si="0"/>
        <v>596573827</v>
      </c>
      <c r="K17" s="1"/>
    </row>
    <row r="18" spans="1:11" x14ac:dyDescent="0.25">
      <c r="A18" s="1"/>
      <c r="B18" s="3" t="s">
        <v>48</v>
      </c>
      <c r="C18" s="1"/>
      <c r="D18" s="22">
        <f t="shared" ref="D18:J18" si="1">SUM(D11:D17)</f>
        <v>4346130056</v>
      </c>
      <c r="E18" s="22">
        <f t="shared" si="1"/>
        <v>883674083</v>
      </c>
      <c r="F18" s="22">
        <f t="shared" si="1"/>
        <v>440135275</v>
      </c>
      <c r="G18" s="22">
        <f t="shared" si="1"/>
        <v>87504906</v>
      </c>
      <c r="H18" s="22">
        <f t="shared" si="1"/>
        <v>6598068</v>
      </c>
      <c r="I18" s="22">
        <f t="shared" si="1"/>
        <v>564493146</v>
      </c>
      <c r="J18" s="22">
        <f t="shared" si="1"/>
        <v>6328535534</v>
      </c>
      <c r="K18" s="1"/>
    </row>
    <row r="19" spans="1:11" x14ac:dyDescent="0.25">
      <c r="D19" s="3">
        <f>+D18-'UtilityPlt-2019'!D14-'UtilityPlt-2019'!D19-'UtilityPlt-2019'!D21-'UtilityPlt-2019'!D23-'UtilityPlt-2019'!D25-'UtilityPlt-2019'!D39-'UtilityPlt-2019'!D48</f>
        <v>0</v>
      </c>
      <c r="E19" s="3">
        <f>+E18-'UtilityPlt-2019'!E14-'UtilityPlt-2019'!E19-'UtilityPlt-2019'!E21-'UtilityPlt-2019'!E23-'UtilityPlt-2019'!E25-'UtilityPlt-2019'!E39-'UtilityPlt-2019'!E48</f>
        <v>0</v>
      </c>
      <c r="F19" s="3">
        <f>+F18-'UtilityPlt-2019'!F14-'UtilityPlt-2019'!F19-'UtilityPlt-2019'!F21-'UtilityPlt-2019'!F23-'UtilityPlt-2019'!F25-'UtilityPlt-2019'!F39-'UtilityPlt-2019'!F48</f>
        <v>0</v>
      </c>
      <c r="G19" s="3">
        <f>+G18-'UtilityPlt-2019'!I14-'UtilityPlt-2019'!I19-'UtilityPlt-2019'!I21-'UtilityPlt-2019'!I23-'UtilityPlt-2019'!I25-'UtilityPlt-2019'!I39-'UtilityPlt-2019'!I48</f>
        <v>0</v>
      </c>
      <c r="H19" s="3">
        <f>+H18-'UtilityPlt-2019'!H14-'UtilityPlt-2019'!H19-'UtilityPlt-2019'!H21-'UtilityPlt-2019'!H23-'UtilityPlt-2019'!H25-'UtilityPlt-2019'!H39-'UtilityPlt-2019'!H48</f>
        <v>0</v>
      </c>
      <c r="I19" s="3">
        <f>+I18-'UtilityPlt-2019'!G14-'UtilityPlt-2019'!G19-'UtilityPlt-2019'!G21-'UtilityPlt-2019'!G23-'UtilityPlt-2019'!G25-'UtilityPlt-2019'!G39-'UtilityPlt-2019'!G48</f>
        <v>0</v>
      </c>
      <c r="J19" s="3">
        <f>+J18-'UtilityPlt-2019'!J14-'UtilityPlt-2019'!J19-'UtilityPlt-2019'!J21-'UtilityPlt-2019'!J23-'UtilityPlt-2019'!J25-'UtilityPlt-2019'!J39-'UtilityPlt-2019'!J48</f>
        <v>0</v>
      </c>
    </row>
    <row r="20" spans="1:11" x14ac:dyDescent="0.25">
      <c r="A20" s="3" t="s">
        <v>49</v>
      </c>
      <c r="B20" s="1"/>
      <c r="C20" s="1"/>
      <c r="D20" s="3"/>
      <c r="E20" s="3"/>
      <c r="F20" s="3"/>
      <c r="G20" s="3"/>
      <c r="H20" s="3"/>
      <c r="I20" s="3"/>
      <c r="J20" s="3"/>
      <c r="K20" s="1"/>
    </row>
    <row r="21" spans="1:11" x14ac:dyDescent="0.25">
      <c r="A21" s="1"/>
      <c r="B21" s="3" t="s">
        <v>214</v>
      </c>
      <c r="C21" s="1"/>
      <c r="D21" s="3">
        <f>'UtilityAccDep-2019'!D16</f>
        <v>21223696</v>
      </c>
      <c r="E21" s="3">
        <f>'UtilityAccDep-2019'!E16</f>
        <v>356119</v>
      </c>
      <c r="F21" s="3">
        <f>'UtilityAccDep-2019'!F16</f>
        <v>101267</v>
      </c>
      <c r="G21" s="3">
        <f>'UtilityAccDep-2019'!I16</f>
        <v>4795429</v>
      </c>
      <c r="H21" s="3">
        <f>'UtilityAccDep-2019'!H16</f>
        <v>505147</v>
      </c>
      <c r="I21" s="3">
        <f>'UtilityAccDep-2019'!G16</f>
        <v>95507170</v>
      </c>
      <c r="J21" s="3">
        <f t="shared" ref="J21:J28" si="2">SUM(D21:I21)</f>
        <v>122488828</v>
      </c>
      <c r="K21" s="1"/>
    </row>
    <row r="22" spans="1:11" x14ac:dyDescent="0.25">
      <c r="A22" s="1"/>
      <c r="B22" s="3" t="s">
        <v>213</v>
      </c>
      <c r="C22" s="1"/>
      <c r="D22" s="3">
        <f>SUM('UtilityAccDep-2019'!D19)</f>
        <v>0</v>
      </c>
      <c r="E22" s="3">
        <f>SUM('UtilityAccDep-2019'!E19)</f>
        <v>0</v>
      </c>
      <c r="F22" s="3">
        <f>SUM('UtilityAccDep-2019'!F19)</f>
        <v>0</v>
      </c>
      <c r="G22" s="3">
        <f>SUM('UtilityAccDep-2019'!I19)</f>
        <v>0</v>
      </c>
      <c r="H22" s="3">
        <f>SUM('UtilityAccDep-2019'!H19)</f>
        <v>0</v>
      </c>
      <c r="I22" s="3">
        <f>SUM('UtilityAccDep-2019'!G19)</f>
        <v>0</v>
      </c>
      <c r="J22" s="3">
        <f t="shared" si="2"/>
        <v>0</v>
      </c>
      <c r="K22" s="1"/>
    </row>
    <row r="23" spans="1:11" x14ac:dyDescent="0.25">
      <c r="A23" s="1"/>
      <c r="B23" s="3" t="s">
        <v>35</v>
      </c>
      <c r="C23" s="1"/>
      <c r="D23" s="3">
        <f>'UtilityAccDep-2019'!D20</f>
        <v>0</v>
      </c>
      <c r="E23" s="3">
        <f>'UtilityAccDep-2019'!E20</f>
        <v>0</v>
      </c>
      <c r="F23" s="3">
        <f>'UtilityAccDep-2019'!F20</f>
        <v>0</v>
      </c>
      <c r="G23" s="3">
        <f>'UtilityAccDep-2019'!I20</f>
        <v>0</v>
      </c>
      <c r="H23" s="3">
        <f>'UtilityAccDep-2019'!H20</f>
        <v>0</v>
      </c>
      <c r="I23" s="3">
        <f>'UtilityAccDep-2019'!G20</f>
        <v>0</v>
      </c>
      <c r="J23" s="3">
        <f t="shared" si="2"/>
        <v>0</v>
      </c>
      <c r="K23" s="3"/>
    </row>
    <row r="24" spans="1:11" x14ac:dyDescent="0.25">
      <c r="A24" s="1"/>
      <c r="B24" s="3" t="s">
        <v>44</v>
      </c>
      <c r="C24" s="1"/>
      <c r="D24" s="3">
        <f>'UtilityAccDep-2019'!D28</f>
        <v>597660910</v>
      </c>
      <c r="E24" s="3">
        <f>'UtilityAccDep-2019'!E28</f>
        <v>0</v>
      </c>
      <c r="F24" s="3">
        <f>'UtilityAccDep-2019'!F28</f>
        <v>0</v>
      </c>
      <c r="G24" s="3">
        <f>'UtilityAccDep-2019'!I28</f>
        <v>0</v>
      </c>
      <c r="H24" s="3">
        <f>'UtilityAccDep-2019'!H28</f>
        <v>0</v>
      </c>
      <c r="I24" s="3">
        <f>'UtilityAccDep-2019'!G28</f>
        <v>0</v>
      </c>
      <c r="J24" s="3">
        <f t="shared" si="2"/>
        <v>597660910</v>
      </c>
      <c r="K24" s="1"/>
    </row>
    <row r="25" spans="1:11" x14ac:dyDescent="0.25">
      <c r="A25" s="1"/>
      <c r="B25" s="3" t="s">
        <v>45</v>
      </c>
      <c r="C25" s="1"/>
      <c r="D25" s="3">
        <f>'UtilityAccDep-2019'!D30</f>
        <v>230357757</v>
      </c>
      <c r="E25" s="3">
        <f>'UtilityAccDep-2019'!E30</f>
        <v>0</v>
      </c>
      <c r="F25" s="3">
        <f>'UtilityAccDep-2019'!F30</f>
        <v>0</v>
      </c>
      <c r="G25" s="3">
        <f>'UtilityAccDep-2019'!I30</f>
        <v>0</v>
      </c>
      <c r="H25" s="3">
        <f>'UtilityAccDep-2019'!H30</f>
        <v>0</v>
      </c>
      <c r="I25" s="3">
        <f>'UtilityAccDep-2019'!G30</f>
        <v>0</v>
      </c>
      <c r="J25" s="3">
        <f t="shared" si="2"/>
        <v>230357757</v>
      </c>
      <c r="K25" s="1"/>
    </row>
    <row r="26" spans="1:11" x14ac:dyDescent="0.25">
      <c r="A26" s="1"/>
      <c r="B26" s="3" t="s">
        <v>38</v>
      </c>
      <c r="C26" s="1"/>
      <c r="D26" s="3">
        <f>'UtilityAccDep-2019'!D32</f>
        <v>0</v>
      </c>
      <c r="E26" s="3">
        <f>'UtilityAccDep-2019'!E32</f>
        <v>17164639</v>
      </c>
      <c r="F26" s="3">
        <f>'UtilityAccDep-2019'!F32</f>
        <v>1278494</v>
      </c>
      <c r="G26" s="3">
        <f>'UtilityAccDep-2019'!I32</f>
        <v>0</v>
      </c>
      <c r="H26" s="3">
        <f>'UtilityAccDep-2019'!H32</f>
        <v>0</v>
      </c>
      <c r="I26" s="3">
        <f>'UtilityAccDep-2019'!G32</f>
        <v>0</v>
      </c>
      <c r="J26" s="3">
        <f t="shared" si="2"/>
        <v>18443133</v>
      </c>
      <c r="K26" s="1"/>
    </row>
    <row r="27" spans="1:11" x14ac:dyDescent="0.25">
      <c r="A27" s="1"/>
      <c r="B27" s="3" t="s">
        <v>46</v>
      </c>
      <c r="C27" s="1"/>
      <c r="D27" s="3">
        <f>'UtilityAccDep-2019'!D34</f>
        <v>591578902</v>
      </c>
      <c r="E27" s="3">
        <f>'UtilityAccDep-2019'!E34</f>
        <v>234842791</v>
      </c>
      <c r="F27" s="3">
        <f>'UtilityAccDep-2019'!F34</f>
        <v>118309508</v>
      </c>
      <c r="G27" s="3">
        <f>'UtilityAccDep-2019'!I34</f>
        <v>0</v>
      </c>
      <c r="H27" s="3">
        <f>'UtilityAccDep-2019'!H34</f>
        <v>0</v>
      </c>
      <c r="I27" s="3">
        <f>'UtilityAccDep-2019'!G34</f>
        <v>0</v>
      </c>
      <c r="J27" s="3">
        <f t="shared" si="2"/>
        <v>944731201</v>
      </c>
      <c r="K27" s="1"/>
    </row>
    <row r="28" spans="1:11" x14ac:dyDescent="0.25">
      <c r="A28" s="1"/>
      <c r="B28" s="3" t="s">
        <v>50</v>
      </c>
      <c r="C28" s="1"/>
      <c r="D28" s="18">
        <f>'UtilityAccDep-2019'!D39</f>
        <v>68086767</v>
      </c>
      <c r="E28" s="18">
        <f>'UtilityAccDep-2019'!E39</f>
        <v>14536739</v>
      </c>
      <c r="F28" s="18">
        <f>'UtilityAccDep-2019'!F39</f>
        <v>4994935</v>
      </c>
      <c r="G28" s="18">
        <f>'UtilityAccDep-2019'!I39</f>
        <v>19696138</v>
      </c>
      <c r="H28" s="18">
        <f>'UtilityAccDep-2019'!H39</f>
        <v>1918654</v>
      </c>
      <c r="I28" s="18">
        <f>'UtilityAccDep-2019'!G39</f>
        <v>77873660</v>
      </c>
      <c r="J28" s="18">
        <f t="shared" si="2"/>
        <v>187106893</v>
      </c>
      <c r="K28" s="1"/>
    </row>
    <row r="29" spans="1:11" x14ac:dyDescent="0.25">
      <c r="A29" s="1"/>
      <c r="B29" s="3" t="s">
        <v>48</v>
      </c>
      <c r="C29" s="1"/>
      <c r="D29" s="3">
        <f t="shared" ref="D29:J29" si="3">SUM(D21:D28)</f>
        <v>1508908032</v>
      </c>
      <c r="E29" s="3">
        <f t="shared" si="3"/>
        <v>266900288</v>
      </c>
      <c r="F29" s="3">
        <f t="shared" si="3"/>
        <v>124684204</v>
      </c>
      <c r="G29" s="3">
        <f t="shared" si="3"/>
        <v>24491567</v>
      </c>
      <c r="H29" s="3">
        <f t="shared" si="3"/>
        <v>2423801</v>
      </c>
      <c r="I29" s="3">
        <f t="shared" si="3"/>
        <v>173380830</v>
      </c>
      <c r="J29" s="3">
        <f t="shared" si="3"/>
        <v>2100788722</v>
      </c>
      <c r="K29" s="1"/>
    </row>
    <row r="30" spans="1:11" x14ac:dyDescent="0.25">
      <c r="A30" s="1"/>
      <c r="B30" s="1"/>
      <c r="C30" s="1"/>
      <c r="D30" s="3">
        <f>+D29-'UtilityAccDep-2019'!D16-'UtilityAccDep-2019'!D21-'UtilityAccDep-2019'!D28-'UtilityAccDep-2019'!D30-'UtilityAccDep-2019'!D32-'UtilityAccDep-2019'!D34-'UtilityAccDep-2019'!D39</f>
        <v>0</v>
      </c>
      <c r="E30" s="3">
        <f>+E29-'UtilityAccDep-2019'!E16-'UtilityAccDep-2019'!E21-'UtilityAccDep-2019'!E28-'UtilityAccDep-2019'!E30-'UtilityAccDep-2019'!E32-'UtilityAccDep-2019'!E34-'UtilityAccDep-2019'!E39</f>
        <v>0</v>
      </c>
      <c r="F30" s="3">
        <f>+F29-'UtilityAccDep-2019'!F16-'UtilityAccDep-2019'!F21-'UtilityAccDep-2019'!F28-'UtilityAccDep-2019'!F30-'UtilityAccDep-2019'!F32-'UtilityAccDep-2019'!F34-'UtilityAccDep-2019'!F39</f>
        <v>0</v>
      </c>
      <c r="G30" s="3">
        <f>+G29-'UtilityAccDep-2019'!I16-'UtilityAccDep-2019'!I21-'UtilityAccDep-2019'!I28-'UtilityAccDep-2019'!I30-'UtilityAccDep-2019'!I32-'UtilityAccDep-2019'!I34-'UtilityAccDep-2019'!I39</f>
        <v>0</v>
      </c>
      <c r="H30" s="3">
        <f>+H29-'UtilityAccDep-2019'!H16-'UtilityAccDep-2019'!H21-'UtilityAccDep-2019'!H28-'UtilityAccDep-2019'!H30-'UtilityAccDep-2019'!H32-'UtilityAccDep-2019'!H34-'UtilityAccDep-2019'!H39</f>
        <v>0</v>
      </c>
      <c r="I30" s="3">
        <f>+I29-'UtilityAccDep-2019'!G16-'UtilityAccDep-2019'!G21-'UtilityAccDep-2019'!G28-'UtilityAccDep-2019'!G30-'UtilityAccDep-2019'!G32-'UtilityAccDep-2019'!G34-'UtilityAccDep-2019'!G39</f>
        <v>0</v>
      </c>
      <c r="J30" s="3">
        <f>+J29-'UtilityAccDep-2019'!J16-'UtilityAccDep-2019'!J21-'UtilityAccDep-2019'!J28-'UtilityAccDep-2019'!J30-'UtilityAccDep-2019'!J32-'UtilityAccDep-2019'!J34-'UtilityAccDep-2019'!J39</f>
        <v>0</v>
      </c>
      <c r="K30" s="1"/>
    </row>
    <row r="31" spans="1:11" x14ac:dyDescent="0.25">
      <c r="A31" s="3" t="s">
        <v>75</v>
      </c>
      <c r="B31" s="1"/>
      <c r="C31" s="1"/>
      <c r="D31" s="3">
        <f t="shared" ref="D31:J31" si="4">D18-D29</f>
        <v>2837222024</v>
      </c>
      <c r="E31" s="3">
        <f t="shared" si="4"/>
        <v>616773795</v>
      </c>
      <c r="F31" s="3">
        <f t="shared" si="4"/>
        <v>315451071</v>
      </c>
      <c r="G31" s="3">
        <f t="shared" si="4"/>
        <v>63013339</v>
      </c>
      <c r="H31" s="3">
        <f t="shared" si="4"/>
        <v>4174267</v>
      </c>
      <c r="I31" s="3">
        <f t="shared" si="4"/>
        <v>391112316</v>
      </c>
      <c r="J31" s="3">
        <f t="shared" si="4"/>
        <v>4227746812</v>
      </c>
      <c r="K31" s="1"/>
    </row>
    <row r="32" spans="1:11" x14ac:dyDescent="0.25">
      <c r="E32" s="3"/>
      <c r="F32" s="3"/>
      <c r="G32" s="3"/>
      <c r="H32" s="3"/>
      <c r="I32" s="3"/>
      <c r="J32" s="3"/>
    </row>
    <row r="33" spans="1:10" x14ac:dyDescent="0.25">
      <c r="A33" s="3" t="s">
        <v>51</v>
      </c>
      <c r="B33" s="1"/>
      <c r="C33" s="1"/>
      <c r="D33" s="3"/>
      <c r="E33" s="3"/>
      <c r="F33" s="3"/>
      <c r="G33" s="3"/>
      <c r="H33" s="3"/>
      <c r="I33" s="3"/>
      <c r="J33" s="3"/>
    </row>
    <row r="34" spans="1:10" x14ac:dyDescent="0.25">
      <c r="A34" s="1"/>
      <c r="B34" s="3" t="s">
        <v>215</v>
      </c>
      <c r="C34" s="1"/>
      <c r="D34" s="42">
        <f>'9-2019'!D40</f>
        <v>0.77317999999999998</v>
      </c>
      <c r="E34" s="42">
        <f>'9-2019'!E40</f>
        <v>0.22681999999999999</v>
      </c>
      <c r="F34" s="3"/>
      <c r="G34" s="3"/>
      <c r="H34" s="3"/>
      <c r="I34" s="3"/>
      <c r="J34" s="3"/>
    </row>
    <row r="35" spans="1:10" x14ac:dyDescent="0.25">
      <c r="A35" s="1"/>
      <c r="B35" s="3" t="s">
        <v>52</v>
      </c>
      <c r="C35" s="1"/>
      <c r="D35" s="3">
        <f>ROUND(+D34*G31,0)</f>
        <v>48720653</v>
      </c>
      <c r="E35" s="3">
        <f>ROUND(+E34*G31,0)</f>
        <v>14292686</v>
      </c>
      <c r="F35" s="3"/>
      <c r="G35" s="3">
        <f>-D35-E35</f>
        <v>-63013339</v>
      </c>
      <c r="H35" s="3"/>
      <c r="I35" s="3"/>
      <c r="J35" s="3">
        <f>SUM(D35:I35)</f>
        <v>0</v>
      </c>
    </row>
    <row r="36" spans="1:10" x14ac:dyDescent="0.25">
      <c r="D36" s="3"/>
      <c r="E36" s="3"/>
      <c r="F36" s="3"/>
      <c r="G36" s="3"/>
      <c r="H36" s="3"/>
      <c r="I36" s="3"/>
      <c r="J36" s="3"/>
    </row>
    <row r="37" spans="1:10" x14ac:dyDescent="0.25">
      <c r="A37" s="3" t="s">
        <v>216</v>
      </c>
      <c r="B37" s="1"/>
      <c r="C37" s="1"/>
      <c r="D37" s="3"/>
      <c r="E37" s="3"/>
      <c r="F37" s="3"/>
      <c r="G37" s="3"/>
      <c r="H37" s="3"/>
      <c r="I37" s="3"/>
      <c r="J37" s="3"/>
    </row>
    <row r="38" spans="1:10" x14ac:dyDescent="0.25">
      <c r="A38" s="1"/>
      <c r="B38" s="3" t="s">
        <v>338</v>
      </c>
      <c r="C38" s="1"/>
      <c r="D38" s="3"/>
      <c r="E38" s="42">
        <f>'8-2019'!E38</f>
        <v>0.69032000000000004</v>
      </c>
      <c r="F38" s="42">
        <f>'8-2019'!F38</f>
        <v>0.30968000000000001</v>
      </c>
      <c r="G38" s="3"/>
      <c r="H38" s="3"/>
      <c r="I38" s="3"/>
      <c r="J38" s="3"/>
    </row>
    <row r="39" spans="1:10" x14ac:dyDescent="0.25">
      <c r="A39" s="1"/>
      <c r="B39" s="3" t="s">
        <v>52</v>
      </c>
      <c r="C39" s="1"/>
      <c r="D39" s="3"/>
      <c r="E39" s="53">
        <f>ROUND(+E38*H31,0)</f>
        <v>2881580</v>
      </c>
      <c r="F39" s="3">
        <f>ROUND(+F38*H31,0)</f>
        <v>1292687</v>
      </c>
      <c r="G39" s="3"/>
      <c r="H39" s="3">
        <f>-E39-F39</f>
        <v>-4174267</v>
      </c>
      <c r="I39" s="3"/>
      <c r="J39" s="3">
        <f>SUM(D39:I39)</f>
        <v>0</v>
      </c>
    </row>
    <row r="40" spans="1:10" x14ac:dyDescent="0.25">
      <c r="D40" s="3"/>
      <c r="E40" s="3"/>
      <c r="F40" s="3"/>
      <c r="G40" s="3"/>
      <c r="H40" s="3"/>
      <c r="I40" s="3"/>
      <c r="J40" s="3"/>
    </row>
    <row r="41" spans="1:10" ht="13.2" thickBot="1" x14ac:dyDescent="0.3">
      <c r="A41" s="3" t="s">
        <v>217</v>
      </c>
      <c r="B41" s="1"/>
      <c r="C41" s="1"/>
      <c r="D41" s="15">
        <f t="shared" ref="D41:J41" si="5">D31+D35+D39</f>
        <v>2885942677</v>
      </c>
      <c r="E41" s="15">
        <f t="shared" si="5"/>
        <v>633948061</v>
      </c>
      <c r="F41" s="15">
        <f t="shared" si="5"/>
        <v>316743758</v>
      </c>
      <c r="G41" s="15">
        <f t="shared" si="5"/>
        <v>0</v>
      </c>
      <c r="H41" s="15">
        <f t="shared" si="5"/>
        <v>0</v>
      </c>
      <c r="I41" s="15">
        <f t="shared" si="5"/>
        <v>391112316</v>
      </c>
      <c r="J41" s="15">
        <f t="shared" si="5"/>
        <v>4227746812</v>
      </c>
    </row>
    <row r="42" spans="1:10" ht="13.2" thickTop="1" x14ac:dyDescent="0.25">
      <c r="A42" s="1"/>
      <c r="B42" s="1"/>
      <c r="C42" s="1"/>
      <c r="D42" s="1"/>
      <c r="E42" s="1"/>
      <c r="F42" s="1"/>
      <c r="G42" s="1"/>
      <c r="H42" s="1"/>
      <c r="I42" s="1"/>
      <c r="J42" s="1">
        <f>'UtilityPlt-2019'!J51-'UtilityAccDep-2019'!J43-J41</f>
        <v>0</v>
      </c>
    </row>
  </sheetData>
  <pageMargins left="0.2" right="0.2" top="0.75" bottom="0.75" header="0.3" footer="0.3"/>
  <pageSetup scale="81" orientation="portrait" r:id="rId1"/>
  <headerFooter>
    <oddFooter>&amp;L&amp;F
&amp;A&amp;RPrepared By: Jeanne Pluth
Date: January 23, 2015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FF00"/>
  </sheetPr>
  <dimension ref="A1:O49"/>
  <sheetViews>
    <sheetView showZeros="0" showOutlineSymbols="0" zoomScaleNormal="100" workbookViewId="0">
      <pane xSplit="2" ySplit="8" topLeftCell="C25" activePane="bottomRight" state="frozen"/>
      <selection activeCell="D27" sqref="D27"/>
      <selection pane="topRight" activeCell="D27" sqref="D27"/>
      <selection pane="bottomLeft" activeCell="D27" sqref="D27"/>
      <selection pane="bottomRight" activeCell="D45" sqref="D45"/>
    </sheetView>
  </sheetViews>
  <sheetFormatPr defaultColWidth="9.6640625" defaultRowHeight="12.6" x14ac:dyDescent="0.25"/>
  <cols>
    <col min="1" max="1" width="30.88671875" customWidth="1"/>
    <col min="2" max="2" width="3" hidden="1" customWidth="1"/>
    <col min="3" max="3" width="15.109375" bestFit="1" customWidth="1"/>
    <col min="4" max="4" width="15.88671875" bestFit="1" customWidth="1"/>
    <col min="5" max="5" width="13.88671875" customWidth="1"/>
    <col min="6" max="6" width="14" customWidth="1"/>
    <col min="7" max="7" width="6.21875" bestFit="1" customWidth="1"/>
    <col min="8" max="8" width="1.88671875" customWidth="1"/>
    <col min="9" max="10" width="13.33203125" bestFit="1" customWidth="1"/>
    <col min="11" max="11" width="11.33203125" bestFit="1" customWidth="1"/>
    <col min="12" max="12" width="1" customWidth="1"/>
    <col min="13" max="13" width="13.33203125" bestFit="1" customWidth="1"/>
    <col min="14" max="14" width="13.44140625" bestFit="1" customWidth="1"/>
    <col min="15" max="15" width="12.33203125" bestFit="1" customWidth="1"/>
  </cols>
  <sheetData>
    <row r="1" spans="1:15" x14ac:dyDescent="0.25">
      <c r="A1" s="1" t="str">
        <f>Notes!A1</f>
        <v>Avista Utilities</v>
      </c>
      <c r="B1" s="1"/>
      <c r="C1" s="1"/>
      <c r="D1" s="1"/>
      <c r="E1" s="10"/>
      <c r="F1" s="56"/>
      <c r="G1" s="1"/>
    </row>
    <row r="2" spans="1:15" x14ac:dyDescent="0.25">
      <c r="A2" s="1" t="s">
        <v>198</v>
      </c>
      <c r="B2" s="1"/>
      <c r="C2" s="1"/>
      <c r="D2" s="1"/>
      <c r="E2" s="1"/>
      <c r="F2" s="1"/>
      <c r="G2" s="1"/>
    </row>
    <row r="3" spans="1:15" x14ac:dyDescent="0.25">
      <c r="A3" s="1" t="s">
        <v>53</v>
      </c>
      <c r="B3" s="1"/>
      <c r="C3" s="1"/>
      <c r="D3" s="1"/>
      <c r="E3" s="1"/>
      <c r="F3" s="1"/>
      <c r="G3" s="1"/>
    </row>
    <row r="4" spans="1:15" x14ac:dyDescent="0.25">
      <c r="A4" s="1" t="str">
        <f>Notes!A4</f>
        <v>For the Twelve Months Ended December 31, 2019</v>
      </c>
      <c r="B4" s="1"/>
      <c r="C4" s="1"/>
      <c r="D4" s="1"/>
      <c r="E4" s="1"/>
      <c r="F4" s="1"/>
      <c r="G4" s="1"/>
    </row>
    <row r="5" spans="1:15" x14ac:dyDescent="0.25">
      <c r="A5" s="1"/>
      <c r="B5" s="1"/>
      <c r="C5" s="1"/>
      <c r="D5" s="1"/>
      <c r="E5" s="1"/>
      <c r="F5" s="1"/>
      <c r="G5" s="1"/>
      <c r="I5" s="176" t="s">
        <v>310</v>
      </c>
      <c r="J5" s="176"/>
      <c r="K5" s="176"/>
      <c r="M5" s="176" t="s">
        <v>311</v>
      </c>
      <c r="N5" s="176"/>
      <c r="O5" s="176"/>
    </row>
    <row r="7" spans="1:15" x14ac:dyDescent="0.25">
      <c r="A7" s="1"/>
      <c r="B7" s="23" t="s">
        <v>54</v>
      </c>
      <c r="C7" s="24" t="s">
        <v>1</v>
      </c>
      <c r="D7" s="24" t="s">
        <v>2</v>
      </c>
      <c r="E7" s="24" t="s">
        <v>199</v>
      </c>
      <c r="F7" s="24" t="s">
        <v>172</v>
      </c>
      <c r="G7" s="25" t="s">
        <v>55</v>
      </c>
      <c r="I7" s="24" t="s">
        <v>1</v>
      </c>
      <c r="J7" s="24" t="s">
        <v>199</v>
      </c>
      <c r="K7" s="24" t="s">
        <v>172</v>
      </c>
      <c r="M7" s="24" t="s">
        <v>1</v>
      </c>
      <c r="N7" s="24" t="s">
        <v>199</v>
      </c>
      <c r="O7" s="24" t="s">
        <v>172</v>
      </c>
    </row>
    <row r="9" spans="1:15" x14ac:dyDescent="0.25">
      <c r="A9" s="1" t="s">
        <v>306</v>
      </c>
      <c r="B9" s="1"/>
      <c r="C9" s="1"/>
      <c r="D9" s="1"/>
      <c r="E9" s="1"/>
      <c r="F9" s="1"/>
      <c r="G9" s="1"/>
    </row>
    <row r="10" spans="1:15" x14ac:dyDescent="0.25">
      <c r="A10" s="1" t="s">
        <v>307</v>
      </c>
      <c r="B10" s="8" t="s">
        <v>200</v>
      </c>
      <c r="C10" s="7">
        <f>SUM(D10:F10)</f>
        <v>81799969</v>
      </c>
      <c r="D10" s="7">
        <f>'Expenses-2019'!H6+'Expenses-2019'!I6+'Expenses-2019'!K6</f>
        <v>67386547</v>
      </c>
      <c r="E10" s="7">
        <f>ROUND(I10*(N10/M10),0)</f>
        <v>9463569</v>
      </c>
      <c r="F10" s="7">
        <f>ROUND(I10*(O10/M10),0)</f>
        <v>4949853</v>
      </c>
      <c r="G10" s="8" t="s">
        <v>331</v>
      </c>
      <c r="I10" s="54">
        <f>SUM(J10:K10)</f>
        <v>14413422</v>
      </c>
      <c r="J10" s="54">
        <f>'Expenses-2019'!L12+'Expenses-2019'!M12+'Expenses-2019'!O12+'Expenses-2019'!Q12</f>
        <v>9502300</v>
      </c>
      <c r="K10" s="54">
        <f>'Expenses-2019'!L18+'Expenses-2019'!P18</f>
        <v>4911122</v>
      </c>
      <c r="L10" s="54"/>
      <c r="M10" s="54">
        <f>SUM(N10:O10)</f>
        <v>13472874</v>
      </c>
      <c r="N10" s="54">
        <f>'Expenses-2019'!M12+'Expenses-2019'!O12+'Expenses-2019'!Q12</f>
        <v>8846024</v>
      </c>
      <c r="O10" s="54">
        <f>'Expenses-2019'!P18</f>
        <v>4626850</v>
      </c>
    </row>
    <row r="11" spans="1:15" x14ac:dyDescent="0.25">
      <c r="A11" s="1" t="s">
        <v>309</v>
      </c>
      <c r="B11" s="8" t="s">
        <v>200</v>
      </c>
      <c r="C11" s="3">
        <f>SUM(D11:F11)</f>
        <v>61705364</v>
      </c>
      <c r="D11" s="3">
        <f>'Expenses-2019'!H5+'Expenses-2019'!I5+'Expenses-2019'!J5+'Expenses-2019'!K5</f>
        <v>45517009</v>
      </c>
      <c r="E11" s="3">
        <f>ROUND(I11*(N11/M11),0)</f>
        <v>11244610</v>
      </c>
      <c r="F11" s="3">
        <f>ROUND(I11*(O11/M11),0)</f>
        <v>4943745</v>
      </c>
      <c r="G11" s="9">
        <v>-2</v>
      </c>
      <c r="I11" s="54">
        <f t="shared" ref="I11:I12" si="0">SUM(J11:K11)</f>
        <v>16188355</v>
      </c>
      <c r="J11" s="54">
        <f>'Expenses-2019'!L11+'Expenses-2019'!M11+'Expenses-2019'!O11+'Expenses-2019'!Q11</f>
        <v>11245776</v>
      </c>
      <c r="K11" s="54">
        <f>'Expenses-2019'!L17+'Expenses-2019'!N17+'Expenses-2019'!P17</f>
        <v>4942579</v>
      </c>
      <c r="L11" s="54"/>
      <c r="M11" s="54">
        <f t="shared" ref="M11:M12" si="1">SUM(N11:O11)</f>
        <v>15818049</v>
      </c>
      <c r="N11" s="54">
        <f>'Expenses-2019'!M11+'Expenses-2019'!O11+'Expenses-2019'!Q11</f>
        <v>10987391</v>
      </c>
      <c r="O11" s="54">
        <f>'Expenses-2019'!N17+'Expenses-2019'!P17</f>
        <v>4830658</v>
      </c>
    </row>
    <row r="12" spans="1:15" x14ac:dyDescent="0.25">
      <c r="A12" s="1" t="s">
        <v>308</v>
      </c>
      <c r="B12" s="8"/>
      <c r="C12" s="3">
        <f>SUM(D12:F12)</f>
        <v>6873129</v>
      </c>
      <c r="D12" s="43">
        <f>'Expenses-2019'!E5+'Expenses-2019'!F5+'Expenses-2019'!G5</f>
        <v>4531068</v>
      </c>
      <c r="E12" s="3">
        <f>ROUND(I12*(N12/M12),0)</f>
        <v>2342061</v>
      </c>
      <c r="F12" s="126">
        <f>ROUND(I12*(O12/M12),0)</f>
        <v>0</v>
      </c>
      <c r="G12" s="9">
        <v>-2</v>
      </c>
      <c r="I12" s="54">
        <f t="shared" si="0"/>
        <v>2342061</v>
      </c>
      <c r="J12" s="54">
        <f>'Expenses-2019'!E11+'Expenses-2019'!F11+'Expenses-2019'!G11</f>
        <v>2342061</v>
      </c>
      <c r="K12" s="124">
        <v>0</v>
      </c>
      <c r="L12" s="54"/>
      <c r="M12" s="54">
        <f t="shared" si="1"/>
        <v>2342061</v>
      </c>
      <c r="N12" s="54">
        <f>'Expenses-2019'!E11+'Expenses-2019'!F11+'Expenses-2019'!G11</f>
        <v>2342061</v>
      </c>
      <c r="O12" s="124">
        <v>0</v>
      </c>
    </row>
    <row r="13" spans="1:15" x14ac:dyDescent="0.25">
      <c r="A13" s="1"/>
      <c r="B13" s="8"/>
      <c r="C13" s="3"/>
      <c r="D13" s="43"/>
      <c r="E13" s="3"/>
      <c r="F13" s="9"/>
      <c r="G13" s="8"/>
      <c r="I13" s="54"/>
      <c r="J13" s="54"/>
      <c r="K13" s="54"/>
      <c r="L13" s="54"/>
      <c r="M13" s="54"/>
      <c r="N13" s="54"/>
      <c r="O13" s="54"/>
    </row>
    <row r="14" spans="1:15" x14ac:dyDescent="0.25">
      <c r="A14" s="1" t="s">
        <v>196</v>
      </c>
      <c r="B14" s="8"/>
      <c r="C14" s="3">
        <f>+D14</f>
        <v>0</v>
      </c>
      <c r="D14" s="19"/>
      <c r="E14" s="3"/>
      <c r="F14" s="9"/>
      <c r="G14" s="9"/>
    </row>
    <row r="15" spans="1:15" x14ac:dyDescent="0.25">
      <c r="A15" s="1" t="s">
        <v>196</v>
      </c>
      <c r="B15" s="8"/>
      <c r="C15" s="3">
        <f>SUM(D15:F15)</f>
        <v>0</v>
      </c>
      <c r="D15" s="19"/>
      <c r="E15" s="19"/>
      <c r="F15" s="90"/>
      <c r="G15" s="9"/>
    </row>
    <row r="16" spans="1:15" x14ac:dyDescent="0.25">
      <c r="A16" s="1" t="s">
        <v>57</v>
      </c>
      <c r="B16" s="1"/>
      <c r="C16" s="26">
        <f>SUM(C10:C15)</f>
        <v>150378462</v>
      </c>
      <c r="D16" s="26">
        <f>SUM(D10:D15)</f>
        <v>117434624</v>
      </c>
      <c r="E16" s="26">
        <f>SUM(E10:E15)</f>
        <v>23050240</v>
      </c>
      <c r="F16" s="26">
        <f>SUM(F10:F15)</f>
        <v>9893598</v>
      </c>
      <c r="G16" s="1"/>
      <c r="I16" s="26">
        <f t="shared" ref="I16:K16" si="2">SUM(I10:I15)</f>
        <v>32943838</v>
      </c>
      <c r="J16" s="26">
        <f t="shared" si="2"/>
        <v>23090137</v>
      </c>
      <c r="K16" s="26">
        <f t="shared" si="2"/>
        <v>9853701</v>
      </c>
      <c r="M16" s="26">
        <f t="shared" ref="M16:O16" si="3">SUM(M10:M15)</f>
        <v>31632984</v>
      </c>
      <c r="N16" s="26">
        <f t="shared" si="3"/>
        <v>22175476</v>
      </c>
      <c r="O16" s="26">
        <f t="shared" si="3"/>
        <v>9457508</v>
      </c>
    </row>
    <row r="17" spans="1:15" x14ac:dyDescent="0.25">
      <c r="A17" s="1"/>
      <c r="B17" s="1"/>
      <c r="C17" s="1">
        <f>ROUND(C16-SUM(D16:F16),0)</f>
        <v>0</v>
      </c>
      <c r="D17" s="1"/>
      <c r="E17" s="1"/>
      <c r="F17" s="1"/>
      <c r="G17" s="1"/>
    </row>
    <row r="18" spans="1:15" x14ac:dyDescent="0.25">
      <c r="A18" s="1" t="s">
        <v>58</v>
      </c>
      <c r="B18" s="1"/>
      <c r="C18" s="27">
        <f>SUM(D18:F18)-0</f>
        <v>1</v>
      </c>
      <c r="D18" s="5">
        <f>ROUND(+D16/C16,5)</f>
        <v>0.78093000000000001</v>
      </c>
      <c r="E18" s="4">
        <f>ROUND(+E16/C16,5)</f>
        <v>0.15328</v>
      </c>
      <c r="F18" s="4">
        <f>ROUND(F16/C16,5)</f>
        <v>6.5790000000000001E-2</v>
      </c>
      <c r="G18" s="76" t="str">
        <f>IF(C18=1," ","Check rounding")</f>
        <v xml:space="preserve"> </v>
      </c>
      <c r="I18" s="125">
        <f>I16/C16</f>
        <v>0.21907284834446572</v>
      </c>
    </row>
    <row r="20" spans="1:15" x14ac:dyDescent="0.25">
      <c r="A20" s="1" t="s">
        <v>59</v>
      </c>
      <c r="B20" s="1"/>
      <c r="C20" s="1"/>
      <c r="D20" s="1"/>
      <c r="E20" s="1"/>
      <c r="F20" s="1"/>
      <c r="G20" s="1"/>
    </row>
    <row r="21" spans="1:15" x14ac:dyDescent="0.25">
      <c r="A21" s="1" t="s">
        <v>307</v>
      </c>
      <c r="B21" s="8" t="s">
        <v>200</v>
      </c>
      <c r="C21" s="7">
        <f>SUM(D21:F21)</f>
        <v>82226371</v>
      </c>
      <c r="D21" s="7">
        <f>'Expenses-2019'!H9+'Expenses-2019'!I9+'Expenses-2019'!K9+'Expenses-2019'!H10</f>
        <v>62127957</v>
      </c>
      <c r="E21" s="7">
        <f t="shared" ref="E21:E23" si="4">ROUND(I21*(N21/M21),0)</f>
        <v>13657790</v>
      </c>
      <c r="F21" s="7">
        <f t="shared" ref="F21:F23" si="5">ROUND(I21*(O21/M21),0)</f>
        <v>6440624</v>
      </c>
      <c r="G21" s="8"/>
      <c r="I21" s="54">
        <f>SUM(J21:K21)</f>
        <v>20098414</v>
      </c>
      <c r="J21" s="54">
        <f>'Expenses-2019'!L15+'Expenses-2019'!M15+'Expenses-2019'!O15+'Expenses-2019'!Q15</f>
        <v>13770611</v>
      </c>
      <c r="K21" s="54">
        <f>'Expenses-2019'!L21+'Expenses-2019'!P21</f>
        <v>6327803</v>
      </c>
      <c r="L21" s="54"/>
      <c r="M21" s="54">
        <f>SUM(N21:O21)</f>
        <v>13904342</v>
      </c>
      <c r="N21" s="54">
        <f>'Expenses-2019'!M15+'Expenses-2019'!O15+'Expenses-2019'!Q15</f>
        <v>9448635</v>
      </c>
      <c r="O21" s="54">
        <f>'Expenses-2019'!P21</f>
        <v>4455707</v>
      </c>
    </row>
    <row r="22" spans="1:15" x14ac:dyDescent="0.25">
      <c r="A22" s="1" t="s">
        <v>309</v>
      </c>
      <c r="B22" s="8" t="s">
        <v>200</v>
      </c>
      <c r="C22" s="3">
        <f>SUM(D22:F22)</f>
        <v>6344804</v>
      </c>
      <c r="D22" s="3">
        <f>'Expenses-2019'!H8+'Expenses-2019'!I8+'Expenses-2019'!K8</f>
        <v>4132917</v>
      </c>
      <c r="E22" s="3">
        <f t="shared" si="4"/>
        <v>243316</v>
      </c>
      <c r="F22" s="3">
        <f t="shared" si="5"/>
        <v>1968571</v>
      </c>
      <c r="G22" s="9"/>
      <c r="I22" s="54">
        <f t="shared" ref="I22:I23" si="6">SUM(J22:K22)</f>
        <v>2211887</v>
      </c>
      <c r="J22" s="54">
        <f>'Expenses-2019'!L14+'Expenses-2019'!O14+'Expenses-2019'!Q14</f>
        <v>557210</v>
      </c>
      <c r="K22" s="54">
        <f>'Expenses-2019'!L20+'Expenses-2019'!N20+'Expenses-2019'!P20</f>
        <v>1654677</v>
      </c>
      <c r="L22" s="54"/>
      <c r="M22" s="54">
        <f t="shared" ref="M22:M23" si="7">SUM(N22:O22)</f>
        <v>1677832</v>
      </c>
      <c r="N22" s="54">
        <f>'Expenses-2019'!O14+'Expenses-2019'!Q14</f>
        <v>184568</v>
      </c>
      <c r="O22" s="54">
        <f>'Expenses-2019'!N20+'Expenses-2019'!P20</f>
        <v>1493264</v>
      </c>
    </row>
    <row r="23" spans="1:15" x14ac:dyDescent="0.25">
      <c r="A23" s="1" t="s">
        <v>308</v>
      </c>
      <c r="B23" s="8"/>
      <c r="C23" s="3">
        <f>SUM(D23:F23)</f>
        <v>10045026</v>
      </c>
      <c r="D23" s="43">
        <f>'Expenses-2019'!E8+'Expenses-2019'!F8+'Expenses-2019'!G8</f>
        <v>6617203</v>
      </c>
      <c r="E23" s="3">
        <f t="shared" si="4"/>
        <v>3427823</v>
      </c>
      <c r="F23" s="126">
        <f t="shared" si="5"/>
        <v>0</v>
      </c>
      <c r="G23" s="9"/>
      <c r="I23" s="54">
        <f t="shared" si="6"/>
        <v>3427823</v>
      </c>
      <c r="J23" s="54">
        <f>'Expenses-2019'!E14+'Expenses-2019'!F14+'Expenses-2019'!G14</f>
        <v>3427823</v>
      </c>
      <c r="K23" s="124">
        <v>0</v>
      </c>
      <c r="L23" s="54"/>
      <c r="M23" s="54">
        <f t="shared" si="7"/>
        <v>3427823</v>
      </c>
      <c r="N23" s="54">
        <f>'Expenses-2019'!E14+'Expenses-2019'!F14+'Expenses-2019'!G14</f>
        <v>3427823</v>
      </c>
      <c r="O23" s="124">
        <v>0</v>
      </c>
    </row>
    <row r="24" spans="1:15" x14ac:dyDescent="0.25">
      <c r="A24" s="1" t="s">
        <v>57</v>
      </c>
      <c r="B24" s="1"/>
      <c r="C24" s="26">
        <f>SUM(C21:C23)</f>
        <v>98616201</v>
      </c>
      <c r="D24" s="26">
        <f>SUM(D21:D23)</f>
        <v>72878077</v>
      </c>
      <c r="E24" s="26">
        <f>SUM(E21:E23)</f>
        <v>17328929</v>
      </c>
      <c r="F24" s="26">
        <f>SUM(F21:F23)</f>
        <v>8409195</v>
      </c>
      <c r="G24" s="1"/>
      <c r="I24" s="26">
        <f t="shared" ref="I24:K24" si="8">SUM(I21:I23)</f>
        <v>25738124</v>
      </c>
      <c r="J24" s="26">
        <f t="shared" si="8"/>
        <v>17755644</v>
      </c>
      <c r="K24" s="26">
        <f t="shared" si="8"/>
        <v>7982480</v>
      </c>
      <c r="M24" s="26">
        <f t="shared" ref="M24:O24" si="9">SUM(M21:M23)</f>
        <v>19009997</v>
      </c>
      <c r="N24" s="26">
        <f t="shared" si="9"/>
        <v>13061026</v>
      </c>
      <c r="O24" s="26">
        <f t="shared" si="9"/>
        <v>5948971</v>
      </c>
    </row>
    <row r="25" spans="1:15" x14ac:dyDescent="0.25">
      <c r="A25" s="1"/>
      <c r="B25" s="1"/>
      <c r="C25" s="1">
        <f>ROUND(C24-SUM(D24:F24),0)</f>
        <v>0</v>
      </c>
      <c r="D25" s="1"/>
      <c r="E25" s="1"/>
      <c r="F25" s="1"/>
      <c r="G25" s="1"/>
    </row>
    <row r="26" spans="1:15" x14ac:dyDescent="0.25">
      <c r="A26" s="1" t="s">
        <v>58</v>
      </c>
      <c r="B26" s="1"/>
      <c r="C26" s="27">
        <f>SUM(D26:F26)</f>
        <v>0.99999999999999989</v>
      </c>
      <c r="D26" s="27">
        <f>ROUND(+D24/C24,5)</f>
        <v>0.73900999999999994</v>
      </c>
      <c r="E26" s="4">
        <f>ROUND(+E24/C24,5)</f>
        <v>0.17571999999999999</v>
      </c>
      <c r="F26" s="4">
        <f>ROUND(F24/C24,5)</f>
        <v>8.5269999999999999E-2</v>
      </c>
      <c r="G26" s="76" t="str">
        <f>IF(C26=1," ","Check rounding")</f>
        <v xml:space="preserve"> </v>
      </c>
      <c r="I26" s="125">
        <f>I24/C24</f>
        <v>0.26099285653885612</v>
      </c>
    </row>
    <row r="28" spans="1:15" x14ac:dyDescent="0.25">
      <c r="A28" s="2" t="s">
        <v>395</v>
      </c>
      <c r="B28" s="1"/>
      <c r="C28" s="1"/>
      <c r="D28" s="1"/>
      <c r="E28" s="1"/>
      <c r="F28" s="1"/>
      <c r="G28" s="1"/>
    </row>
    <row r="29" spans="1:15" x14ac:dyDescent="0.25">
      <c r="A29" s="1" t="s">
        <v>60</v>
      </c>
      <c r="B29" s="1"/>
      <c r="C29" s="3">
        <f>SUM(D29:F29)</f>
        <v>427664</v>
      </c>
      <c r="D29" s="6">
        <v>257394</v>
      </c>
      <c r="E29" s="6">
        <v>170270</v>
      </c>
      <c r="F29" s="6"/>
      <c r="G29" s="1"/>
    </row>
    <row r="30" spans="1:15" x14ac:dyDescent="0.25">
      <c r="A30" s="1" t="s">
        <v>61</v>
      </c>
      <c r="B30" s="1"/>
      <c r="C30" s="3">
        <f>SUM(D30:F30)</f>
        <v>222667</v>
      </c>
      <c r="D30" s="6">
        <v>135593</v>
      </c>
      <c r="E30" s="6">
        <v>87074</v>
      </c>
      <c r="F30" s="6"/>
      <c r="G30" s="1"/>
    </row>
    <row r="31" spans="1:15" x14ac:dyDescent="0.25">
      <c r="A31" s="1" t="s">
        <v>62</v>
      </c>
      <c r="B31" s="1"/>
      <c r="C31" s="3">
        <f>SUM(D31:F31)</f>
        <v>104302</v>
      </c>
      <c r="D31" s="6"/>
      <c r="E31" s="6"/>
      <c r="F31" s="6">
        <v>104302</v>
      </c>
      <c r="G31" s="1"/>
    </row>
    <row r="32" spans="1:15" x14ac:dyDescent="0.25">
      <c r="A32" s="1" t="s">
        <v>65</v>
      </c>
      <c r="B32" s="1"/>
      <c r="C32" s="22">
        <f>SUM(D32:F32)</f>
        <v>754633</v>
      </c>
      <c r="D32" s="22">
        <f>SUM(D29:D31)</f>
        <v>392987</v>
      </c>
      <c r="E32" s="22">
        <f>SUM(E29:E31)</f>
        <v>257344</v>
      </c>
      <c r="F32" s="22">
        <f>SUM(F29:F31)</f>
        <v>104302</v>
      </c>
      <c r="G32" s="3"/>
    </row>
    <row r="33" spans="1:7" x14ac:dyDescent="0.25">
      <c r="C33" s="113"/>
    </row>
    <row r="34" spans="1:7" x14ac:dyDescent="0.25">
      <c r="A34" s="1" t="s">
        <v>58</v>
      </c>
      <c r="B34" s="1"/>
      <c r="C34" s="27">
        <f>SUM(D34:F34)</f>
        <v>1</v>
      </c>
      <c r="D34" s="27">
        <f>ROUND(+D32/C32,5)-0.00001</f>
        <v>0.52076</v>
      </c>
      <c r="E34" s="4">
        <f>ROUND(+E32/C32,5)</f>
        <v>0.34101999999999999</v>
      </c>
      <c r="F34" s="4">
        <f>ROUND(F32/C32,5)</f>
        <v>0.13822000000000001</v>
      </c>
      <c r="G34" s="76" t="str">
        <f>IF(C34=1," ","Check rounding")</f>
        <v xml:space="preserve"> </v>
      </c>
    </row>
    <row r="36" spans="1:7" x14ac:dyDescent="0.25">
      <c r="A36" s="133" t="s">
        <v>396</v>
      </c>
      <c r="B36" s="1"/>
      <c r="C36" s="1"/>
      <c r="D36" s="1"/>
      <c r="E36" s="1"/>
      <c r="F36" s="1"/>
      <c r="G36" s="1"/>
    </row>
    <row r="37" spans="1:7" x14ac:dyDescent="0.25">
      <c r="A37" s="1" t="s">
        <v>63</v>
      </c>
      <c r="B37" s="1"/>
      <c r="C37" s="7">
        <f>SUM(D37:F37)</f>
        <v>3836634496</v>
      </c>
      <c r="D37" s="7">
        <f>'UtilityNetPlt-2019'!D41</f>
        <v>2885942677</v>
      </c>
      <c r="E37" s="7">
        <f>'UtilityNetPlt-2019'!E41</f>
        <v>633948061</v>
      </c>
      <c r="F37" s="7">
        <f>'UtilityNetPlt-2019'!F41</f>
        <v>316743758</v>
      </c>
      <c r="G37" s="9"/>
    </row>
    <row r="39" spans="1:7" x14ac:dyDescent="0.25">
      <c r="A39" s="1" t="s">
        <v>58</v>
      </c>
      <c r="B39" s="1"/>
      <c r="C39" s="27">
        <f>SUM(D39:F39)</f>
        <v>1</v>
      </c>
      <c r="D39" s="5">
        <f>ROUND(D37/C37,5)-0.00001</f>
        <v>0.75220000000000009</v>
      </c>
      <c r="E39" s="4">
        <f>ROUND(E37/C37,5)</f>
        <v>0.16524</v>
      </c>
      <c r="F39" s="4">
        <f>ROUND(F37/C37,5)</f>
        <v>8.2559999999999995E-2</v>
      </c>
      <c r="G39" s="76" t="str">
        <f>IF(C39=1," ","Check rounding")</f>
        <v xml:space="preserve"> </v>
      </c>
    </row>
    <row r="41" spans="1:7" x14ac:dyDescent="0.25">
      <c r="A41" s="1" t="s">
        <v>64</v>
      </c>
      <c r="B41" s="1"/>
      <c r="C41" s="1"/>
      <c r="D41" s="1"/>
      <c r="E41" s="1"/>
      <c r="F41" s="1"/>
      <c r="G41" s="1"/>
    </row>
    <row r="42" spans="1:7" x14ac:dyDescent="0.25">
      <c r="A42" s="1" t="s">
        <v>65</v>
      </c>
      <c r="B42" s="1"/>
      <c r="C42" s="28">
        <f>SUM(D42:F42)</f>
        <v>4</v>
      </c>
      <c r="D42" s="29">
        <f>D18+D26+D34+D39</f>
        <v>2.7929000000000004</v>
      </c>
      <c r="E42" s="28">
        <f>E18+E26+E34+E39</f>
        <v>0.83525999999999989</v>
      </c>
      <c r="F42" s="28">
        <f>F18+F26+F34+F39</f>
        <v>0.37183999999999995</v>
      </c>
      <c r="G42" s="1"/>
    </row>
    <row r="44" spans="1:7" ht="13.2" thickBot="1" x14ac:dyDescent="0.3">
      <c r="A44" s="1" t="s">
        <v>66</v>
      </c>
      <c r="B44" s="1"/>
      <c r="C44" s="91">
        <f>SUM(D44:F44)</f>
        <v>1</v>
      </c>
      <c r="D44" s="31">
        <f>ROUND(+D42/C42,5)-0.00001</f>
        <v>0.69822000000000006</v>
      </c>
      <c r="E44" s="30">
        <f>ROUND(+E42/C42,5)</f>
        <v>0.20882000000000001</v>
      </c>
      <c r="F44" s="30">
        <f>ROUND(F42/C42,5)</f>
        <v>9.2960000000000001E-2</v>
      </c>
      <c r="G44" s="76" t="str">
        <f>IF(C44=1," ","Check rounding")</f>
        <v xml:space="preserve"> </v>
      </c>
    </row>
    <row r="45" spans="1:7" ht="13.2" thickTop="1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 t="s">
        <v>330</v>
      </c>
      <c r="B47" s="1"/>
      <c r="C47" s="1"/>
      <c r="D47" s="1"/>
      <c r="E47" s="1"/>
      <c r="F47" s="1"/>
      <c r="G47" s="1"/>
    </row>
    <row r="48" spans="1:7" x14ac:dyDescent="0.25">
      <c r="A48" s="1" t="s">
        <v>136</v>
      </c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</sheetData>
  <mergeCells count="2">
    <mergeCell ref="I5:K5"/>
    <mergeCell ref="M5:O5"/>
  </mergeCells>
  <pageMargins left="0.7" right="0.7" top="0.75" bottom="0.75" header="0.3" footer="0.3"/>
  <pageSetup scale="96" orientation="portrait" r:id="rId1"/>
  <headerFooter>
    <oddFooter>&amp;L&amp;F
&amp;A&amp;RPrepared By: Jeanne Pluth
Date: January 19, 2018</oddFooter>
  </headerFooter>
  <colBreaks count="1" manualBreakCount="1">
    <brk id="7" max="5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FF00"/>
  </sheetPr>
  <dimension ref="A1:G43"/>
  <sheetViews>
    <sheetView showOutlineSymbols="0" zoomScaleNormal="100" workbookViewId="0">
      <pane xSplit="1" ySplit="7" topLeftCell="B18" activePane="bottomRight" state="frozen"/>
      <selection activeCell="D27" sqref="D27"/>
      <selection pane="topRight" activeCell="D27" sqref="D27"/>
      <selection pane="bottomLeft" activeCell="D27" sqref="D27"/>
      <selection pane="bottomRight" activeCell="F38" sqref="F38"/>
    </sheetView>
  </sheetViews>
  <sheetFormatPr defaultColWidth="9.6640625" defaultRowHeight="12.6" x14ac:dyDescent="0.25"/>
  <cols>
    <col min="1" max="1" width="31.6640625" customWidth="1"/>
    <col min="2" max="2" width="6.6640625" hidden="1" customWidth="1"/>
    <col min="3" max="3" width="13.6640625" customWidth="1"/>
    <col min="4" max="4" width="7.88671875" bestFit="1" customWidth="1"/>
    <col min="5" max="5" width="13.6640625" customWidth="1"/>
    <col min="6" max="6" width="14" bestFit="1" customWidth="1"/>
    <col min="7" max="7" width="6.21875" bestFit="1" customWidth="1"/>
  </cols>
  <sheetData>
    <row r="1" spans="1:7" x14ac:dyDescent="0.25">
      <c r="A1" s="1" t="str">
        <f>Notes!A1</f>
        <v>Avista Utilities</v>
      </c>
      <c r="B1" s="1"/>
      <c r="C1" s="1"/>
      <c r="D1" s="1"/>
      <c r="E1" s="1"/>
      <c r="F1" s="56"/>
      <c r="G1" s="1"/>
    </row>
    <row r="2" spans="1:7" x14ac:dyDescent="0.25">
      <c r="A2" s="1" t="s">
        <v>201</v>
      </c>
      <c r="B2" s="1"/>
      <c r="C2" s="1"/>
      <c r="D2" s="1"/>
      <c r="E2" s="1"/>
      <c r="F2" s="1"/>
      <c r="G2" s="1"/>
    </row>
    <row r="3" spans="1:7" x14ac:dyDescent="0.25">
      <c r="A3" s="1" t="s">
        <v>67</v>
      </c>
      <c r="B3" s="1"/>
      <c r="C3" s="1"/>
      <c r="D3" s="1"/>
      <c r="E3" s="1"/>
      <c r="F3" s="1"/>
      <c r="G3" s="1"/>
    </row>
    <row r="4" spans="1:7" x14ac:dyDescent="0.25">
      <c r="A4" s="1" t="str">
        <f>Notes!A4</f>
        <v>For the Twelve Months Ended December 31, 2019</v>
      </c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7" spans="1:7" x14ac:dyDescent="0.25">
      <c r="A7" s="1"/>
      <c r="B7" s="23" t="s">
        <v>54</v>
      </c>
      <c r="C7" s="24" t="s">
        <v>1</v>
      </c>
      <c r="D7" s="24" t="s">
        <v>2</v>
      </c>
      <c r="E7" s="24" t="s">
        <v>199</v>
      </c>
      <c r="F7" s="24" t="s">
        <v>172</v>
      </c>
      <c r="G7" s="25" t="s">
        <v>55</v>
      </c>
    </row>
    <row r="9" spans="1:7" x14ac:dyDescent="0.25">
      <c r="A9" s="1" t="s">
        <v>306</v>
      </c>
      <c r="B9" s="1"/>
      <c r="C9" s="1"/>
      <c r="D9" s="1"/>
      <c r="E9" s="1"/>
      <c r="F9" s="1"/>
      <c r="G9" s="1"/>
    </row>
    <row r="10" spans="1:7" x14ac:dyDescent="0.25">
      <c r="A10" s="1" t="s">
        <v>307</v>
      </c>
      <c r="B10" s="8" t="s">
        <v>177</v>
      </c>
      <c r="C10" s="7">
        <f>SUM(D10:F10)</f>
        <v>13472874</v>
      </c>
      <c r="D10" s="7"/>
      <c r="E10" s="7">
        <f>'Expenses-2019'!M12+'Expenses-2019'!O12+'Expenses-2019'!Q12</f>
        <v>8846024</v>
      </c>
      <c r="F10" s="7">
        <f>'Expenses-2019'!P18</f>
        <v>4626850</v>
      </c>
      <c r="G10" s="8" t="s">
        <v>331</v>
      </c>
    </row>
    <row r="11" spans="1:7" x14ac:dyDescent="0.25">
      <c r="A11" s="1" t="s">
        <v>358</v>
      </c>
      <c r="B11" s="8" t="s">
        <v>177</v>
      </c>
      <c r="C11" s="3">
        <f>SUM(D11:F11)</f>
        <v>15818049</v>
      </c>
      <c r="D11" s="3"/>
      <c r="E11" s="3">
        <f>'Expenses-2019'!M11+'Expenses-2019'!O11+'Expenses-2019'!Q11</f>
        <v>10987391</v>
      </c>
      <c r="F11" s="3">
        <f>'Expenses-2019'!N17+'Expenses-2019'!P17</f>
        <v>4830658</v>
      </c>
      <c r="G11" s="9">
        <v>-2</v>
      </c>
    </row>
    <row r="12" spans="1:7" x14ac:dyDescent="0.25">
      <c r="A12" s="1" t="s">
        <v>308</v>
      </c>
      <c r="B12" s="8" t="s">
        <v>56</v>
      </c>
      <c r="C12" s="3">
        <f>SUM(D12:F12)</f>
        <v>2342061</v>
      </c>
      <c r="D12" s="3"/>
      <c r="E12" s="3">
        <f>'Expenses-2019'!E11+'Expenses-2019'!F11+'Expenses-2019'!G11</f>
        <v>2342061</v>
      </c>
      <c r="F12" s="128">
        <v>0</v>
      </c>
      <c r="G12" s="9">
        <v>-2</v>
      </c>
    </row>
    <row r="13" spans="1:7" x14ac:dyDescent="0.25">
      <c r="A13" s="1" t="s">
        <v>57</v>
      </c>
      <c r="B13" s="1"/>
      <c r="C13" s="26">
        <f>SUM(C10:C12)</f>
        <v>31632984</v>
      </c>
      <c r="D13" s="26">
        <f>SUM(D10:D12)</f>
        <v>0</v>
      </c>
      <c r="E13" s="26">
        <f>SUM(E10:E12)</f>
        <v>22175476</v>
      </c>
      <c r="F13" s="26">
        <f>SUM(F10:F12)</f>
        <v>9457508</v>
      </c>
      <c r="G13" s="1"/>
    </row>
    <row r="15" spans="1:7" x14ac:dyDescent="0.25">
      <c r="A15" s="1" t="s">
        <v>58</v>
      </c>
      <c r="B15" s="1"/>
      <c r="C15" s="27">
        <f>SUM(D15:F15)</f>
        <v>1</v>
      </c>
      <c r="D15" s="4">
        <f>ROUND(+D13/C13,5)</f>
        <v>0</v>
      </c>
      <c r="E15" s="4">
        <f>ROUND(+E13/C13,5)</f>
        <v>0.70101999999999998</v>
      </c>
      <c r="F15" s="4">
        <f>ROUND(F13/C13,5)</f>
        <v>0.29898000000000002</v>
      </c>
      <c r="G15" s="76" t="str">
        <f>IF(C15=1," ","Check rounding")</f>
        <v xml:space="preserve"> </v>
      </c>
    </row>
    <row r="17" spans="1:7" x14ac:dyDescent="0.25">
      <c r="A17" s="1" t="s">
        <v>59</v>
      </c>
      <c r="B17" s="1"/>
      <c r="C17" s="1"/>
      <c r="D17" s="1"/>
      <c r="E17" s="1"/>
      <c r="F17" s="1"/>
      <c r="G17" s="1"/>
    </row>
    <row r="18" spans="1:7" x14ac:dyDescent="0.25">
      <c r="A18" s="1" t="s">
        <v>307</v>
      </c>
      <c r="B18" s="8" t="s">
        <v>177</v>
      </c>
      <c r="C18" s="7">
        <f>SUM(D18:F18)</f>
        <v>13904342</v>
      </c>
      <c r="D18" s="7"/>
      <c r="E18" s="7">
        <f>'Expenses-2019'!M15+'Expenses-2019'!O15+'Expenses-2019'!Q15</f>
        <v>9448635</v>
      </c>
      <c r="F18" s="7">
        <f>'Expenses-2019'!P21</f>
        <v>4455707</v>
      </c>
      <c r="G18" s="8"/>
    </row>
    <row r="19" spans="1:7" x14ac:dyDescent="0.25">
      <c r="A19" s="1" t="s">
        <v>358</v>
      </c>
      <c r="B19" s="8" t="s">
        <v>177</v>
      </c>
      <c r="C19" s="3">
        <f>SUM(D19:F19)</f>
        <v>1677832</v>
      </c>
      <c r="D19" s="3"/>
      <c r="E19" s="3">
        <f>'Expenses-2019'!O14+'Expenses-2019'!Q14</f>
        <v>184568</v>
      </c>
      <c r="F19" s="3">
        <f>'Expenses-2019'!N20+'Expenses-2019'!P20</f>
        <v>1493264</v>
      </c>
      <c r="G19" s="9"/>
    </row>
    <row r="20" spans="1:7" x14ac:dyDescent="0.25">
      <c r="A20" s="1" t="s">
        <v>308</v>
      </c>
      <c r="B20" s="8" t="s">
        <v>56</v>
      </c>
      <c r="C20" s="3">
        <f>SUM(D20:F20)</f>
        <v>3427823</v>
      </c>
      <c r="D20" s="3"/>
      <c r="E20" s="3">
        <f>'Expenses-2019'!E14+'Expenses-2019'!F14+'Expenses-2019'!G14</f>
        <v>3427823</v>
      </c>
      <c r="F20" s="128">
        <v>0</v>
      </c>
      <c r="G20" s="9"/>
    </row>
    <row r="21" spans="1:7" x14ac:dyDescent="0.25">
      <c r="A21" s="1" t="s">
        <v>57</v>
      </c>
      <c r="B21" s="1"/>
      <c r="C21" s="26">
        <f>SUM(C18:C20)</f>
        <v>19009997</v>
      </c>
      <c r="D21" s="26">
        <f>SUM(D18:D20)</f>
        <v>0</v>
      </c>
      <c r="E21" s="26">
        <f>SUM(E18:E20)</f>
        <v>13061026</v>
      </c>
      <c r="F21" s="26">
        <f>SUM(F18:F20)</f>
        <v>5948971</v>
      </c>
      <c r="G21" s="1"/>
    </row>
    <row r="23" spans="1:7" x14ac:dyDescent="0.25">
      <c r="A23" s="1" t="s">
        <v>58</v>
      </c>
      <c r="B23" s="1"/>
      <c r="C23" s="27">
        <f>SUM(D23:F23)</f>
        <v>1</v>
      </c>
      <c r="D23" s="4">
        <f>ROUND(+D21/C21,5)</f>
        <v>0</v>
      </c>
      <c r="E23" s="4">
        <f>ROUND(+E21/C21,5)</f>
        <v>0.68706</v>
      </c>
      <c r="F23" s="4">
        <f>ROUND(F21/C21,5)</f>
        <v>0.31294</v>
      </c>
      <c r="G23" s="76" t="str">
        <f>IF(C23=1," ","Check rounding")</f>
        <v xml:space="preserve"> </v>
      </c>
    </row>
    <row r="25" spans="1:7" x14ac:dyDescent="0.25">
      <c r="A25" s="1" t="str">
        <f>'7-2019'!A28</f>
        <v>Year End Customers at 12/31/19</v>
      </c>
      <c r="B25" s="1"/>
      <c r="C25" s="1"/>
      <c r="D25" s="1"/>
      <c r="E25" s="1"/>
      <c r="F25" s="1"/>
      <c r="G25" s="1"/>
    </row>
    <row r="26" spans="1:7" x14ac:dyDescent="0.25">
      <c r="A26" s="1" t="e">
        <f>#REF!</f>
        <v>#REF!</v>
      </c>
      <c r="B26" s="1"/>
      <c r="C26" s="3">
        <f>SUM(D26:F26)</f>
        <v>361646</v>
      </c>
      <c r="D26" s="3"/>
      <c r="E26" s="3">
        <f>'7-2019'!E32</f>
        <v>257344</v>
      </c>
      <c r="F26" s="3">
        <f>'7-2019'!F32</f>
        <v>104302</v>
      </c>
      <c r="G26" s="3"/>
    </row>
    <row r="28" spans="1:7" x14ac:dyDescent="0.25">
      <c r="A28" s="1" t="s">
        <v>58</v>
      </c>
      <c r="B28" s="1"/>
      <c r="C28" s="27">
        <f>SUM(D28:F28)</f>
        <v>1</v>
      </c>
      <c r="D28" s="4">
        <f>ROUND(+D26/C26,5)</f>
        <v>0</v>
      </c>
      <c r="E28" s="4">
        <f>ROUND(+E26/C26,5)</f>
        <v>0.71158999999999994</v>
      </c>
      <c r="F28" s="4">
        <f>ROUND(F26/C26,5)</f>
        <v>0.28841</v>
      </c>
      <c r="G28" s="76" t="str">
        <f>IF(C28=1," ","Check rounding")</f>
        <v xml:space="preserve"> </v>
      </c>
    </row>
    <row r="30" spans="1:7" x14ac:dyDescent="0.25">
      <c r="A30" s="1" t="str">
        <f>'7-2019'!A36</f>
        <v>Net Direct Plant (Ending Balance at 12/31/19)</v>
      </c>
      <c r="B30" s="1"/>
      <c r="C30" s="1"/>
      <c r="D30" s="1"/>
      <c r="E30" s="1"/>
      <c r="F30" s="1"/>
      <c r="G30" s="1"/>
    </row>
    <row r="31" spans="1:7" x14ac:dyDescent="0.25">
      <c r="A31" s="1" t="s">
        <v>63</v>
      </c>
      <c r="B31" s="1"/>
      <c r="C31" s="7">
        <f>SUM(D31:F31)</f>
        <v>932224866</v>
      </c>
      <c r="D31" s="7"/>
      <c r="E31" s="7">
        <f>'UtilityNetPlt-2019'!E31</f>
        <v>616773795</v>
      </c>
      <c r="F31" s="7">
        <f>'UtilityNetPlt-2019'!F31</f>
        <v>315451071</v>
      </c>
      <c r="G31" s="9"/>
    </row>
    <row r="33" spans="1:7" x14ac:dyDescent="0.25">
      <c r="A33" s="1" t="s">
        <v>58</v>
      </c>
      <c r="B33" s="1"/>
      <c r="C33" s="27">
        <f>SUM(D33:F33)</f>
        <v>1</v>
      </c>
      <c r="D33" s="4">
        <f>ROUND(+D31/C31,5)</f>
        <v>0</v>
      </c>
      <c r="E33" s="4">
        <f>ROUND(+E31/C31,5)</f>
        <v>0.66161000000000003</v>
      </c>
      <c r="F33" s="4">
        <f>ROUND(F31/C31,5)</f>
        <v>0.33839000000000002</v>
      </c>
      <c r="G33" s="76" t="str">
        <f>IF(C33=1," ","Check rounding")</f>
        <v xml:space="preserve"> </v>
      </c>
    </row>
    <row r="35" spans="1:7" x14ac:dyDescent="0.25">
      <c r="A35" s="1" t="s">
        <v>64</v>
      </c>
      <c r="B35" s="1"/>
      <c r="C35" s="1"/>
      <c r="D35" s="1"/>
      <c r="E35" s="1"/>
      <c r="F35" s="1"/>
      <c r="G35" s="1"/>
    </row>
    <row r="36" spans="1:7" x14ac:dyDescent="0.25">
      <c r="A36" s="1" t="s">
        <v>65</v>
      </c>
      <c r="B36" s="1"/>
      <c r="C36" s="28">
        <f>SUM(D36:F36)</f>
        <v>4</v>
      </c>
      <c r="D36" s="28">
        <f>D15+D23+D28+D33</f>
        <v>0</v>
      </c>
      <c r="E36" s="28">
        <f>E15+E23+E28+E33</f>
        <v>2.7612799999999997</v>
      </c>
      <c r="F36" s="28">
        <f>F15+F23+F28+F33</f>
        <v>1.23872</v>
      </c>
      <c r="G36" s="1"/>
    </row>
    <row r="38" spans="1:7" ht="13.2" thickBot="1" x14ac:dyDescent="0.3">
      <c r="A38" s="1" t="s">
        <v>66</v>
      </c>
      <c r="B38" s="1"/>
      <c r="C38" s="91">
        <f>SUM(D38:F38)</f>
        <v>1</v>
      </c>
      <c r="D38" s="30">
        <f>ROUND(+D36/C36,5)</f>
        <v>0</v>
      </c>
      <c r="E38" s="31">
        <f>ROUND(+E36/C36,5)</f>
        <v>0.69032000000000004</v>
      </c>
      <c r="F38" s="30">
        <f>ROUND(F36/C36,5)</f>
        <v>0.30968000000000001</v>
      </c>
      <c r="G38" s="76" t="str">
        <f>IF(C38=1," ","Check rounding")</f>
        <v xml:space="preserve"> </v>
      </c>
    </row>
    <row r="39" spans="1:7" ht="13.2" thickTop="1" x14ac:dyDescent="0.25">
      <c r="A39" s="1"/>
      <c r="B39" s="1"/>
      <c r="C39" s="1"/>
      <c r="D39" s="1"/>
      <c r="E39" s="1"/>
      <c r="F39" s="1"/>
      <c r="G39" s="1"/>
    </row>
    <row r="41" spans="1:7" x14ac:dyDescent="0.25">
      <c r="A41" s="1" t="s">
        <v>330</v>
      </c>
      <c r="B41" s="1"/>
      <c r="C41" s="1"/>
      <c r="D41" s="1"/>
      <c r="E41" s="1"/>
      <c r="F41" s="1"/>
      <c r="G41" s="1"/>
    </row>
    <row r="42" spans="1:7" x14ac:dyDescent="0.25">
      <c r="A42" s="1" t="s">
        <v>136</v>
      </c>
      <c r="B42" s="1"/>
      <c r="C42" s="1"/>
      <c r="D42" s="1"/>
      <c r="E42" s="1"/>
      <c r="F42" s="1"/>
      <c r="G42" s="1"/>
    </row>
    <row r="43" spans="1:7" x14ac:dyDescent="0.25">
      <c r="C43" s="1"/>
      <c r="D43" s="1"/>
      <c r="E43" s="1"/>
    </row>
  </sheetData>
  <pageMargins left="0.7" right="0.7" top="0.75" bottom="0.75" header="0.3" footer="0.3"/>
  <pageSetup scale="97" orientation="portrait" r:id="rId1"/>
  <headerFooter>
    <oddFooter>&amp;L&amp;F
&amp;A&amp;RPrepared By: Jeanne Pluth
Date: January 19, 2018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FF00"/>
  </sheetPr>
  <dimension ref="A1:G44"/>
  <sheetViews>
    <sheetView showOutlineSymbols="0" workbookViewId="0">
      <pane xSplit="1" ySplit="7" topLeftCell="C19" activePane="bottomRight" state="frozen"/>
      <selection activeCell="D27" sqref="D27"/>
      <selection pane="topRight" activeCell="D27" sqref="D27"/>
      <selection pane="bottomLeft" activeCell="D27" sqref="D27"/>
      <selection pane="bottomRight" activeCell="D41" sqref="D41"/>
    </sheetView>
  </sheetViews>
  <sheetFormatPr defaultColWidth="9.6640625" defaultRowHeight="12.6" x14ac:dyDescent="0.25"/>
  <cols>
    <col min="1" max="1" width="31.6640625" customWidth="1"/>
    <col min="2" max="2" width="6.44140625" hidden="1" customWidth="1"/>
    <col min="3" max="3" width="15.44140625" customWidth="1"/>
    <col min="4" max="4" width="14" bestFit="1" customWidth="1"/>
    <col min="5" max="5" width="12.44140625" bestFit="1" customWidth="1"/>
    <col min="6" max="6" width="7" bestFit="1" customWidth="1"/>
    <col min="7" max="7" width="6.109375" bestFit="1" customWidth="1"/>
  </cols>
  <sheetData>
    <row r="1" spans="1:7" x14ac:dyDescent="0.25">
      <c r="A1" s="1" t="str">
        <f>Notes!A1</f>
        <v>Avista Utilities</v>
      </c>
      <c r="B1" s="1"/>
      <c r="C1" s="1"/>
      <c r="D1" s="1"/>
      <c r="E1" s="1"/>
      <c r="F1" s="106"/>
      <c r="G1" s="1"/>
    </row>
    <row r="2" spans="1:7" x14ac:dyDescent="0.25">
      <c r="A2" s="1" t="s">
        <v>202</v>
      </c>
      <c r="B2" s="1"/>
      <c r="C2" s="1"/>
      <c r="D2" s="1"/>
      <c r="E2" s="1"/>
      <c r="F2" s="1"/>
      <c r="G2" s="1"/>
    </row>
    <row r="3" spans="1:7" x14ac:dyDescent="0.25">
      <c r="A3" s="1" t="s">
        <v>203</v>
      </c>
      <c r="B3" s="1"/>
      <c r="C3" s="1"/>
      <c r="D3" s="1"/>
      <c r="E3" s="1"/>
      <c r="F3" s="1"/>
      <c r="G3" s="1"/>
    </row>
    <row r="4" spans="1:7" x14ac:dyDescent="0.25">
      <c r="A4" s="1" t="str">
        <f>Notes!A4</f>
        <v>For the Twelve Months Ended December 31, 2019</v>
      </c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7" spans="1:7" x14ac:dyDescent="0.25">
      <c r="A7" s="1"/>
      <c r="B7" s="23" t="s">
        <v>54</v>
      </c>
      <c r="C7" s="24" t="s">
        <v>1</v>
      </c>
      <c r="D7" s="24" t="s">
        <v>2</v>
      </c>
      <c r="E7" s="24" t="s">
        <v>199</v>
      </c>
      <c r="F7" s="24" t="s">
        <v>172</v>
      </c>
      <c r="G7" s="25" t="s">
        <v>55</v>
      </c>
    </row>
    <row r="9" spans="1:7" x14ac:dyDescent="0.25">
      <c r="A9" s="1" t="s">
        <v>306</v>
      </c>
      <c r="B9" s="1"/>
      <c r="C9" s="1"/>
      <c r="D9" s="1"/>
      <c r="E9" s="1"/>
      <c r="F9" s="1"/>
      <c r="G9" s="1"/>
    </row>
    <row r="10" spans="1:7" x14ac:dyDescent="0.25">
      <c r="A10" s="1" t="s">
        <v>307</v>
      </c>
      <c r="B10" s="8" t="s">
        <v>177</v>
      </c>
      <c r="C10" s="7">
        <f>SUM(D10:F10)</f>
        <v>76888847</v>
      </c>
      <c r="D10" s="7">
        <f>'Expenses-2019'!H6+'Expenses-2019'!I6+'Expenses-2019'!K6</f>
        <v>67386547</v>
      </c>
      <c r="E10" s="7">
        <f>'Expenses-2019'!L12+'Expenses-2019'!M12+'Expenses-2019'!O12+'Expenses-2019'!Q12</f>
        <v>9502300</v>
      </c>
      <c r="F10" s="7"/>
      <c r="G10" s="8" t="s">
        <v>331</v>
      </c>
    </row>
    <row r="11" spans="1:7" x14ac:dyDescent="0.25">
      <c r="A11" s="1" t="s">
        <v>309</v>
      </c>
      <c r="B11" s="8" t="s">
        <v>177</v>
      </c>
      <c r="C11" s="3">
        <f>SUM(D11:F11)</f>
        <v>56762785</v>
      </c>
      <c r="D11" s="3">
        <f>'Expenses-2019'!H5+'Expenses-2019'!I5+'Expenses-2019'!J5+'Expenses-2019'!K5</f>
        <v>45517009</v>
      </c>
      <c r="E11" s="3">
        <f>'Expenses-2019'!L11+'Expenses-2019'!M11+'Expenses-2019'!O11+'Expenses-2019'!Q11</f>
        <v>11245776</v>
      </c>
      <c r="F11" s="3"/>
      <c r="G11" s="9">
        <v>-2</v>
      </c>
    </row>
    <row r="12" spans="1:7" x14ac:dyDescent="0.25">
      <c r="A12" s="1"/>
      <c r="B12" s="8"/>
      <c r="C12" s="3"/>
      <c r="D12" s="3"/>
      <c r="E12" s="3"/>
      <c r="F12" s="3"/>
      <c r="G12" s="9"/>
    </row>
    <row r="13" spans="1:7" x14ac:dyDescent="0.25">
      <c r="A13" s="1" t="e">
        <f>+#REF!</f>
        <v>#REF!</v>
      </c>
      <c r="B13" s="8"/>
      <c r="C13" s="3"/>
      <c r="D13" s="3"/>
      <c r="E13" s="3"/>
      <c r="F13" s="3"/>
      <c r="G13" s="9"/>
    </row>
    <row r="14" spans="1:7" x14ac:dyDescent="0.25">
      <c r="A14" s="1" t="e">
        <f>+#REF!</f>
        <v>#REF!</v>
      </c>
      <c r="B14" s="8"/>
      <c r="C14" s="3"/>
      <c r="D14" s="3"/>
      <c r="E14" s="19"/>
      <c r="F14" s="90"/>
      <c r="G14" s="9"/>
    </row>
    <row r="15" spans="1:7" x14ac:dyDescent="0.25">
      <c r="A15" s="1" t="s">
        <v>57</v>
      </c>
      <c r="B15" s="1"/>
      <c r="C15" s="26">
        <f>SUM(C10:C14)</f>
        <v>133651632</v>
      </c>
      <c r="D15" s="26">
        <f>SUM(D10:D14)</f>
        <v>112903556</v>
      </c>
      <c r="E15" s="26">
        <f>SUM(E10:E14)</f>
        <v>20748076</v>
      </c>
      <c r="F15" s="26">
        <f>SUM(F10:F14)</f>
        <v>0</v>
      </c>
      <c r="G15" s="3"/>
    </row>
    <row r="16" spans="1:7" x14ac:dyDescent="0.25">
      <c r="G16" s="54"/>
    </row>
    <row r="17" spans="1:7" x14ac:dyDescent="0.25">
      <c r="A17" s="1" t="s">
        <v>58</v>
      </c>
      <c r="B17" s="1"/>
      <c r="C17" s="27">
        <f>SUM(D17:F17)</f>
        <v>1</v>
      </c>
      <c r="D17" s="4">
        <f>ROUND(+D15/C15,5)</f>
        <v>0.84475999999999996</v>
      </c>
      <c r="E17" s="4">
        <f>ROUND(+E15/C15,5)</f>
        <v>0.15523999999999999</v>
      </c>
      <c r="F17" s="4">
        <f>ROUND(F15/C15,5)</f>
        <v>0</v>
      </c>
      <c r="G17" s="92" t="str">
        <f>IF(C17=1," ","Check rounding")</f>
        <v xml:space="preserve"> </v>
      </c>
    </row>
    <row r="18" spans="1:7" x14ac:dyDescent="0.25">
      <c r="G18" s="54"/>
    </row>
    <row r="19" spans="1:7" x14ac:dyDescent="0.25">
      <c r="A19" s="1" t="s">
        <v>59</v>
      </c>
      <c r="B19" s="1"/>
      <c r="C19" s="1"/>
      <c r="D19" s="1"/>
      <c r="E19" s="1"/>
      <c r="F19" s="1"/>
      <c r="G19" s="3"/>
    </row>
    <row r="20" spans="1:7" x14ac:dyDescent="0.25">
      <c r="A20" s="1" t="s">
        <v>307</v>
      </c>
      <c r="B20" s="8" t="s">
        <v>177</v>
      </c>
      <c r="C20" s="7">
        <f>SUM(D20:F20)</f>
        <v>75898568</v>
      </c>
      <c r="D20" s="7">
        <f>'Expenses-2019'!H9+'Expenses-2019'!I9+'Expenses-2019'!K9+'Expenses-2019'!H10</f>
        <v>62127957</v>
      </c>
      <c r="E20" s="7">
        <f>'Expenses-2019'!L15+'Expenses-2019'!M15+'Expenses-2019'!O15+'Expenses-2019'!Q15</f>
        <v>13770611</v>
      </c>
      <c r="F20" s="7">
        <v>0</v>
      </c>
      <c r="G20" s="9"/>
    </row>
    <row r="21" spans="1:7" x14ac:dyDescent="0.25">
      <c r="A21" s="1" t="s">
        <v>309</v>
      </c>
      <c r="B21" s="8" t="s">
        <v>177</v>
      </c>
      <c r="C21" s="3">
        <f>SUM(D21:F21)</f>
        <v>4690127</v>
      </c>
      <c r="D21" s="3">
        <f>'Expenses-2019'!H8+'Expenses-2019'!I8+'Expenses-2019'!K8</f>
        <v>4132917</v>
      </c>
      <c r="E21" s="3">
        <f>'Expenses-2019'!L14+'Expenses-2019'!O14+'Expenses-2019'!Q14</f>
        <v>557210</v>
      </c>
      <c r="F21" s="3">
        <v>0</v>
      </c>
      <c r="G21" s="9"/>
    </row>
    <row r="22" spans="1:7" x14ac:dyDescent="0.25">
      <c r="A22" s="1"/>
      <c r="B22" s="1"/>
      <c r="C22" s="3"/>
      <c r="D22" s="3"/>
      <c r="E22" s="1"/>
      <c r="F22" s="1"/>
      <c r="G22" s="3"/>
    </row>
    <row r="23" spans="1:7" x14ac:dyDescent="0.25">
      <c r="A23" s="1" t="s">
        <v>57</v>
      </c>
      <c r="B23" s="1"/>
      <c r="C23" s="26">
        <f>SUM(C20:C22)</f>
        <v>80588695</v>
      </c>
      <c r="D23" s="26">
        <f>SUM(D20:D22)</f>
        <v>66260874</v>
      </c>
      <c r="E23" s="26">
        <f>SUM(E20:E22)</f>
        <v>14327821</v>
      </c>
      <c r="F23" s="26">
        <f>SUM(F20:F22)</f>
        <v>0</v>
      </c>
      <c r="G23" s="3"/>
    </row>
    <row r="24" spans="1:7" x14ac:dyDescent="0.25">
      <c r="G24" s="54"/>
    </row>
    <row r="25" spans="1:7" x14ac:dyDescent="0.25">
      <c r="A25" s="1" t="s">
        <v>58</v>
      </c>
      <c r="B25" s="1"/>
      <c r="C25" s="27">
        <f>SUM(D25:F25)</f>
        <v>1</v>
      </c>
      <c r="D25" s="4">
        <f>ROUND(+D23/C23,5)</f>
        <v>0.82221</v>
      </c>
      <c r="E25" s="4">
        <f>ROUND(+E23/C23,5)</f>
        <v>0.17779</v>
      </c>
      <c r="F25" s="4">
        <f>ROUND(F23/C23,5)</f>
        <v>0</v>
      </c>
      <c r="G25" s="92" t="str">
        <f>IF(C25=1," ","Check rounding")</f>
        <v xml:space="preserve"> </v>
      </c>
    </row>
    <row r="26" spans="1:7" x14ac:dyDescent="0.25">
      <c r="G26" s="54"/>
    </row>
    <row r="27" spans="1:7" x14ac:dyDescent="0.25">
      <c r="A27" s="3" t="str">
        <f>'7-2019'!A28</f>
        <v>Year End Customers at 12/31/19</v>
      </c>
      <c r="B27" s="1"/>
      <c r="C27" s="1"/>
      <c r="D27" s="1"/>
      <c r="E27" s="1"/>
      <c r="F27" s="1"/>
      <c r="G27" s="3"/>
    </row>
    <row r="28" spans="1:7" x14ac:dyDescent="0.25">
      <c r="A28" s="3" t="e">
        <f>#REF!</f>
        <v>#REF!</v>
      </c>
      <c r="B28" s="1"/>
      <c r="C28" s="3">
        <f>SUM(D28:F28)</f>
        <v>650331</v>
      </c>
      <c r="D28" s="3">
        <f>'7-2019'!D32</f>
        <v>392987</v>
      </c>
      <c r="E28" s="3">
        <f>'7-2019'!$E$32</f>
        <v>257344</v>
      </c>
      <c r="F28" s="6">
        <v>0</v>
      </c>
      <c r="G28" s="3"/>
    </row>
    <row r="29" spans="1:7" x14ac:dyDescent="0.25">
      <c r="G29" s="54"/>
    </row>
    <row r="30" spans="1:7" x14ac:dyDescent="0.25">
      <c r="A30" s="1" t="s">
        <v>58</v>
      </c>
      <c r="B30" s="1"/>
      <c r="C30" s="27">
        <f>SUM(D30:F30)</f>
        <v>1</v>
      </c>
      <c r="D30" s="4">
        <f>ROUND(+D28/C28,5)</f>
        <v>0.60428999999999999</v>
      </c>
      <c r="E30" s="4">
        <f>ROUND(+E28/C28,5)</f>
        <v>0.39571000000000001</v>
      </c>
      <c r="F30" s="4">
        <f>ROUND(F28/C28,5)</f>
        <v>0</v>
      </c>
      <c r="G30" s="92" t="str">
        <f>IF(C30=1," ","Check rounding")</f>
        <v xml:space="preserve"> </v>
      </c>
    </row>
    <row r="31" spans="1:7" x14ac:dyDescent="0.25">
      <c r="G31" s="54"/>
    </row>
    <row r="32" spans="1:7" x14ac:dyDescent="0.25">
      <c r="A32" s="1" t="str">
        <f>'7-2019'!A36</f>
        <v>Net Direct Plant (Ending Balance at 12/31/19)</v>
      </c>
      <c r="B32" s="1"/>
      <c r="C32" s="1"/>
      <c r="D32" s="1"/>
      <c r="E32" s="1"/>
      <c r="F32" s="1"/>
      <c r="G32" s="3"/>
    </row>
    <row r="33" spans="1:7" x14ac:dyDescent="0.25">
      <c r="A33" s="1" t="s">
        <v>63</v>
      </c>
      <c r="B33" s="1"/>
      <c r="C33" s="7">
        <f>SUM(D33:F33)</f>
        <v>3453995819</v>
      </c>
      <c r="D33" s="7">
        <f>'UtilityNetPlt-2019'!D31</f>
        <v>2837222024</v>
      </c>
      <c r="E33" s="7">
        <f>'UtilityNetPlt-2019'!E31</f>
        <v>616773795</v>
      </c>
      <c r="F33" s="7">
        <v>0</v>
      </c>
      <c r="G33" s="9"/>
    </row>
    <row r="34" spans="1:7" x14ac:dyDescent="0.25">
      <c r="G34" s="54"/>
    </row>
    <row r="35" spans="1:7" x14ac:dyDescent="0.25">
      <c r="A35" s="1" t="s">
        <v>58</v>
      </c>
      <c r="B35" s="1"/>
      <c r="C35" s="27">
        <f>SUM(D35:F35)</f>
        <v>1</v>
      </c>
      <c r="D35" s="4">
        <f>ROUND(+D33/C33,5)</f>
        <v>0.82142999999999999</v>
      </c>
      <c r="E35" s="4">
        <f>ROUND(+E33/C33,5)</f>
        <v>0.17857000000000001</v>
      </c>
      <c r="F35" s="4">
        <f>ROUND(F33/C33,5)</f>
        <v>0</v>
      </c>
      <c r="G35" s="92" t="str">
        <f>IF(C35=1," ","Check rounding")</f>
        <v xml:space="preserve"> </v>
      </c>
    </row>
    <row r="36" spans="1:7" x14ac:dyDescent="0.25">
      <c r="G36" s="54"/>
    </row>
    <row r="37" spans="1:7" x14ac:dyDescent="0.25">
      <c r="A37" s="1" t="s">
        <v>64</v>
      </c>
      <c r="B37" s="1"/>
      <c r="C37" s="1"/>
      <c r="D37" s="1"/>
      <c r="E37" s="1"/>
      <c r="F37" s="1"/>
      <c r="G37" s="3"/>
    </row>
    <row r="38" spans="1:7" x14ac:dyDescent="0.25">
      <c r="A38" s="1" t="s">
        <v>65</v>
      </c>
      <c r="B38" s="1"/>
      <c r="C38" s="28">
        <f>SUM(D38:F38)</f>
        <v>3.9999999999999996</v>
      </c>
      <c r="D38" s="28">
        <f>D17+D25+D30+D35</f>
        <v>3.0926899999999997</v>
      </c>
      <c r="E38" s="28">
        <f>E17+E25+E30+E35</f>
        <v>0.90730999999999995</v>
      </c>
      <c r="F38" s="28">
        <f>F17+F25+F30+F35</f>
        <v>0</v>
      </c>
      <c r="G38" s="3"/>
    </row>
    <row r="39" spans="1:7" x14ac:dyDescent="0.25">
      <c r="G39" s="54"/>
    </row>
    <row r="40" spans="1:7" ht="13.2" thickBot="1" x14ac:dyDescent="0.3">
      <c r="A40" s="1" t="s">
        <v>66</v>
      </c>
      <c r="B40" s="1"/>
      <c r="C40" s="91">
        <f>SUM(D40:F40)</f>
        <v>1</v>
      </c>
      <c r="D40" s="31">
        <f>ROUND(+D38/C38,5)+0.00001</f>
        <v>0.77317999999999998</v>
      </c>
      <c r="E40" s="30">
        <f>ROUND(+E38/C38,5)-0.00001</f>
        <v>0.22681999999999999</v>
      </c>
      <c r="F40" s="30">
        <f>ROUND(F38/C38,5)</f>
        <v>0</v>
      </c>
      <c r="G40" s="92" t="str">
        <f>IF(C40=1," ","Check rounding")</f>
        <v xml:space="preserve"> </v>
      </c>
    </row>
    <row r="41" spans="1:7" ht="13.2" thickTop="1" x14ac:dyDescent="0.25">
      <c r="A41" s="1"/>
      <c r="B41" s="1"/>
      <c r="C41" s="1"/>
      <c r="D41" s="1"/>
      <c r="E41" s="1"/>
      <c r="F41" s="1"/>
      <c r="G41" s="1"/>
    </row>
    <row r="43" spans="1:7" x14ac:dyDescent="0.25">
      <c r="A43" s="1" t="s">
        <v>330</v>
      </c>
      <c r="B43" s="1"/>
      <c r="C43" s="1"/>
      <c r="D43" s="1"/>
      <c r="E43" s="1"/>
      <c r="F43" s="1"/>
      <c r="G43" s="1"/>
    </row>
    <row r="44" spans="1:7" x14ac:dyDescent="0.25">
      <c r="A44" s="1" t="s">
        <v>136</v>
      </c>
      <c r="B44" s="1"/>
      <c r="C44" s="1"/>
      <c r="D44" s="1"/>
      <c r="E44" s="1"/>
      <c r="F44" s="1"/>
      <c r="G44" s="1"/>
    </row>
  </sheetData>
  <pageMargins left="0.7" right="0.7" top="0.75" bottom="0.75" header="0.3" footer="0.3"/>
  <pageSetup orientation="portrait" r:id="rId1"/>
  <headerFooter>
    <oddFooter>&amp;L&amp;F
&amp;A&amp;RPrepared By: Jeanne Pluth
Date: January 19, 2018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21E628FA901724CB0E0415AF241FD9A" ma:contentTypeVersion="52" ma:contentTypeDescription="" ma:contentTypeScope="" ma:versionID="44eee83b51ec508b159997a3f011244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2020-04-29T07:00:00+00:00</OpenedDate>
    <SignificantOrder xmlns="dc463f71-b30c-4ab2-9473-d307f9d35888">false</SignificantOrder>
    <Date1 xmlns="dc463f71-b30c-4ab2-9473-d307f9d35888">2020-04-29T07:00:00+00:00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200387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7A4D19A-0D67-4EC2-85FB-3E0935ACE092}"/>
</file>

<file path=customXml/itemProps2.xml><?xml version="1.0" encoding="utf-8"?>
<ds:datastoreItem xmlns:ds="http://schemas.openxmlformats.org/officeDocument/2006/customXml" ds:itemID="{325ED3D2-9661-45BE-895B-FD5C78B5C903}"/>
</file>

<file path=customXml/itemProps3.xml><?xml version="1.0" encoding="utf-8"?>
<ds:datastoreItem xmlns:ds="http://schemas.openxmlformats.org/officeDocument/2006/customXml" ds:itemID="{395FA215-6AFF-4086-B449-E5863D915DE9}"/>
</file>

<file path=customXml/itemProps4.xml><?xml version="1.0" encoding="utf-8"?>
<ds:datastoreItem xmlns:ds="http://schemas.openxmlformats.org/officeDocument/2006/customXml" ds:itemID="{BB37AE3F-52B2-4977-860B-8EDFC879D5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26</vt:i4>
      </vt:variant>
    </vt:vector>
  </HeadingPairs>
  <TitlesOfParts>
    <vt:vector size="44" baseType="lpstr">
      <vt:lpstr>Cover</vt:lpstr>
      <vt:lpstr>Notes</vt:lpstr>
      <vt:lpstr>Expenses-2019</vt:lpstr>
      <vt:lpstr>UtilityPlt-2019</vt:lpstr>
      <vt:lpstr>UtilityAccDep-2019</vt:lpstr>
      <vt:lpstr>UtilityNetPlt-2019</vt:lpstr>
      <vt:lpstr>7-2019</vt:lpstr>
      <vt:lpstr>8-2019</vt:lpstr>
      <vt:lpstr>9-2019</vt:lpstr>
      <vt:lpstr>NewMemo</vt:lpstr>
      <vt:lpstr>GasPlt-2019</vt:lpstr>
      <vt:lpstr>GasNetPlt-2019</vt:lpstr>
      <vt:lpstr>GAS-2019</vt:lpstr>
      <vt:lpstr>GAS-Variance</vt:lpstr>
      <vt:lpstr>ElecPlt-2019</vt:lpstr>
      <vt:lpstr>ElecNetPlt-2019</vt:lpstr>
      <vt:lpstr>ELEC-2019</vt:lpstr>
      <vt:lpstr>Historic%</vt:lpstr>
      <vt:lpstr>'UtilityAccDep-2019'!DEPREC</vt:lpstr>
      <vt:lpstr>'ElecPlt-2019'!ELEC_GENERAL</vt:lpstr>
      <vt:lpstr>'ELEC-2019'!ELECTRIC</vt:lpstr>
      <vt:lpstr>'GasNetPlt-2019'!GAS_PLANT</vt:lpstr>
      <vt:lpstr>'GasPlt-2019'!GENERAL_PLANT</vt:lpstr>
      <vt:lpstr>'UtilityPlt-2019'!INTANGIBLE_PLT</vt:lpstr>
      <vt:lpstr>'ElecNetPlt-2019'!NET_ELEC_PLANT</vt:lpstr>
      <vt:lpstr>'UtilityNetPlt-2019'!NET_PLANT</vt:lpstr>
      <vt:lpstr>'7-2019'!Print_Area</vt:lpstr>
      <vt:lpstr>Cover!Print_Area</vt:lpstr>
      <vt:lpstr>'ElecNetPlt-2019'!Print_Area</vt:lpstr>
      <vt:lpstr>'ElecPlt-2019'!Print_Area</vt:lpstr>
      <vt:lpstr>'Expenses-2019'!Print_Area</vt:lpstr>
      <vt:lpstr>'GAS-2019'!Print_Area</vt:lpstr>
      <vt:lpstr>'GasNetPlt-2019'!Print_Area</vt:lpstr>
      <vt:lpstr>'GasPlt-2019'!Print_Area</vt:lpstr>
      <vt:lpstr>'GAS-Variance'!Print_Area</vt:lpstr>
      <vt:lpstr>NewMemo!Print_Area</vt:lpstr>
      <vt:lpstr>'UtilityAccDep-2019'!Print_Area</vt:lpstr>
      <vt:lpstr>'UtilityPlt-2019'!Print_Area</vt:lpstr>
      <vt:lpstr>'Historic%'!Print_Titles</vt:lpstr>
      <vt:lpstr>'7-2019'!UTILITY_7</vt:lpstr>
      <vt:lpstr>'8-2019'!UTILITY_8</vt:lpstr>
      <vt:lpstr>'9-2019'!UTILITY_9</vt:lpstr>
      <vt:lpstr>'GAS-2019'!WWP_GAS</vt:lpstr>
      <vt:lpstr>'GAS-Variance'!WWP_GAS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Avista Corp Employee</dc:creator>
  <cp:lastModifiedBy>Pluth, Jeanne</cp:lastModifiedBy>
  <cp:lastPrinted>2020-01-23T21:53:54Z</cp:lastPrinted>
  <dcterms:created xsi:type="dcterms:W3CDTF">2000-01-21T22:20:02Z</dcterms:created>
  <dcterms:modified xsi:type="dcterms:W3CDTF">2020-01-23T21:54:45Z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0x0101006E56B4D1795A2E4DB2F0B01679ED314A00621E628FA901724CB0E0415AF241FD9A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