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-12" yWindow="108" windowWidth="14520" windowHeight="12180" tabRatio="829"/>
  </bookViews>
  <sheets>
    <sheet name="Lead E" sheetId="19" r:id="rId1"/>
    <sheet name="Lead G" sheetId="20" r:id="rId2"/>
    <sheet name="Ave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definedNames>
    <definedName name="_Fill" hidden="1">#REF!</definedName>
    <definedName name="_Order1" hidden="1">255</definedName>
    <definedName name="_Order2" hidden="1">255</definedName>
    <definedName name="a" localSheetId="4" hidden="1">{#N/A,#N/A,FALSE,"Coversheet";#N/A,#N/A,FALSE,"QA"}</definedName>
    <definedName name="a" localSheetId="3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3" hidden="1">{#N/A,#N/A,FALSE,"Coversheet";#N/A,#N/A,FALSE,"QA"}</definedName>
    <definedName name="CBWorkbookPriority" hidden="1">-2060790043</definedName>
    <definedName name="DELETE01" localSheetId="4" hidden="1">{#N/A,#N/A,FALSE,"Coversheet";#N/A,#N/A,FALSE,"QA"}</definedName>
    <definedName name="DELETE01" localSheetId="3" hidden="1">{#N/A,#N/A,FALSE,"Coversheet";#N/A,#N/A,FALSE,"QA"}</definedName>
    <definedName name="DELETE02" localSheetId="4" hidden="1">{#N/A,#N/A,FALSE,"Schedule F";#N/A,#N/A,FALSE,"Schedule G"}</definedName>
    <definedName name="DELETE02" localSheetId="3" hidden="1">{#N/A,#N/A,FALSE,"Schedule F";#N/A,#N/A,FALSE,"Schedule G"}</definedName>
    <definedName name="Delete06" localSheetId="4" hidden="1">{#N/A,#N/A,FALSE,"Coversheet";#N/A,#N/A,FALSE,"QA"}</definedName>
    <definedName name="Delete06" localSheetId="3" hidden="1">{#N/A,#N/A,FALSE,"Coversheet";#N/A,#N/A,FALSE,"QA"}</definedName>
    <definedName name="Delete09" localSheetId="4" hidden="1">{#N/A,#N/A,FALSE,"Coversheet";#N/A,#N/A,FALSE,"QA"}</definedName>
    <definedName name="Delete09" localSheetId="3" hidden="1">{#N/A,#N/A,FALSE,"Coversheet";#N/A,#N/A,FALSE,"QA"}</definedName>
    <definedName name="Delete1" localSheetId="4" hidden="1">{#N/A,#N/A,FALSE,"Coversheet";#N/A,#N/A,FALSE,"QA"}</definedName>
    <definedName name="Delete1" localSheetId="3" hidden="1">{#N/A,#N/A,FALSE,"Coversheet";#N/A,#N/A,FALSE,"QA"}</definedName>
    <definedName name="Delete10" localSheetId="4" hidden="1">{#N/A,#N/A,FALSE,"Schedule F";#N/A,#N/A,FALSE,"Schedule G"}</definedName>
    <definedName name="Delete10" localSheetId="3" hidden="1">{#N/A,#N/A,FALSE,"Schedule F";#N/A,#N/A,FALSE,"Schedule G"}</definedName>
    <definedName name="Delete21" localSheetId="4" hidden="1">{#N/A,#N/A,FALSE,"Coversheet";#N/A,#N/A,FALSE,"QA"}</definedName>
    <definedName name="Delete21" localSheetId="3" hidden="1">{#N/A,#N/A,FALSE,"Coversheet";#N/A,#N/A,FALSE,"QA"}</definedName>
    <definedName name="DFIT" localSheetId="4" hidden="1">{#N/A,#N/A,FALSE,"Coversheet";#N/A,#N/A,FALSE,"QA"}</definedName>
    <definedName name="DFIT" localSheetId="3" hidden="1">{#N/A,#N/A,FALSE,"Coversheet";#N/A,#N/A,FALSE,"QA"}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3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3" hidden="1">{#N/A,#N/A,FALSE,"2002 Small Tool OH";#N/A,#N/A,FALSE,"QA"}</definedName>
  </definedNames>
  <calcPr calcId="162913"/>
</workbook>
</file>

<file path=xl/calcChain.xml><?xml version="1.0" encoding="utf-8"?>
<calcChain xmlns="http://schemas.openxmlformats.org/spreadsheetml/2006/main">
  <c r="B17" i="44" l="1"/>
  <c r="B16" i="44"/>
  <c r="D6" i="44" l="1"/>
  <c r="D16" i="44" s="1"/>
  <c r="C6" i="44"/>
  <c r="C16" i="44" s="1"/>
  <c r="D18" i="19" l="1"/>
  <c r="D13" i="23"/>
  <c r="D11" i="23"/>
  <c r="D9" i="23"/>
  <c r="B10" i="26"/>
  <c r="B6" i="26"/>
  <c r="B15" i="38"/>
  <c r="B17" i="38"/>
  <c r="B16" i="38"/>
  <c r="B14" i="38"/>
  <c r="B9" i="38"/>
  <c r="B8" i="38"/>
  <c r="B7" i="38"/>
  <c r="B6" i="38"/>
  <c r="B45" i="44" l="1"/>
  <c r="B46" i="44" s="1"/>
  <c r="B38" i="44"/>
  <c r="B34" i="44"/>
  <c r="B9" i="44"/>
  <c r="B8" i="44"/>
  <c r="L18" i="38"/>
  <c r="L9" i="38"/>
  <c r="B13" i="44" l="1"/>
  <c r="C8" i="44" l="1"/>
  <c r="D8" i="44"/>
  <c r="D9" i="44"/>
  <c r="C9" i="44"/>
  <c r="D19" i="23"/>
  <c r="D21" i="23"/>
  <c r="D10" i="44" l="1"/>
  <c r="D18" i="38"/>
  <c r="E18" i="38"/>
  <c r="F18" i="38"/>
  <c r="G18" i="38"/>
  <c r="C18" i="38"/>
  <c r="F9" i="38"/>
  <c r="G9" i="38"/>
  <c r="H9" i="38"/>
  <c r="J9" i="38"/>
  <c r="K9" i="38"/>
  <c r="I18" i="38" l="1"/>
  <c r="I9" i="38"/>
  <c r="E9" i="38"/>
  <c r="B13" i="26"/>
  <c r="H18" i="38" l="1"/>
  <c r="J18" i="38"/>
  <c r="B18" i="38"/>
  <c r="C9" i="38"/>
  <c r="D9" i="38"/>
  <c r="K18" i="38"/>
  <c r="B21" i="38" l="1"/>
  <c r="D15" i="44"/>
  <c r="C13" i="44"/>
  <c r="C14" i="44"/>
  <c r="C12" i="44"/>
  <c r="C15" i="44"/>
  <c r="C17" i="44" l="1"/>
  <c r="D12" i="44"/>
  <c r="D14" i="44"/>
  <c r="D13" i="44"/>
  <c r="D17" i="44" l="1"/>
  <c r="D23" i="23"/>
  <c r="D25" i="23" s="1"/>
  <c r="D18" i="20" l="1"/>
  <c r="D19" i="19"/>
  <c r="A8" i="20" l="1"/>
  <c r="A7" i="20"/>
  <c r="B10" i="44" l="1"/>
  <c r="D26" i="19" s="1"/>
  <c r="C10" i="44"/>
  <c r="A14" i="20" l="1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D23" i="19" l="1"/>
  <c r="D6" i="23"/>
  <c r="D4" i="23"/>
  <c r="D25" i="19" l="1"/>
  <c r="D27" i="19" s="1"/>
  <c r="E27" i="19" s="1"/>
  <c r="D15" i="20" l="1"/>
  <c r="D17" i="20" s="1"/>
  <c r="D16" i="19"/>
  <c r="D20" i="19" l="1"/>
  <c r="E20" i="19" s="1"/>
  <c r="E29" i="19" s="1"/>
  <c r="D19" i="20" l="1"/>
  <c r="E31" i="19" l="1"/>
  <c r="E19" i="20"/>
  <c r="E22" i="20" l="1"/>
  <c r="E24" i="20" l="1"/>
  <c r="E25" i="20" s="1"/>
  <c r="E32" i="19" l="1"/>
</calcChain>
</file>

<file path=xl/sharedStrings.xml><?xml version="1.0" encoding="utf-8"?>
<sst xmlns="http://schemas.openxmlformats.org/spreadsheetml/2006/main" count="115" uniqueCount="96">
  <si>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</si>
  <si>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</si>
  <si>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</si>
  <si>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</si>
  <si>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</si>
  <si>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</si>
  <si>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</si>
  <si>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</si>
  <si>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</si>
  <si>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</si>
  <si>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</si>
  <si>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</si>
  <si>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</si>
  <si>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</si>
  <si>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</si>
  <si>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</si>
  <si>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</si>
  <si>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</si>
  <si>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</si>
  <si>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Split between Electric and Gas - Rounded</t>
  </si>
  <si>
    <t>ANNUAL NORMALIZATION (LINE 3 / 2)</t>
  </si>
  <si>
    <t>PUGET SOUND ENERGY-GAS</t>
  </si>
  <si>
    <t>Act. Costs</t>
  </si>
  <si>
    <t>2011 GRC</t>
  </si>
  <si>
    <t>order 92800018 (Elec)</t>
  </si>
  <si>
    <t>order 92800319 (Gas)</t>
  </si>
  <si>
    <t>order 92800605 (Common)</t>
  </si>
  <si>
    <t>Total 2011 GRC Cost</t>
  </si>
  <si>
    <t>2011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</si>
  <si>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</si>
  <si>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</si>
  <si>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</si>
  <si>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</si>
  <si>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</si>
  <si>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</si>
  <si>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</si>
  <si>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</si>
  <si>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</si>
  <si>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</si>
  <si>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</si>
  <si>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</si>
  <si>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</si>
  <si>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</si>
  <si>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</si>
  <si>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</si>
  <si>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</si>
  <si>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</si>
  <si>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 xml:space="preserve">     2014 AND 2013 PCORC EXPENSES TO BE NORMALIZED</t>
  </si>
  <si>
    <t>ANNUAL NORMALIZATION (LINE 11 / 4)</t>
  </si>
  <si>
    <t>ANNUAL NORMALIZATION (LINE 4 / 2)</t>
  </si>
  <si>
    <t>COMMISSION BASIS REPORT</t>
  </si>
  <si>
    <t>GRC Costs</t>
  </si>
  <si>
    <t>Total 2017 GRC Cost</t>
  </si>
  <si>
    <t>92800825  1322 General Rate Case 2016 Rev Requir</t>
  </si>
  <si>
    <t>92800826  1351 General Rate Case 2016</t>
  </si>
  <si>
    <t>92800828  1900 - 2016 General Rate Case - Common</t>
  </si>
  <si>
    <t>92800610  1900 - 2016 General Rate Case - Common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</si>
  <si>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</si>
  <si>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</si>
  <si>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</si>
  <si>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</si>
  <si>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</si>
  <si>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</si>
  <si>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 xml:space="preserve">      2017 AND 2011 GRC EXPENSES TO BE NORMALIZED</t>
  </si>
  <si>
    <t>EXPENSES OF LAST 2 COMPLETED GRCS (2017 GRC AND 2011 GRC) TO BE NORMALIZED</t>
  </si>
  <si>
    <t>Total GRC direct charges</t>
  </si>
  <si>
    <t xml:space="preserve">  ZO12                      Orders: Actual 12 Month Ended</t>
  </si>
  <si>
    <t xml:space="preserve">  Pages:                      0</t>
  </si>
  <si>
    <r>
      <t xml:space="preserve">Run </t>
    </r>
    <r>
      <rPr>
        <b/>
        <sz val="9"/>
        <rFont val="Arial"/>
        <family val="2"/>
      </rPr>
      <t>Order Group 928 by order</t>
    </r>
    <r>
      <rPr>
        <sz val="10"/>
        <rFont val="Arial"/>
        <family val="2"/>
      </rPr>
      <t xml:space="preserve"> to check for new rate case orders.</t>
    </r>
  </si>
  <si>
    <t>*   Common Regulatory Comm Exp</t>
  </si>
  <si>
    <t>**  Debit</t>
  </si>
  <si>
    <t xml:space="preserve">    92800006  1900 - FERC Regulatory Comm Ex</t>
  </si>
  <si>
    <t xml:space="preserve">    92800007  1900 - State Regulatory Comm E</t>
  </si>
  <si>
    <t xml:space="preserve">    92800008  1900 - FERC Transmission Rate</t>
  </si>
  <si>
    <t xml:space="preserve">    92800010  1180 - WUTC Filing Fees - Electric</t>
  </si>
  <si>
    <t xml:space="preserve">    92800015  5010 - Hydro Licensing Fees -</t>
  </si>
  <si>
    <t xml:space="preserve">    92800028  4310 - FERC Regulatory Comm Tr</t>
  </si>
  <si>
    <t xml:space="preserve">    92800040  5020 - Hydro Licensing Fees -</t>
  </si>
  <si>
    <t xml:space="preserve">    92800045  4310 - FERC Regulatory Comm Tr</t>
  </si>
  <si>
    <t>*   Electric Regulatory Comm Exp</t>
  </si>
  <si>
    <t xml:space="preserve">    92800306  1900 - FERC Regulatory Comm Ex</t>
  </si>
  <si>
    <t xml:space="preserve">    92800310  1180 - WUTC Filing Fees - Gas</t>
  </si>
  <si>
    <t>*   Gas Regulatory Commission Exp</t>
  </si>
  <si>
    <t xml:space="preserve">    92800608  1900 - State Regulatory Comm E</t>
  </si>
  <si>
    <t xml:space="preserve">    92800611  1900-Perkins Coie-Expedited Ra</t>
  </si>
  <si>
    <t xml:space="preserve">    92800612  9804– Credit order for Corpora</t>
  </si>
  <si>
    <t xml:space="preserve">    92800824  1321 Manage Adjudicatory admin</t>
  </si>
  <si>
    <t xml:space="preserve">    92800826  1351 General Rate Case 2016</t>
  </si>
  <si>
    <t>SUMMARY PCORC:  Cumulative Expenditures through 12/31/2019</t>
  </si>
  <si>
    <t>SUMMARY GRC:  Cumulative Expenditures through 12/31/2019</t>
  </si>
  <si>
    <t>12ME Dec 31, 2019</t>
  </si>
  <si>
    <t xml:space="preserve"> Run Date:                     01/21/2020</t>
  </si>
  <si>
    <t xml:space="preserve">    92800526  1900 - State Regulatory Comm Exp - Gas</t>
  </si>
  <si>
    <t xml:space="preserve">    92800613  1900– 2019 General Rate Case - Common</t>
  </si>
  <si>
    <t>FOR THE TWELVE MONTHS ENDED DECEMBER 31, 2019</t>
  </si>
  <si>
    <t>92800613  1900– 2019 General Rate Case - 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</si>
</sst>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\-yy"/>
    <numFmt numFmtId="169" formatCode="0.000000"/>
    <numFmt numFmtId="170" formatCode="_(* #,##0.00000_);_(* \(#,##0.00000\);_(* &quot;-&quot;??_);_(@_)"/>
    <numFmt numFmtId="171" formatCode="0.0000000"/>
    <numFmt numFmtId="172" formatCode="d\.mmm\.yy"/>
    <numFmt numFmtId="173" formatCode="_(* ###0_);_(* \(###0\);_(* &quot;-&quot;_);_(@_)"/>
    <numFmt numFmtId="174" formatCode="0000000"/>
    <numFmt numFmtId="175" formatCode="0.0%"/>
    <numFmt numFmtId="176" formatCode="_(* #,##0.0_);_(* \(#,##0.0\);_(* &quot;-&quot;_);_(@_)"/>
    <numFmt numFmtId="177" formatCode="mmmm\ d\,\ yyyy"/>
    <numFmt numFmtId="178" formatCode="#."/>
    <numFmt numFmtId="179" formatCode="_(&quot;$&quot;* #,##0.0000_);_(&quot;$&quot;* \(#,##0.0000\);_(&quot;$&quot;* &quot;-&quot;????_);_(@_)"/>
    <numFmt numFmtId="180" formatCode="#,##0.00_-;#,##0.00\-;&quot; &quot;"/>
    <numFmt numFmtId="181" formatCode="0000"/>
    <numFmt numFmtId="182" formatCode="000000"/>
    <numFmt numFmtId="183" formatCode="#,##0_-;#,##0\-;&quot; &quot;"/>
  </numFmts>
  <fonts count="77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b/>
      <sz val="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Geneva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0"/>
      <color rgb="FFFF0000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</fonts>
  <fills count="8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306">
    <xf numFmtId="0" fontId="0" fillId="0" borderId="0"/>
    <xf numFmtId="169" fontId="8" fillId="0" borderId="0">
      <alignment horizontal="left" wrapText="1"/>
    </xf>
    <xf numFmtId="170" fontId="8" fillId="0" borderId="0">
      <alignment horizontal="left" wrapText="1"/>
    </xf>
    <xf numFmtId="171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1" fillId="0" borderId="0"/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1" fillId="0" borderId="0"/>
    <xf numFmtId="181" fontId="38" fillId="0" borderId="0">
      <alignment horizontal="left"/>
    </xf>
    <xf numFmtId="182" fontId="39" fillId="0" borderId="0">
      <alignment horizontal="left"/>
    </xf>
    <xf numFmtId="0" fontId="49" fillId="36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49" fillId="37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49" fillId="38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49" fillId="39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9" fillId="40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49" fillId="41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49" fillId="42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49" fillId="43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49" fillId="4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9" fillId="4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9" fillId="4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49" fillId="47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54" borderId="0" applyNumberFormat="0" applyBorder="0" applyAlignment="0" applyProtection="0"/>
    <xf numFmtId="0" fontId="50" fillId="55" borderId="0" applyNumberFormat="0" applyBorder="0" applyAlignment="0" applyProtection="0"/>
    <xf numFmtId="0" fontId="50" fillId="56" borderId="0" applyNumberFormat="0" applyBorder="0" applyAlignment="0" applyProtection="0"/>
    <xf numFmtId="0" fontId="50" fillId="57" borderId="0" applyNumberFormat="0" applyBorder="0" applyAlignment="0" applyProtection="0"/>
    <xf numFmtId="0" fontId="50" fillId="58" borderId="0" applyNumberFormat="0" applyBorder="0" applyAlignment="0" applyProtection="0"/>
    <xf numFmtId="0" fontId="50" fillId="59" borderId="0" applyNumberFormat="0" applyBorder="0" applyAlignment="0" applyProtection="0"/>
    <xf numFmtId="0" fontId="51" fillId="60" borderId="0" applyNumberFormat="0" applyBorder="0" applyAlignment="0" applyProtection="0"/>
    <xf numFmtId="0" fontId="39" fillId="0" borderId="0" applyFont="0" applyFill="0" applyBorder="0" applyAlignment="0" applyProtection="0">
      <alignment horizontal="right"/>
    </xf>
    <xf numFmtId="172" fontId="12" fillId="0" borderId="0" applyFill="0" applyBorder="0" applyAlignment="0"/>
    <xf numFmtId="0" fontId="52" fillId="61" borderId="25" applyNumberFormat="0" applyAlignment="0" applyProtection="0"/>
    <xf numFmtId="0" fontId="53" fillId="62" borderId="26" applyNumberFormat="0" applyAlignment="0" applyProtection="0"/>
    <xf numFmtId="41" fontId="8" fillId="16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28" fillId="0" borderId="0"/>
    <xf numFmtId="178" fontId="29" fillId="0" borderId="0">
      <protection locked="0"/>
    </xf>
    <xf numFmtId="0" fontId="28" fillId="0" borderId="0"/>
    <xf numFmtId="0" fontId="15" fillId="0" borderId="0" applyNumberFormat="0" applyAlignment="0">
      <alignment horizontal="left"/>
    </xf>
    <xf numFmtId="0" fontId="16" fillId="0" borderId="0" applyNumberFormat="0" applyAlignment="0"/>
    <xf numFmtId="0" fontId="14" fillId="0" borderId="0"/>
    <xf numFmtId="0" fontId="28" fillId="0" borderId="0"/>
    <xf numFmtId="0" fontId="14" fillId="0" borderId="0"/>
    <xf numFmtId="0" fontId="28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8" fillId="0" borderId="0"/>
    <xf numFmtId="0" fontId="54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4" fillId="0" borderId="0"/>
    <xf numFmtId="0" fontId="55" fillId="63" borderId="0" applyNumberFormat="0" applyBorder="0" applyAlignment="0" applyProtection="0"/>
    <xf numFmtId="38" fontId="6" fillId="16" borderId="0" applyNumberFormat="0" applyBorder="0" applyAlignment="0" applyProtection="0"/>
    <xf numFmtId="167" fontId="37" fillId="0" borderId="0" applyNumberFormat="0" applyFill="0" applyBorder="0" applyProtection="0">
      <alignment horizontal="right"/>
    </xf>
    <xf numFmtId="0" fontId="4" fillId="0" borderId="1" applyNumberFormat="0" applyAlignment="0" applyProtection="0">
      <alignment horizontal="left"/>
    </xf>
    <xf numFmtId="0" fontId="4" fillId="0" borderId="2">
      <alignment horizontal="left"/>
    </xf>
    <xf numFmtId="14" fontId="5" fillId="17" borderId="3">
      <alignment horizontal="center" vertical="center" wrapText="1"/>
    </xf>
    <xf numFmtId="0" fontId="56" fillId="0" borderId="27" applyNumberFormat="0" applyFill="0" applyAlignment="0" applyProtection="0"/>
    <xf numFmtId="0" fontId="57" fillId="0" borderId="28" applyNumberFormat="0" applyFill="0" applyAlignment="0" applyProtection="0"/>
    <xf numFmtId="0" fontId="58" fillId="0" borderId="29" applyNumberFormat="0" applyFill="0" applyAlignment="0" applyProtection="0"/>
    <xf numFmtId="0" fontId="58" fillId="0" borderId="0" applyNumberFormat="0" applyFill="0" applyBorder="0" applyAlignment="0" applyProtection="0"/>
    <xf numFmtId="38" fontId="17" fillId="0" borderId="0"/>
    <xf numFmtId="40" fontId="17" fillId="0" borderId="0"/>
    <xf numFmtId="0" fontId="59" fillId="64" borderId="25" applyNumberFormat="0" applyAlignment="0" applyProtection="0"/>
    <xf numFmtId="10" fontId="6" fillId="18" borderId="4" applyNumberFormat="0" applyBorder="0" applyAlignment="0" applyProtection="0"/>
    <xf numFmtId="41" fontId="18" fillId="19" borderId="5">
      <alignment horizontal="left"/>
      <protection locked="0"/>
    </xf>
    <xf numFmtId="10" fontId="18" fillId="19" borderId="5">
      <alignment horizontal="right"/>
      <protection locked="0"/>
    </xf>
    <xf numFmtId="41" fontId="18" fillId="19" borderId="5">
      <alignment horizontal="left"/>
      <protection locked="0"/>
    </xf>
    <xf numFmtId="0" fontId="6" fillId="16" borderId="0"/>
    <xf numFmtId="3" fontId="30" fillId="0" borderId="0" applyFill="0" applyBorder="0" applyAlignment="0" applyProtection="0"/>
    <xf numFmtId="0" fontId="60" fillId="0" borderId="30" applyNumberFormat="0" applyFill="0" applyAlignment="0" applyProtection="0"/>
    <xf numFmtId="44" fontId="5" fillId="0" borderId="6" applyNumberFormat="0" applyFont="0" applyAlignment="0">
      <alignment horizontal="center"/>
    </xf>
    <xf numFmtId="44" fontId="5" fillId="0" borderId="7" applyNumberFormat="0" applyFont="0" applyAlignment="0">
      <alignment horizontal="center"/>
    </xf>
    <xf numFmtId="0" fontId="61" fillId="65" borderId="0" applyNumberFormat="0" applyBorder="0" applyAlignment="0" applyProtection="0"/>
    <xf numFmtId="37" fontId="19" fillId="0" borderId="0"/>
    <xf numFmtId="174" fontId="20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7" fillId="0" borderId="0"/>
    <xf numFmtId="177" fontId="8" fillId="0" borderId="0">
      <alignment horizontal="left" wrapText="1"/>
    </xf>
    <xf numFmtId="0" fontId="26" fillId="0" borderId="0"/>
    <xf numFmtId="0" fontId="26" fillId="0" borderId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49" fillId="66" borderId="31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62" fillId="61" borderId="32" applyNumberFormat="0" applyAlignment="0" applyProtection="0"/>
    <xf numFmtId="0" fontId="14" fillId="0" borderId="0"/>
    <xf numFmtId="0" fontId="14" fillId="0" borderId="0"/>
    <xf numFmtId="0" fontId="28" fillId="0" borderId="0"/>
    <xf numFmtId="175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41" fontId="8" fillId="22" borderId="5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21" fillId="0" borderId="3">
      <alignment horizontal="center"/>
    </xf>
    <xf numFmtId="3" fontId="10" fillId="0" borderId="0" applyFont="0" applyFill="0" applyBorder="0" applyAlignment="0" applyProtection="0"/>
    <xf numFmtId="0" fontId="10" fillId="23" borderId="0" applyNumberFormat="0" applyFont="0" applyBorder="0" applyAlignment="0" applyProtection="0"/>
    <xf numFmtId="0" fontId="28" fillId="0" borderId="0"/>
    <xf numFmtId="3" fontId="31" fillId="0" borderId="0" applyFill="0" applyBorder="0" applyAlignment="0" applyProtection="0"/>
    <xf numFmtId="0" fontId="32" fillId="0" borderId="0"/>
    <xf numFmtId="42" fontId="8" fillId="18" borderId="0"/>
    <xf numFmtId="42" fontId="8" fillId="18" borderId="9">
      <alignment vertical="center"/>
    </xf>
    <xf numFmtId="0" fontId="5" fillId="18" borderId="10" applyNumberFormat="0">
      <alignment horizontal="center" vertical="center" wrapText="1"/>
    </xf>
    <xf numFmtId="10" fontId="8" fillId="18" borderId="0"/>
    <xf numFmtId="179" fontId="8" fillId="18" borderId="0"/>
    <xf numFmtId="166" fontId="17" fillId="0" borderId="0" applyBorder="0" applyAlignment="0"/>
    <xf numFmtId="42" fontId="8" fillId="18" borderId="11">
      <alignment horizontal="left"/>
    </xf>
    <xf numFmtId="179" fontId="33" fillId="18" borderId="11">
      <alignment horizontal="left"/>
    </xf>
    <xf numFmtId="14" fontId="22" fillId="0" borderId="0" applyNumberFormat="0" applyFill="0" applyBorder="0" applyAlignment="0" applyProtection="0">
      <alignment horizontal="left"/>
    </xf>
    <xf numFmtId="176" fontId="8" fillId="0" borderId="0" applyFont="0" applyFill="0" applyAlignment="0">
      <alignment horizontal="right"/>
    </xf>
    <xf numFmtId="4" fontId="41" fillId="20" borderId="12" applyNumberFormat="0" applyProtection="0">
      <alignment vertical="center"/>
    </xf>
    <xf numFmtId="4" fontId="42" fillId="19" borderId="12" applyNumberFormat="0" applyProtection="0">
      <alignment vertical="center"/>
    </xf>
    <xf numFmtId="4" fontId="41" fillId="19" borderId="12" applyNumberFormat="0" applyProtection="0">
      <alignment horizontal="left" vertical="center" indent="1"/>
    </xf>
    <xf numFmtId="0" fontId="41" fillId="19" borderId="12" applyNumberFormat="0" applyProtection="0">
      <alignment horizontal="left" vertical="top" indent="1"/>
    </xf>
    <xf numFmtId="4" fontId="41" fillId="24" borderId="0" applyNumberFormat="0" applyProtection="0">
      <alignment horizontal="left" vertical="center" indent="1"/>
    </xf>
    <xf numFmtId="0" fontId="8" fillId="25" borderId="0" applyNumberFormat="0" applyProtection="0">
      <alignment horizontal="left" vertical="center" indent="1"/>
    </xf>
    <xf numFmtId="4" fontId="40" fillId="3" borderId="12" applyNumberFormat="0" applyProtection="0">
      <alignment horizontal="right" vertical="center"/>
    </xf>
    <xf numFmtId="4" fontId="40" fillId="9" borderId="12" applyNumberFormat="0" applyProtection="0">
      <alignment horizontal="right" vertical="center"/>
    </xf>
    <xf numFmtId="4" fontId="40" fillId="13" borderId="12" applyNumberFormat="0" applyProtection="0">
      <alignment horizontal="right" vertical="center"/>
    </xf>
    <xf numFmtId="4" fontId="40" fillId="11" borderId="12" applyNumberFormat="0" applyProtection="0">
      <alignment horizontal="right" vertical="center"/>
    </xf>
    <xf numFmtId="4" fontId="40" fillId="12" borderId="12" applyNumberFormat="0" applyProtection="0">
      <alignment horizontal="right" vertical="center"/>
    </xf>
    <xf numFmtId="4" fontId="40" fillId="15" borderId="12" applyNumberFormat="0" applyProtection="0">
      <alignment horizontal="right" vertical="center"/>
    </xf>
    <xf numFmtId="4" fontId="40" fillId="14" borderId="12" applyNumberFormat="0" applyProtection="0">
      <alignment horizontal="right" vertical="center"/>
    </xf>
    <xf numFmtId="4" fontId="40" fillId="26" borderId="12" applyNumberFormat="0" applyProtection="0">
      <alignment horizontal="right" vertical="center"/>
    </xf>
    <xf numFmtId="4" fontId="40" fillId="10" borderId="12" applyNumberFormat="0" applyProtection="0">
      <alignment horizontal="right" vertical="center"/>
    </xf>
    <xf numFmtId="4" fontId="41" fillId="27" borderId="13" applyNumberFormat="0" applyProtection="0">
      <alignment horizontal="left" vertical="center" indent="1"/>
    </xf>
    <xf numFmtId="4" fontId="40" fillId="28" borderId="0" applyNumberFormat="0" applyProtection="0">
      <alignment horizontal="left" vertical="center" indent="1"/>
    </xf>
    <xf numFmtId="4" fontId="43" fillId="29" borderId="0" applyNumberFormat="0" applyProtection="0">
      <alignment horizontal="left" vertical="center" indent="1"/>
    </xf>
    <xf numFmtId="4" fontId="40" fillId="30" borderId="12" applyNumberFormat="0" applyProtection="0">
      <alignment horizontal="right" vertical="center"/>
    </xf>
    <xf numFmtId="4" fontId="40" fillId="28" borderId="0" applyNumberFormat="0" applyProtection="0">
      <alignment horizontal="left" vertical="center" indent="1"/>
    </xf>
    <xf numFmtId="4" fontId="40" fillId="24" borderId="0" applyNumberFormat="0" applyProtection="0">
      <alignment horizontal="left" vertical="center" indent="1"/>
    </xf>
    <xf numFmtId="0" fontId="8" fillId="29" borderId="12" applyNumberFormat="0" applyProtection="0">
      <alignment horizontal="left" vertical="center" indent="1"/>
    </xf>
    <xf numFmtId="0" fontId="8" fillId="29" borderId="12" applyNumberFormat="0" applyProtection="0">
      <alignment horizontal="left" vertical="top" indent="1"/>
    </xf>
    <xf numFmtId="0" fontId="8" fillId="24" borderId="12" applyNumberFormat="0" applyProtection="0">
      <alignment horizontal="left" vertical="center" indent="1"/>
    </xf>
    <xf numFmtId="0" fontId="8" fillId="24" borderId="12" applyNumberFormat="0" applyProtection="0">
      <alignment horizontal="left" vertical="top" indent="1"/>
    </xf>
    <xf numFmtId="0" fontId="8" fillId="31" borderId="12" applyNumberFormat="0" applyProtection="0">
      <alignment horizontal="left" vertical="center" indent="1"/>
    </xf>
    <xf numFmtId="0" fontId="8" fillId="31" borderId="12" applyNumberFormat="0" applyProtection="0">
      <alignment horizontal="left" vertical="top" indent="1"/>
    </xf>
    <xf numFmtId="0" fontId="8" fillId="22" borderId="12" applyNumberFormat="0" applyProtection="0">
      <alignment horizontal="left" vertical="center" indent="1"/>
    </xf>
    <xf numFmtId="0" fontId="8" fillId="22" borderId="12" applyNumberFormat="0" applyProtection="0">
      <alignment horizontal="left" vertical="top" indent="1"/>
    </xf>
    <xf numFmtId="4" fontId="40" fillId="32" borderId="12" applyNumberFormat="0" applyProtection="0">
      <alignment vertical="center"/>
    </xf>
    <xf numFmtId="4" fontId="44" fillId="32" borderId="12" applyNumberFormat="0" applyProtection="0">
      <alignment vertical="center"/>
    </xf>
    <xf numFmtId="4" fontId="40" fillId="32" borderId="12" applyNumberFormat="0" applyProtection="0">
      <alignment horizontal="left" vertical="center" indent="1"/>
    </xf>
    <xf numFmtId="0" fontId="40" fillId="32" borderId="12" applyNumberFormat="0" applyProtection="0">
      <alignment horizontal="left" vertical="top" indent="1"/>
    </xf>
    <xf numFmtId="4" fontId="40" fillId="28" borderId="12" applyNumberFormat="0" applyProtection="0">
      <alignment horizontal="right" vertical="center"/>
    </xf>
    <xf numFmtId="4" fontId="44" fillId="28" borderId="12" applyNumberFormat="0" applyProtection="0">
      <alignment horizontal="right" vertical="center"/>
    </xf>
    <xf numFmtId="4" fontId="40" fillId="30" borderId="12" applyNumberFormat="0" applyProtection="0">
      <alignment horizontal="left" vertical="center" indent="1"/>
    </xf>
    <xf numFmtId="0" fontId="40" fillId="24" borderId="12" applyNumberFormat="0" applyProtection="0">
      <alignment horizontal="left" vertical="top" indent="1"/>
    </xf>
    <xf numFmtId="4" fontId="45" fillId="33" borderId="0" applyNumberFormat="0" applyProtection="0">
      <alignment horizontal="left" vertical="center" indent="1"/>
    </xf>
    <xf numFmtId="4" fontId="7" fillId="28" borderId="12" applyNumberFormat="0" applyProtection="0">
      <alignment horizontal="right" vertical="center"/>
    </xf>
    <xf numFmtId="39" fontId="8" fillId="34" borderId="0"/>
    <xf numFmtId="38" fontId="6" fillId="0" borderId="14"/>
    <xf numFmtId="38" fontId="17" fillId="0" borderId="11"/>
    <xf numFmtId="39" fontId="22" fillId="35" borderId="0"/>
    <xf numFmtId="169" fontId="8" fillId="0" borderId="0">
      <alignment horizontal="left" wrapText="1"/>
    </xf>
    <xf numFmtId="170" fontId="8" fillId="0" borderId="0">
      <alignment horizontal="left" wrapText="1"/>
    </xf>
    <xf numFmtId="40" fontId="23" fillId="0" borderId="0" applyBorder="0">
      <alignment horizontal="right"/>
    </xf>
    <xf numFmtId="41" fontId="34" fillId="18" borderId="0">
      <alignment horizontal="left"/>
    </xf>
    <xf numFmtId="0" fontId="46" fillId="0" borderId="0"/>
    <xf numFmtId="0" fontId="47" fillId="0" borderId="0" applyFill="0" applyBorder="0" applyProtection="0">
      <alignment horizontal="left" vertical="top"/>
    </xf>
    <xf numFmtId="0" fontId="63" fillId="0" borderId="0" applyNumberFormat="0" applyFill="0" applyBorder="0" applyAlignment="0" applyProtection="0"/>
    <xf numFmtId="164" fontId="35" fillId="18" borderId="0">
      <alignment horizontal="left" vertical="center"/>
    </xf>
    <xf numFmtId="0" fontId="5" fillId="18" borderId="0">
      <alignment horizontal="left" wrapText="1"/>
    </xf>
    <xf numFmtId="0" fontId="24" fillId="0" borderId="0">
      <alignment horizontal="left" vertical="center"/>
    </xf>
    <xf numFmtId="0" fontId="64" fillId="0" borderId="33" applyNumberFormat="0" applyFill="0" applyAlignment="0" applyProtection="0"/>
    <xf numFmtId="0" fontId="28" fillId="0" borderId="15"/>
    <xf numFmtId="0" fontId="65" fillId="0" borderId="0" applyNumberFormat="0" applyFill="0" applyBorder="0" applyAlignment="0" applyProtection="0"/>
    <xf numFmtId="169" fontId="22" fillId="0" borderId="0">
      <alignment horizontal="left" wrapText="1"/>
    </xf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67" borderId="0" applyNumberFormat="0" applyBorder="0" applyAlignment="0" applyProtection="0"/>
    <xf numFmtId="0" fontId="26" fillId="68" borderId="0" applyNumberFormat="0" applyBorder="0" applyAlignment="0" applyProtection="0"/>
    <xf numFmtId="0" fontId="66" fillId="69" borderId="0" applyNumberFormat="0" applyBorder="0" applyAlignment="0" applyProtection="0"/>
    <xf numFmtId="0" fontId="26" fillId="70" borderId="0" applyNumberFormat="0" applyBorder="0" applyAlignment="0" applyProtection="0"/>
    <xf numFmtId="0" fontId="26" fillId="71" borderId="0" applyNumberFormat="0" applyBorder="0" applyAlignment="0" applyProtection="0"/>
    <xf numFmtId="0" fontId="66" fillId="72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66" fillId="75" borderId="0" applyNumberFormat="0" applyBorder="0" applyAlignment="0" applyProtection="0"/>
    <xf numFmtId="0" fontId="26" fillId="74" borderId="0" applyNumberFormat="0" applyBorder="0" applyAlignment="0" applyProtection="0"/>
    <xf numFmtId="0" fontId="26" fillId="75" borderId="0" applyNumberFormat="0" applyBorder="0" applyAlignment="0" applyProtection="0"/>
    <xf numFmtId="0" fontId="66" fillId="75" borderId="0" applyNumberFormat="0" applyBorder="0" applyAlignment="0" applyProtection="0"/>
    <xf numFmtId="0" fontId="26" fillId="67" borderId="0" applyNumberFormat="0" applyBorder="0" applyAlignment="0" applyProtection="0"/>
    <xf numFmtId="0" fontId="26" fillId="68" borderId="0" applyNumberFormat="0" applyBorder="0" applyAlignment="0" applyProtection="0"/>
    <xf numFmtId="0" fontId="66" fillId="68" borderId="0" applyNumberFormat="0" applyBorder="0" applyAlignment="0" applyProtection="0"/>
    <xf numFmtId="0" fontId="26" fillId="76" borderId="0" applyNumberFormat="0" applyBorder="0" applyAlignment="0" applyProtection="0"/>
    <xf numFmtId="0" fontId="26" fillId="71" borderId="0" applyNumberFormat="0" applyBorder="0" applyAlignment="0" applyProtection="0"/>
    <xf numFmtId="0" fontId="66" fillId="77" borderId="0" applyNumberFormat="0" applyBorder="0" applyAlignment="0" applyProtection="0"/>
    <xf numFmtId="44" fontId="8" fillId="0" borderId="0" applyFont="0" applyFill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80" borderId="0" applyNumberFormat="0" applyBorder="0" applyAlignment="0" applyProtection="0"/>
    <xf numFmtId="0" fontId="8" fillId="81" borderId="4" applyNumberFormat="0">
      <protection locked="0"/>
    </xf>
    <xf numFmtId="0" fontId="68" fillId="0" borderId="0" applyNumberFormat="0" applyFill="0" applyBorder="0" applyAlignment="0" applyProtection="0"/>
    <xf numFmtId="0" fontId="1" fillId="0" borderId="0"/>
  </cellStyleXfs>
  <cellXfs count="152">
    <xf numFmtId="0" fontId="0" fillId="0" borderId="0" xfId="0"/>
    <xf numFmtId="0" fontId="2" fillId="0" borderId="0" xfId="0" applyFont="1" applyFill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10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83" applyNumberFormat="1" applyFont="1" applyFill="1" applyBorder="1"/>
    <xf numFmtId="165" fontId="3" fillId="0" borderId="11" xfId="108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5" fontId="3" fillId="0" borderId="0" xfId="108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9" fontId="3" fillId="0" borderId="0" xfId="0" applyNumberFormat="1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108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1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1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0" fillId="0" borderId="11" xfId="0" applyFill="1" applyBorder="1"/>
    <xf numFmtId="165" fontId="3" fillId="0" borderId="9" xfId="108" applyNumberFormat="1" applyFont="1" applyFill="1" applyBorder="1" applyProtection="1">
      <protection locked="0"/>
    </xf>
    <xf numFmtId="43" fontId="0" fillId="0" borderId="0" xfId="83" applyFont="1" applyFill="1"/>
    <xf numFmtId="43" fontId="5" fillId="0" borderId="0" xfId="90" applyFont="1" applyFill="1" applyBorder="1" applyAlignment="1">
      <alignment horizontal="center"/>
    </xf>
    <xf numFmtId="43" fontId="36" fillId="0" borderId="0" xfId="90" applyFill="1"/>
    <xf numFmtId="166" fontId="0" fillId="0" borderId="0" xfId="83" applyNumberFormat="1" applyFont="1" applyFill="1" applyBorder="1"/>
    <xf numFmtId="168" fontId="5" fillId="0" borderId="0" xfId="0" applyNumberFormat="1" applyFont="1" applyFill="1" applyAlignment="1">
      <alignment horizontal="left" indent="2"/>
    </xf>
    <xf numFmtId="49" fontId="37" fillId="0" borderId="4" xfId="0" applyNumberFormat="1" applyFont="1" applyFill="1" applyBorder="1" applyAlignment="1">
      <alignment horizontal="left"/>
    </xf>
    <xf numFmtId="49" fontId="37" fillId="0" borderId="4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80" fontId="5" fillId="0" borderId="0" xfId="0" applyNumberFormat="1" applyFont="1" applyFill="1" applyBorder="1"/>
    <xf numFmtId="180" fontId="5" fillId="0" borderId="24" xfId="0" applyNumberFormat="1" applyFont="1" applyFill="1" applyBorder="1" applyAlignment="1">
      <alignment horizontal="center"/>
    </xf>
    <xf numFmtId="180" fontId="5" fillId="0" borderId="4" xfId="0" applyNumberFormat="1" applyFont="1" applyFill="1" applyBorder="1" applyAlignment="1">
      <alignment horizontal="center"/>
    </xf>
    <xf numFmtId="41" fontId="3" fillId="0" borderId="10" xfId="0" applyNumberFormat="1" applyFont="1" applyFill="1" applyBorder="1" applyProtection="1">
      <protection locked="0"/>
    </xf>
    <xf numFmtId="166" fontId="5" fillId="0" borderId="0" xfId="90" applyNumberFormat="1" applyFont="1" applyFill="1" applyBorder="1"/>
    <xf numFmtId="168" fontId="8" fillId="0" borderId="0" xfId="0" applyNumberFormat="1" applyFont="1" applyFill="1" applyAlignment="1">
      <alignment horizontal="left" indent="2"/>
    </xf>
    <xf numFmtId="0" fontId="69" fillId="0" borderId="0" xfId="0" applyFont="1" applyFill="1" applyBorder="1"/>
    <xf numFmtId="166" fontId="69" fillId="0" borderId="0" xfId="83" applyNumberFormat="1" applyFont="1" applyFill="1" applyBorder="1"/>
    <xf numFmtId="0" fontId="70" fillId="0" borderId="0" xfId="0" applyNumberFormat="1" applyFont="1" applyFill="1" applyAlignment="1">
      <alignment horizontal="left"/>
    </xf>
    <xf numFmtId="0" fontId="0" fillId="0" borderId="10" xfId="0" applyFill="1" applyBorder="1"/>
    <xf numFmtId="168" fontId="8" fillId="0" borderId="0" xfId="0" applyNumberFormat="1" applyFont="1" applyFill="1"/>
    <xf numFmtId="49" fontId="37" fillId="0" borderId="2" xfId="0" applyNumberFormat="1" applyFont="1" applyFill="1" applyBorder="1" applyAlignment="1">
      <alignment horizontal="left"/>
    </xf>
    <xf numFmtId="49" fontId="37" fillId="0" borderId="2" xfId="0" applyNumberFormat="1" applyFont="1" applyFill="1" applyBorder="1" applyAlignment="1">
      <alignment horizontal="center"/>
    </xf>
    <xf numFmtId="43" fontId="36" fillId="0" borderId="0" xfId="90" applyFill="1" applyBorder="1"/>
    <xf numFmtId="166" fontId="0" fillId="0" borderId="0" xfId="0" applyNumberFormat="1" applyFill="1"/>
    <xf numFmtId="0" fontId="1" fillId="0" borderId="20" xfId="0" applyFont="1" applyBorder="1"/>
    <xf numFmtId="0" fontId="1" fillId="0" borderId="11" xfId="0" applyFont="1" applyBorder="1"/>
    <xf numFmtId="0" fontId="1" fillId="0" borderId="0" xfId="0" applyFont="1"/>
    <xf numFmtId="0" fontId="1" fillId="0" borderId="18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10" xfId="0" applyFont="1" applyBorder="1"/>
    <xf numFmtId="0" fontId="1" fillId="0" borderId="10" xfId="0" applyFont="1" applyFill="1" applyBorder="1"/>
    <xf numFmtId="43" fontId="1" fillId="0" borderId="10" xfId="83" applyFont="1" applyFill="1" applyBorder="1"/>
    <xf numFmtId="43" fontId="1" fillId="0" borderId="0" xfId="83" applyFont="1" applyFill="1" applyBorder="1"/>
    <xf numFmtId="0" fontId="1" fillId="0" borderId="0" xfId="0" applyFont="1" applyFill="1"/>
    <xf numFmtId="43" fontId="1" fillId="0" borderId="0" xfId="83" applyFont="1" applyFill="1"/>
    <xf numFmtId="0" fontId="6" fillId="0" borderId="0" xfId="0" applyFont="1" applyFill="1"/>
    <xf numFmtId="10" fontId="37" fillId="0" borderId="2" xfId="201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0" fontId="1" fillId="0" borderId="2" xfId="0" applyFont="1" applyFill="1" applyBorder="1"/>
    <xf numFmtId="43" fontId="1" fillId="0" borderId="0" xfId="0" applyNumberFormat="1" applyFont="1" applyFill="1"/>
    <xf numFmtId="43" fontId="5" fillId="0" borderId="10" xfId="90" applyFont="1" applyFill="1" applyBorder="1" applyAlignment="1">
      <alignment horizontal="center"/>
    </xf>
    <xf numFmtId="168" fontId="5" fillId="0" borderId="0" xfId="0" applyNumberFormat="1" applyFont="1" applyFill="1"/>
    <xf numFmtId="166" fontId="36" fillId="0" borderId="0" xfId="90" applyNumberFormat="1" applyFill="1"/>
    <xf numFmtId="166" fontId="36" fillId="0" borderId="10" xfId="90" applyNumberFormat="1" applyFill="1" applyBorder="1"/>
    <xf numFmtId="168" fontId="1" fillId="0" borderId="0" xfId="0" applyNumberFormat="1" applyFont="1" applyFill="1" applyAlignment="1">
      <alignment horizontal="left" indent="2"/>
    </xf>
    <xf numFmtId="168" fontId="1" fillId="0" borderId="0" xfId="0" applyNumberFormat="1" applyFont="1" applyFill="1"/>
    <xf numFmtId="0" fontId="5" fillId="0" borderId="10" xfId="0" applyFont="1" applyFill="1" applyBorder="1" applyAlignment="1">
      <alignment horizontal="center"/>
    </xf>
    <xf numFmtId="168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166" fontId="5" fillId="0" borderId="11" xfId="0" applyNumberFormat="1" applyFont="1" applyFill="1" applyBorder="1"/>
    <xf numFmtId="166" fontId="1" fillId="0" borderId="11" xfId="0" applyNumberFormat="1" applyFont="1" applyFill="1" applyBorder="1"/>
    <xf numFmtId="166" fontId="5" fillId="0" borderId="0" xfId="0" applyNumberFormat="1" applyFont="1" applyFill="1" applyBorder="1"/>
    <xf numFmtId="166" fontId="1" fillId="0" borderId="0" xfId="0" applyNumberFormat="1" applyFont="1" applyFill="1"/>
    <xf numFmtId="41" fontId="0" fillId="0" borderId="0" xfId="0" applyNumberFormat="1" applyFill="1"/>
    <xf numFmtId="166" fontId="5" fillId="0" borderId="9" xfId="0" applyNumberFormat="1" applyFont="1" applyFill="1" applyBorder="1"/>
    <xf numFmtId="166" fontId="0" fillId="0" borderId="0" xfId="83" applyNumberFormat="1" applyFont="1" applyFill="1"/>
    <xf numFmtId="166" fontId="5" fillId="0" borderId="34" xfId="90" applyNumberFormat="1" applyFont="1" applyFill="1" applyBorder="1"/>
    <xf numFmtId="166" fontId="0" fillId="0" borderId="10" xfId="83" applyNumberFormat="1" applyFont="1" applyFill="1" applyBorder="1"/>
    <xf numFmtId="4" fontId="0" fillId="0" borderId="10" xfId="0" applyNumberFormat="1" applyFill="1" applyBorder="1"/>
    <xf numFmtId="166" fontId="0" fillId="0" borderId="0" xfId="0" applyNumberFormat="1" applyFill="1" applyBorder="1"/>
    <xf numFmtId="168" fontId="72" fillId="0" borderId="0" xfId="0" applyNumberFormat="1" applyFont="1" applyFill="1" applyAlignment="1">
      <alignment horizontal="right" indent="2"/>
    </xf>
    <xf numFmtId="43" fontId="72" fillId="0" borderId="0" xfId="83" applyFont="1" applyFill="1"/>
    <xf numFmtId="43" fontId="71" fillId="0" borderId="0" xfId="90" applyFont="1" applyFill="1"/>
    <xf numFmtId="166" fontId="5" fillId="0" borderId="9" xfId="83" applyNumberFormat="1" applyFont="1" applyFill="1" applyBorder="1"/>
    <xf numFmtId="166" fontId="1" fillId="0" borderId="0" xfId="90" applyNumberFormat="1" applyFont="1" applyFill="1"/>
    <xf numFmtId="166" fontId="1" fillId="0" borderId="10" xfId="90" applyNumberFormat="1" applyFont="1" applyFill="1" applyBorder="1"/>
    <xf numFmtId="0" fontId="74" fillId="0" borderId="0" xfId="0" applyFont="1" applyFill="1"/>
    <xf numFmtId="43" fontId="75" fillId="0" borderId="0" xfId="83" applyFont="1" applyFill="1"/>
    <xf numFmtId="0" fontId="75" fillId="0" borderId="0" xfId="0" applyFont="1" applyFill="1"/>
    <xf numFmtId="0" fontId="75" fillId="0" borderId="0" xfId="0" applyFont="1"/>
    <xf numFmtId="183" fontId="1" fillId="0" borderId="0" xfId="0" applyNumberFormat="1" applyFont="1" applyFill="1"/>
    <xf numFmtId="0" fontId="76" fillId="0" borderId="0" xfId="0" applyFont="1" applyFill="1" applyBorder="1" applyAlignment="1">
      <alignment horizontal="right"/>
    </xf>
    <xf numFmtId="0" fontId="76" fillId="0" borderId="0" xfId="0" applyFont="1" applyFill="1" applyAlignment="1">
      <alignment vertical="center"/>
    </xf>
    <xf numFmtId="0" fontId="76" fillId="0" borderId="0" xfId="0" applyFont="1" applyFill="1" applyBorder="1"/>
    <xf numFmtId="0" fontId="76" fillId="0" borderId="0" xfId="0" applyFont="1" applyFill="1" applyAlignment="1">
      <alignment vertical="top"/>
    </xf>
    <xf numFmtId="9" fontId="76" fillId="0" borderId="0" xfId="0" applyNumberFormat="1" applyFont="1" applyFill="1" applyBorder="1"/>
    <xf numFmtId="49" fontId="1" fillId="82" borderId="22" xfId="0" applyNumberFormat="1" applyFont="1" applyFill="1" applyBorder="1" applyAlignment="1">
      <alignment horizontal="left"/>
    </xf>
    <xf numFmtId="183" fontId="1" fillId="82" borderId="22" xfId="83" applyNumberFormat="1" applyFont="1" applyFill="1" applyBorder="1"/>
    <xf numFmtId="49" fontId="1" fillId="0" borderId="22" xfId="0" applyNumberFormat="1" applyFont="1" applyFill="1" applyBorder="1" applyAlignment="1">
      <alignment horizontal="left"/>
    </xf>
    <xf numFmtId="183" fontId="1" fillId="0" borderId="22" xfId="0" applyNumberFormat="1" applyFont="1" applyFill="1" applyBorder="1"/>
    <xf numFmtId="49" fontId="5" fillId="0" borderId="4" xfId="0" applyNumberFormat="1" applyFont="1" applyFill="1" applyBorder="1" applyAlignment="1">
      <alignment horizontal="left"/>
    </xf>
    <xf numFmtId="183" fontId="5" fillId="0" borderId="4" xfId="0" applyNumberFormat="1" applyFont="1" applyFill="1" applyBorder="1"/>
    <xf numFmtId="49" fontId="1" fillId="0" borderId="23" xfId="0" applyNumberFormat="1" applyFont="1" applyFill="1" applyBorder="1" applyAlignment="1">
      <alignment horizontal="left"/>
    </xf>
    <xf numFmtId="183" fontId="1" fillId="0" borderId="22" xfId="83" applyNumberFormat="1" applyFont="1" applyFill="1" applyBorder="1"/>
    <xf numFmtId="49" fontId="5" fillId="0" borderId="23" xfId="0" applyNumberFormat="1" applyFont="1" applyFill="1" applyBorder="1" applyAlignment="1">
      <alignment horizontal="left"/>
    </xf>
    <xf numFmtId="183" fontId="5" fillId="0" borderId="23" xfId="0" applyNumberFormat="1" applyFont="1" applyFill="1" applyBorder="1"/>
    <xf numFmtId="10" fontId="37" fillId="0" borderId="4" xfId="201" applyNumberFormat="1" applyFont="1" applyFill="1" applyBorder="1" applyAlignment="1">
      <alignment horizontal="center" wrapText="1"/>
    </xf>
    <xf numFmtId="0" fontId="1" fillId="0" borderId="24" xfId="0" applyFont="1" applyFill="1" applyBorder="1"/>
    <xf numFmtId="0" fontId="5" fillId="0" borderId="4" xfId="0" applyFont="1" applyFill="1" applyBorder="1"/>
    <xf numFmtId="166" fontId="1" fillId="0" borderId="4" xfId="83" applyNumberFormat="1" applyFont="1" applyFill="1" applyBorder="1"/>
    <xf numFmtId="166" fontId="1" fillId="0" borderId="4" xfId="83" quotePrefix="1" applyNumberFormat="1" applyFont="1" applyFill="1" applyBorder="1" applyAlignment="1">
      <alignment horizontal="right"/>
    </xf>
    <xf numFmtId="166" fontId="1" fillId="0" borderId="4" xfId="0" applyNumberFormat="1" applyFont="1" applyFill="1" applyBorder="1"/>
    <xf numFmtId="166" fontId="1" fillId="0" borderId="4" xfId="0" quotePrefix="1" applyNumberFormat="1" applyFont="1" applyFill="1" applyBorder="1" applyAlignment="1">
      <alignment horizontal="right"/>
    </xf>
    <xf numFmtId="0" fontId="5" fillId="0" borderId="24" xfId="0" applyFont="1" applyFill="1" applyBorder="1"/>
    <xf numFmtId="166" fontId="5" fillId="0" borderId="4" xfId="83" applyNumberFormat="1" applyFont="1" applyFill="1" applyBorder="1"/>
    <xf numFmtId="166" fontId="1" fillId="0" borderId="0" xfId="0" applyNumberFormat="1" applyFont="1" applyFill="1" applyBorder="1" applyAlignment="1">
      <alignment horizontal="center"/>
    </xf>
    <xf numFmtId="166" fontId="1" fillId="0" borderId="0" xfId="83" applyNumberFormat="1" applyFont="1" applyFill="1" applyBorder="1"/>
    <xf numFmtId="0" fontId="17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306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Recon to Darrin's 5.11.05 proforma" xfId="20"/>
    <cellStyle name="_Tenaska Comparison" xfId="21"/>
    <cellStyle name="_Value Copy 11 30 05 gas 12 09 05 AURORA at 12 14 05" xfId="22"/>
    <cellStyle name="_VC 6.15.06 update on 06GRC power costs.xls Chart 1" xfId="23"/>
    <cellStyle name="_VC 6.15.06 update on 06GRC power costs.xls Chart 2" xfId="24"/>
    <cellStyle name="_VC 6.15.06 update on 06GRC power costs.xls Chart 3" xfId="25"/>
    <cellStyle name="0,0_x000d__x000a_NA_x000d__x000a_" xfId="26"/>
    <cellStyle name="0000" xfId="27"/>
    <cellStyle name="000000" xfId="28"/>
    <cellStyle name="20% - Accent1" xfId="29" builtinId="30" customBuiltin="1"/>
    <cellStyle name="20% - Accent1 2" xfId="30"/>
    <cellStyle name="20% - Accent1 3" xfId="31"/>
    <cellStyle name="20% - Accent2" xfId="32" builtinId="34" customBuiltin="1"/>
    <cellStyle name="20% - Accent2 2" xfId="33"/>
    <cellStyle name="20% - Accent2 3" xfId="34"/>
    <cellStyle name="20% - Accent3" xfId="35" builtinId="38" customBuiltin="1"/>
    <cellStyle name="20% - Accent3 2" xfId="36"/>
    <cellStyle name="20% - Accent3 3" xfId="37"/>
    <cellStyle name="20% - Accent4" xfId="38" builtinId="42" customBuiltin="1"/>
    <cellStyle name="20% - Accent4 2" xfId="39"/>
    <cellStyle name="20% - Accent4 3" xfId="40"/>
    <cellStyle name="20% - Accent5" xfId="41" builtinId="46" customBuiltin="1"/>
    <cellStyle name="20% - Accent5 2" xfId="42"/>
    <cellStyle name="20% - Accent5 3" xfId="43"/>
    <cellStyle name="20% - Accent6" xfId="44" builtinId="50" customBuiltin="1"/>
    <cellStyle name="20% - Accent6 2" xfId="45"/>
    <cellStyle name="20% - Accent6 3" xfId="46"/>
    <cellStyle name="40% - Accent1" xfId="47" builtinId="31" customBuiltin="1"/>
    <cellStyle name="40% - Accent1 2" xfId="48"/>
    <cellStyle name="40% - Accent1 3" xfId="49"/>
    <cellStyle name="40% - Accent2" xfId="50" builtinId="35" customBuiltin="1"/>
    <cellStyle name="40% - Accent2 2" xfId="51"/>
    <cellStyle name="40% - Accent2 3" xfId="52"/>
    <cellStyle name="40% - Accent3" xfId="53" builtinId="39" customBuiltin="1"/>
    <cellStyle name="40% - Accent3 2" xfId="54"/>
    <cellStyle name="40% - Accent3 3" xfId="55"/>
    <cellStyle name="40% - Accent4" xfId="56" builtinId="43" customBuiltin="1"/>
    <cellStyle name="40% - Accent4 2" xfId="57"/>
    <cellStyle name="40% - Accent4 3" xfId="58"/>
    <cellStyle name="40% - Accent5" xfId="59" builtinId="47" customBuiltin="1"/>
    <cellStyle name="40% - Accent5 2" xfId="60"/>
    <cellStyle name="40% - Accent5 3" xfId="61"/>
    <cellStyle name="40% - Accent6" xfId="62" builtinId="51" customBuiltin="1"/>
    <cellStyle name="40% - Accent6 2" xfId="63"/>
    <cellStyle name="40% - Accent6 3" xfId="64"/>
    <cellStyle name="60% - Accent1" xfId="65" builtinId="32" customBuiltin="1"/>
    <cellStyle name="60% - Accent2" xfId="66" builtinId="36" customBuiltin="1"/>
    <cellStyle name="60% - Accent3" xfId="67" builtinId="40" customBuiltin="1"/>
    <cellStyle name="60% - Accent4" xfId="68" builtinId="44" customBuiltin="1"/>
    <cellStyle name="60% - Accent5" xfId="69" builtinId="48" customBuiltin="1"/>
    <cellStyle name="60% - Accent6" xfId="70" builtinId="52" customBuiltin="1"/>
    <cellStyle name="Accent1" xfId="71" builtinId="29" customBuiltin="1"/>
    <cellStyle name="Accent1 - 20%" xfId="281"/>
    <cellStyle name="Accent1 - 40%" xfId="282"/>
    <cellStyle name="Accent1 - 60%" xfId="283"/>
    <cellStyle name="Accent2" xfId="72" builtinId="33" customBuiltin="1"/>
    <cellStyle name="Accent2 - 20%" xfId="284"/>
    <cellStyle name="Accent2 - 40%" xfId="285"/>
    <cellStyle name="Accent2 - 60%" xfId="286"/>
    <cellStyle name="Accent3" xfId="73" builtinId="37" customBuiltin="1"/>
    <cellStyle name="Accent3 - 20%" xfId="287"/>
    <cellStyle name="Accent3 - 40%" xfId="288"/>
    <cellStyle name="Accent3 - 60%" xfId="289"/>
    <cellStyle name="Accent4" xfId="74" builtinId="41" customBuiltin="1"/>
    <cellStyle name="Accent4 - 20%" xfId="290"/>
    <cellStyle name="Accent4 - 40%" xfId="291"/>
    <cellStyle name="Accent4 - 60%" xfId="292"/>
    <cellStyle name="Accent5" xfId="75" builtinId="45" customBuiltin="1"/>
    <cellStyle name="Accent5 - 20%" xfId="293"/>
    <cellStyle name="Accent5 - 40%" xfId="294"/>
    <cellStyle name="Accent5 - 60%" xfId="295"/>
    <cellStyle name="Accent6" xfId="76" builtinId="49" customBuiltin="1"/>
    <cellStyle name="Accent6 - 20%" xfId="296"/>
    <cellStyle name="Accent6 - 40%" xfId="297"/>
    <cellStyle name="Accent6 - 60%" xfId="298"/>
    <cellStyle name="Bad" xfId="77" builtinId="27" customBuiltin="1"/>
    <cellStyle name="blank" xfId="78"/>
    <cellStyle name="Calc Currency (0)" xfId="79"/>
    <cellStyle name="Calculation" xfId="80" builtinId="22" customBuiltin="1"/>
    <cellStyle name="Check Cell" xfId="81" builtinId="23" customBuiltin="1"/>
    <cellStyle name="CheckCell" xfId="82"/>
    <cellStyle name="Comma" xfId="83" builtinId="3"/>
    <cellStyle name="Comma 10" xfId="84"/>
    <cellStyle name="Comma 11" xfId="85"/>
    <cellStyle name="Comma 12" xfId="280"/>
    <cellStyle name="Comma 2" xfId="86"/>
    <cellStyle name="Comma 2 2" xfId="87"/>
    <cellStyle name="Comma 3" xfId="88"/>
    <cellStyle name="Comma 3 2" xfId="89"/>
    <cellStyle name="Comma 4" xfId="90"/>
    <cellStyle name="Comma 5" xfId="91"/>
    <cellStyle name="Comma 6" xfId="92"/>
    <cellStyle name="Comma 7" xfId="93"/>
    <cellStyle name="Comma 8" xfId="94"/>
    <cellStyle name="Comma 9" xfId="95"/>
    <cellStyle name="Comma0" xfId="96"/>
    <cellStyle name="Comma0 - Style2" xfId="97"/>
    <cellStyle name="Comma0 - Style4" xfId="98"/>
    <cellStyle name="Comma0 - Style5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108" builtinId="4"/>
    <cellStyle name="Currency 10" xfId="299"/>
    <cellStyle name="Currency 2" xfId="109"/>
    <cellStyle name="Currency 3" xfId="110"/>
    <cellStyle name="Currency 4" xfId="111"/>
    <cellStyle name="Currency 5" xfId="112"/>
    <cellStyle name="Currency 6" xfId="113"/>
    <cellStyle name="Currency 7" xfId="114"/>
    <cellStyle name="Currency 8" xfId="115"/>
    <cellStyle name="Currency 9" xfId="116"/>
    <cellStyle name="Currency0" xfId="117"/>
    <cellStyle name="Date" xfId="118"/>
    <cellStyle name="Emphasis 1" xfId="300"/>
    <cellStyle name="Emphasis 2" xfId="301"/>
    <cellStyle name="Emphasis 3" xfId="302"/>
    <cellStyle name="Entered" xfId="119"/>
    <cellStyle name="Explanatory Text" xfId="120" builtinId="53" customBuiltin="1"/>
    <cellStyle name="Fixed" xfId="121"/>
    <cellStyle name="Fixed3 - Style3" xfId="122"/>
    <cellStyle name="Good" xfId="123" builtinId="26" customBuiltin="1"/>
    <cellStyle name="Grey" xfId="124"/>
    <cellStyle name="Header" xfId="125"/>
    <cellStyle name="Header1" xfId="126"/>
    <cellStyle name="Header2" xfId="127"/>
    <cellStyle name="Heading" xfId="128"/>
    <cellStyle name="Heading 1" xfId="129" builtinId="16" customBuiltin="1"/>
    <cellStyle name="Heading 2" xfId="130" builtinId="17" customBuiltin="1"/>
    <cellStyle name="Heading 3" xfId="131" builtinId="18" customBuiltin="1"/>
    <cellStyle name="Heading 4" xfId="132" builtinId="19" customBuiltin="1"/>
    <cellStyle name="Heading1" xfId="133"/>
    <cellStyle name="Heading2" xfId="134"/>
    <cellStyle name="Input" xfId="135" builtinId="20" customBuiltin="1"/>
    <cellStyle name="Input [yellow]" xfId="136"/>
    <cellStyle name="Input Cells" xfId="137"/>
    <cellStyle name="Input Cells Percent" xfId="138"/>
    <cellStyle name="Input Cells_3.05 Allocation Method 2010 GRC" xfId="139"/>
    <cellStyle name="Lines" xfId="140"/>
    <cellStyle name="LINKED" xfId="141"/>
    <cellStyle name="Linked Cell" xfId="142" builtinId="24" customBuiltin="1"/>
    <cellStyle name="modified border" xfId="143"/>
    <cellStyle name="modified border1" xfId="144"/>
    <cellStyle name="Neutral" xfId="145" builtinId="28" customBuiltin="1"/>
    <cellStyle name="no dec" xfId="146"/>
    <cellStyle name="Normal" xfId="0" builtinId="0"/>
    <cellStyle name="Normal - Style1" xfId="147"/>
    <cellStyle name="Normal 10" xfId="148"/>
    <cellStyle name="Normal 11" xfId="149"/>
    <cellStyle name="Normal 12" xfId="150"/>
    <cellStyle name="Normal 13" xfId="151"/>
    <cellStyle name="Normal 14" xfId="278"/>
    <cellStyle name="Normal 15" xfId="305"/>
    <cellStyle name="Normal 2" xfId="152"/>
    <cellStyle name="Normal 2 2" xfId="153"/>
    <cellStyle name="Normal 2 2 2" xfId="154"/>
    <cellStyle name="Normal 2 2 3" xfId="155"/>
    <cellStyle name="Normal 2 3" xfId="156"/>
    <cellStyle name="Normal 2 4" xfId="157"/>
    <cellStyle name="Normal 2 5" xfId="158"/>
    <cellStyle name="Normal 2 6" xfId="159"/>
    <cellStyle name="Normal 2 7" xfId="160"/>
    <cellStyle name="Normal 2_3.05 Allocation Method 2010 GRC" xfId="161"/>
    <cellStyle name="Normal 3" xfId="162"/>
    <cellStyle name="Normal 3 2" xfId="163"/>
    <cellStyle name="Normal 3 3" xfId="164"/>
    <cellStyle name="Normal 3 4" xfId="165"/>
    <cellStyle name="Normal 3 5" xfId="166"/>
    <cellStyle name="Normal 3_Net Classified Plant" xfId="167"/>
    <cellStyle name="Normal 4" xfId="168"/>
    <cellStyle name="Normal 4 2" xfId="169"/>
    <cellStyle name="Normal 5" xfId="170"/>
    <cellStyle name="Normal 6" xfId="171"/>
    <cellStyle name="Normal 7" xfId="172"/>
    <cellStyle name="Normal 8" xfId="173"/>
    <cellStyle name="Normal 9" xfId="174"/>
    <cellStyle name="Note 10" xfId="175"/>
    <cellStyle name="Note 11" xfId="176"/>
    <cellStyle name="Note 12" xfId="177"/>
    <cellStyle name="Note 13" xfId="178"/>
    <cellStyle name="Note 2" xfId="179"/>
    <cellStyle name="Note 3" xfId="180"/>
    <cellStyle name="Note 4" xfId="181"/>
    <cellStyle name="Note 5" xfId="182"/>
    <cellStyle name="Note 6" xfId="183"/>
    <cellStyle name="Note 7" xfId="184"/>
    <cellStyle name="Note 8" xfId="185"/>
    <cellStyle name="Note 9" xfId="186"/>
    <cellStyle name="Output" xfId="187" builtinId="21" customBuiltin="1"/>
    <cellStyle name="Percen - Style1" xfId="188"/>
    <cellStyle name="Percen - Style2" xfId="189"/>
    <cellStyle name="Percen - Style3" xfId="190"/>
    <cellStyle name="Percent (0)" xfId="191"/>
    <cellStyle name="Percent [2]" xfId="192"/>
    <cellStyle name="Percent 10" xfId="279"/>
    <cellStyle name="Percent 2" xfId="193"/>
    <cellStyle name="Percent 3" xfId="194"/>
    <cellStyle name="Percent 3 2" xfId="195"/>
    <cellStyle name="Percent 4" xfId="196"/>
    <cellStyle name="Percent 5" xfId="197"/>
    <cellStyle name="Percent 6" xfId="198"/>
    <cellStyle name="Percent 7" xfId="199"/>
    <cellStyle name="Percent 8" xfId="200"/>
    <cellStyle name="Percent 9" xfId="201"/>
    <cellStyle name="Processing" xfId="202"/>
    <cellStyle name="PSChar" xfId="203"/>
    <cellStyle name="PSDate" xfId="204"/>
    <cellStyle name="PSDec" xfId="205"/>
    <cellStyle name="PSHeading" xfId="206"/>
    <cellStyle name="PSInt" xfId="207"/>
    <cellStyle name="PSSpacer" xfId="208"/>
    <cellStyle name="purple - Style8" xfId="209"/>
    <cellStyle name="RED" xfId="210"/>
    <cellStyle name="Red - Style7" xfId="211"/>
    <cellStyle name="Report" xfId="212"/>
    <cellStyle name="Report Bar" xfId="213"/>
    <cellStyle name="Report Heading" xfId="214"/>
    <cellStyle name="Report Percent" xfId="215"/>
    <cellStyle name="Report Unit Cost" xfId="216"/>
    <cellStyle name="Reports" xfId="217"/>
    <cellStyle name="Reports Total" xfId="218"/>
    <cellStyle name="Reports Unit Cost Total" xfId="219"/>
    <cellStyle name="RevList" xfId="220"/>
    <cellStyle name="round100" xfId="221"/>
    <cellStyle name="SAPBEXaggData" xfId="222"/>
    <cellStyle name="SAPBEXaggDataEmph" xfId="223"/>
    <cellStyle name="SAPBEXaggItem" xfId="224"/>
    <cellStyle name="SAPBEXaggItemX" xfId="225"/>
    <cellStyle name="SAPBEXchaText" xfId="226"/>
    <cellStyle name="SAPBEXchaText 2" xfId="227"/>
    <cellStyle name="SAPBEXexcBad7" xfId="228"/>
    <cellStyle name="SAPBEXexcBad8" xfId="229"/>
    <cellStyle name="SAPBEXexcBad9" xfId="230"/>
    <cellStyle name="SAPBEXexcCritical4" xfId="231"/>
    <cellStyle name="SAPBEXexcCritical5" xfId="232"/>
    <cellStyle name="SAPBEXexcCritical6" xfId="233"/>
    <cellStyle name="SAPBEXexcGood1" xfId="234"/>
    <cellStyle name="SAPBEXexcGood2" xfId="235"/>
    <cellStyle name="SAPBEXexcGood3" xfId="236"/>
    <cellStyle name="SAPBEXfilterDrill" xfId="237"/>
    <cellStyle name="SAPBEXfilterItem" xfId="238"/>
    <cellStyle name="SAPBEXfilterText" xfId="239"/>
    <cellStyle name="SAPBEXformats" xfId="240"/>
    <cellStyle name="SAPBEXheaderItem" xfId="241"/>
    <cellStyle name="SAPBEXheaderText" xfId="242"/>
    <cellStyle name="SAPBEXHLevel0" xfId="243"/>
    <cellStyle name="SAPBEXHLevel0X" xfId="244"/>
    <cellStyle name="SAPBEXHLevel1" xfId="245"/>
    <cellStyle name="SAPBEXHLevel1X" xfId="246"/>
    <cellStyle name="SAPBEXHLevel2" xfId="247"/>
    <cellStyle name="SAPBEXHLevel2X" xfId="248"/>
    <cellStyle name="SAPBEXHLevel3" xfId="249"/>
    <cellStyle name="SAPBEXHLevel3X" xfId="250"/>
    <cellStyle name="SAPBEXinputData" xfId="303"/>
    <cellStyle name="SAPBEXresData" xfId="251"/>
    <cellStyle name="SAPBEXresDataEmph" xfId="252"/>
    <cellStyle name="SAPBEXresItem" xfId="253"/>
    <cellStyle name="SAPBEXresItemX" xfId="254"/>
    <cellStyle name="SAPBEXstdData" xfId="255"/>
    <cellStyle name="SAPBEXstdDataEmph" xfId="256"/>
    <cellStyle name="SAPBEXstdItem" xfId="257"/>
    <cellStyle name="SAPBEXstdItemX" xfId="258"/>
    <cellStyle name="SAPBEXtitle" xfId="259"/>
    <cellStyle name="SAPBEXundefined" xfId="260"/>
    <cellStyle name="shade" xfId="261"/>
    <cellStyle name="Sheet Title" xfId="304"/>
    <cellStyle name="StmtTtl1" xfId="262"/>
    <cellStyle name="StmtTtl2" xfId="263"/>
    <cellStyle name="STYL1 - Style1" xfId="264"/>
    <cellStyle name="Style 1" xfId="265"/>
    <cellStyle name="Style 1 2" xfId="266"/>
    <cellStyle name="Subtotal" xfId="267"/>
    <cellStyle name="Sub-total" xfId="268"/>
    <cellStyle name="taples Plaza" xfId="269"/>
    <cellStyle name="Tickmark" xfId="270"/>
    <cellStyle name="Title" xfId="271" builtinId="15" customBuiltin="1"/>
    <cellStyle name="Title: Major" xfId="272"/>
    <cellStyle name="Title: Minor" xfId="273"/>
    <cellStyle name="Title: Worksheet" xfId="274"/>
    <cellStyle name="Total" xfId="275" builtinId="25" customBuiltin="1"/>
    <cellStyle name="Total4 - Style4" xfId="276"/>
    <cellStyle name="Warning Text" xfId="277" builtinId="11" customBuiltin="1"/>
  </cellStyles>
  <dxfs count="0"/>
  <tableStyles count="0" defaultTableStyle="TableStyleMedium9" defaultPivotStyle="PivotStyleLight16"/>
  <colors>
    <mruColors>
      <color rgb="FF0000FF"/>
      <color rgb="FFFFC5B3"/>
      <color rgb="FFFFCCFF"/>
      <color rgb="FFCCB3FF"/>
      <color rgb="FFB4CDE6"/>
      <color rgb="FF97FFFF"/>
      <color rgb="FFCCFF33"/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</xdr:colOff>
      <xdr:row>20</xdr:row>
      <xdr:rowOff>95250</xdr:rowOff>
    </xdr:from>
    <xdr:to>
      <xdr:col>11</xdr:col>
      <xdr:colOff>357059</xdr:colOff>
      <xdr:row>50</xdr:row>
      <xdr:rowOff>53381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833" y="3333750"/>
          <a:ext cx="5257143" cy="47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129887</xdr:colOff>
      <xdr:row>4</xdr:row>
      <xdr:rowOff>64943</xdr:rowOff>
    </xdr:from>
    <xdr:to>
      <xdr:col>19</xdr:col>
      <xdr:colOff>223115</xdr:colOff>
      <xdr:row>17</xdr:row>
      <xdr:rowOff>139537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7643" y="714375"/>
          <a:ext cx="4260415" cy="2206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2017 GRC WC Det Format"/>
      <sheetName val="2019 March IS "/>
      <sheetName val="SAP DL Downld"/>
      <sheetName val="Meter count Updated"/>
      <sheetName val="Electric"/>
      <sheetName val="Gas"/>
      <sheetName val="Combined-2019"/>
      <sheetName val="DLReconBBS"/>
      <sheetName val="Elect. Customer Counts Pg 10a  "/>
      <sheetName val="Gas Customer Counts Pg 10b"/>
    </sheetNames>
    <sheetDataSet>
      <sheetData sheetId="0">
        <row r="35">
          <cell r="E35">
            <v>0.66349999999999998</v>
          </cell>
          <cell r="F35">
            <v>0.33650000000000002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tabSelected="1" zoomScale="91" zoomScaleNormal="91" workbookViewId="0">
      <selection activeCell="B45" sqref="B45"/>
    </sheetView>
  </sheetViews>
  <sheetFormatPr defaultRowHeight="13.2"/>
  <cols>
    <col min="1" max="1" width="5.6640625" style="33" customWidth="1"/>
    <col min="2" max="2" width="80.5546875" style="33" customWidth="1"/>
    <col min="3" max="3" width="4.5546875" style="33" customWidth="1"/>
    <col min="4" max="4" width="13.109375" style="33" customWidth="1"/>
    <col min="5" max="5" width="13.33203125" style="33" customWidth="1"/>
    <col min="6" max="6" width="1.6640625" customWidth="1"/>
    <col min="7" max="7" width="10.44140625" customWidth="1"/>
    <col min="8" max="8" width="16.6640625" customWidth="1"/>
    <col min="9" max="9" width="4.33203125" customWidth="1"/>
    <col min="10" max="10" width="12.33203125" customWidth="1"/>
    <col min="11" max="11" width="11.33203125" customWidth="1"/>
    <col min="12" max="12" width="2.33203125" customWidth="1"/>
    <col min="13" max="13" width="12" customWidth="1"/>
    <col min="14" max="14" width="11.44140625" customWidth="1"/>
    <col min="15" max="15" width="1.6640625" customWidth="1"/>
    <col min="16" max="16" width="11.33203125" bestFit="1" customWidth="1"/>
    <col min="17" max="17" width="10.44140625" bestFit="1" customWidth="1"/>
  </cols>
  <sheetData>
    <row r="1" spans="1:5">
      <c r="A1" s="42"/>
      <c r="E1" s="9"/>
    </row>
    <row r="2" spans="1:5">
      <c r="E2" s="9"/>
    </row>
    <row r="3" spans="1:5">
      <c r="A3" s="5"/>
      <c r="B3" s="11"/>
      <c r="E3"/>
    </row>
    <row r="4" spans="1:5">
      <c r="A4" s="12"/>
      <c r="B4" s="1"/>
      <c r="C4" s="1"/>
      <c r="D4" s="1"/>
    </row>
    <row r="5" spans="1:5">
      <c r="A5" s="43" t="s">
        <v>8</v>
      </c>
      <c r="B5" s="44"/>
      <c r="C5" s="44"/>
      <c r="D5" s="44"/>
      <c r="E5" s="45"/>
    </row>
    <row r="6" spans="1:5">
      <c r="A6" s="46" t="s">
        <v>0</v>
      </c>
      <c r="B6" s="44"/>
      <c r="C6" s="44"/>
      <c r="D6" s="44"/>
      <c r="E6" s="45"/>
    </row>
    <row r="7" spans="1:5">
      <c r="A7" s="47" t="s">
        <v>94</v>
      </c>
      <c r="B7" s="44"/>
      <c r="C7" s="44"/>
      <c r="D7" s="44"/>
      <c r="E7" s="45"/>
    </row>
    <row r="8" spans="1:5">
      <c r="A8" s="47" t="s">
        <v>50</v>
      </c>
      <c r="B8" s="44"/>
      <c r="C8" s="44"/>
      <c r="D8" s="44"/>
      <c r="E8" s="45"/>
    </row>
    <row r="9" spans="1:5">
      <c r="A9" s="1"/>
      <c r="B9" s="1"/>
      <c r="C9" s="1"/>
      <c r="D9" s="1"/>
    </row>
    <row r="10" spans="1:5">
      <c r="A10" s="8" t="s">
        <v>1</v>
      </c>
      <c r="B10" s="1"/>
      <c r="C10" s="1"/>
      <c r="D10" s="149"/>
      <c r="E10" s="149"/>
    </row>
    <row r="11" spans="1:5">
      <c r="A11" s="2" t="s">
        <v>2</v>
      </c>
      <c r="B11" s="3" t="s">
        <v>3</v>
      </c>
      <c r="C11" s="13"/>
      <c r="D11" s="4"/>
      <c r="E11" s="2" t="s">
        <v>4</v>
      </c>
    </row>
    <row r="12" spans="1:5">
      <c r="A12" s="5"/>
      <c r="B12" s="5"/>
      <c r="C12" s="5"/>
      <c r="D12" s="5"/>
    </row>
    <row r="13" spans="1:5">
      <c r="A13" s="6">
        <v>1</v>
      </c>
      <c r="B13" s="22" t="s">
        <v>11</v>
      </c>
      <c r="C13" s="20"/>
      <c r="D13" s="17"/>
    </row>
    <row r="14" spans="1:5">
      <c r="A14" s="6">
        <f t="shared" ref="A14:A32" si="0">+A13+1</f>
        <v>2</v>
      </c>
      <c r="B14" s="23"/>
      <c r="C14" s="20"/>
      <c r="D14" s="17"/>
    </row>
    <row r="15" spans="1:5">
      <c r="A15" s="6">
        <f t="shared" si="0"/>
        <v>3</v>
      </c>
      <c r="B15" s="66" t="s">
        <v>45</v>
      </c>
      <c r="C15" s="20"/>
    </row>
    <row r="16" spans="1:5">
      <c r="A16" s="6">
        <f t="shared" si="0"/>
        <v>4</v>
      </c>
      <c r="B16" s="23" t="s">
        <v>63</v>
      </c>
      <c r="C16" s="20"/>
      <c r="D16" s="16">
        <f>+'Ave cost of case'!D13</f>
        <v>1097000</v>
      </c>
    </row>
    <row r="17" spans="1:5">
      <c r="A17" s="6">
        <f t="shared" si="0"/>
        <v>5</v>
      </c>
      <c r="B17" s="23"/>
      <c r="C17" s="20"/>
      <c r="D17" s="17"/>
    </row>
    <row r="18" spans="1:5">
      <c r="A18" s="6">
        <f t="shared" si="0"/>
        <v>6</v>
      </c>
      <c r="B18" s="27" t="s">
        <v>49</v>
      </c>
      <c r="C18" s="24"/>
      <c r="D18" s="28">
        <f>+D16/2</f>
        <v>548500</v>
      </c>
    </row>
    <row r="19" spans="1:5">
      <c r="A19" s="6">
        <f t="shared" si="0"/>
        <v>7</v>
      </c>
      <c r="B19" s="14" t="s">
        <v>17</v>
      </c>
      <c r="C19" s="15"/>
      <c r="D19" s="61">
        <f>TY!C17</f>
        <v>1151655.348855</v>
      </c>
    </row>
    <row r="20" spans="1:5">
      <c r="A20" s="6">
        <f t="shared" si="0"/>
        <v>8</v>
      </c>
      <c r="B20" s="23" t="s">
        <v>5</v>
      </c>
      <c r="C20" s="25"/>
      <c r="D20" s="18">
        <f>+D18-D19</f>
        <v>-603155.34885499999</v>
      </c>
      <c r="E20" s="21">
        <f>+D20</f>
        <v>-603155.34885499999</v>
      </c>
    </row>
    <row r="21" spans="1:5">
      <c r="A21" s="6">
        <f t="shared" si="0"/>
        <v>9</v>
      </c>
      <c r="B21" s="23"/>
      <c r="C21" s="15"/>
      <c r="D21" s="29"/>
    </row>
    <row r="22" spans="1:5">
      <c r="A22" s="6">
        <f t="shared" si="0"/>
        <v>10</v>
      </c>
      <c r="B22" s="66" t="s">
        <v>46</v>
      </c>
      <c r="C22" s="20"/>
    </row>
    <row r="23" spans="1:5">
      <c r="A23" s="6">
        <f t="shared" si="0"/>
        <v>11</v>
      </c>
      <c r="B23" s="23" t="s">
        <v>47</v>
      </c>
      <c r="C23" s="20"/>
      <c r="D23" s="16">
        <f>+'Ave cost of case'!D25</f>
        <v>273000</v>
      </c>
    </row>
    <row r="24" spans="1:5">
      <c r="A24" s="6">
        <f t="shared" si="0"/>
        <v>12</v>
      </c>
      <c r="B24" s="23"/>
      <c r="C24" s="20"/>
      <c r="D24" s="16"/>
    </row>
    <row r="25" spans="1:5">
      <c r="A25" s="6">
        <f t="shared" si="0"/>
        <v>13</v>
      </c>
      <c r="B25" s="27" t="s">
        <v>48</v>
      </c>
      <c r="C25" s="24"/>
      <c r="D25" s="28">
        <f>+D23/4</f>
        <v>68250</v>
      </c>
    </row>
    <row r="26" spans="1:5">
      <c r="A26" s="6">
        <f t="shared" si="0"/>
        <v>14</v>
      </c>
      <c r="B26" s="14" t="s">
        <v>18</v>
      </c>
      <c r="C26" s="15"/>
      <c r="D26" s="61">
        <f>TY!B10</f>
        <v>0</v>
      </c>
    </row>
    <row r="27" spans="1:5">
      <c r="A27" s="6">
        <f t="shared" si="0"/>
        <v>15</v>
      </c>
      <c r="B27" s="23" t="s">
        <v>5</v>
      </c>
      <c r="C27" s="25"/>
      <c r="D27" s="18">
        <f>+D25-D26</f>
        <v>68250</v>
      </c>
      <c r="E27" s="21">
        <f>+D27</f>
        <v>68250</v>
      </c>
    </row>
    <row r="28" spans="1:5">
      <c r="A28" s="6">
        <f t="shared" si="0"/>
        <v>16</v>
      </c>
      <c r="B28" s="23"/>
      <c r="C28" s="25"/>
      <c r="D28" s="21"/>
      <c r="E28" s="48"/>
    </row>
    <row r="29" spans="1:5">
      <c r="A29" s="6">
        <f t="shared" si="0"/>
        <v>17</v>
      </c>
      <c r="B29" s="23" t="s">
        <v>12</v>
      </c>
      <c r="C29" s="15"/>
      <c r="E29" s="16">
        <f>+E20+E27</f>
        <v>-534905.34885499999</v>
      </c>
    </row>
    <row r="30" spans="1:5">
      <c r="A30" s="6">
        <f t="shared" si="0"/>
        <v>18</v>
      </c>
      <c r="B30" s="19"/>
      <c r="C30" s="15"/>
      <c r="E30" s="31"/>
    </row>
    <row r="31" spans="1:5">
      <c r="A31" s="6">
        <f t="shared" si="0"/>
        <v>19</v>
      </c>
      <c r="B31" s="19" t="s">
        <v>6</v>
      </c>
      <c r="C31" s="26">
        <v>0.21</v>
      </c>
      <c r="E31" s="32">
        <f>-E29*C31</f>
        <v>112330.12325954999</v>
      </c>
    </row>
    <row r="32" spans="1:5" ht="13.8" thickBot="1">
      <c r="A32" s="6">
        <f t="shared" si="0"/>
        <v>20</v>
      </c>
      <c r="B32" s="19" t="s">
        <v>7</v>
      </c>
      <c r="C32" s="15"/>
      <c r="E32" s="49">
        <f>-E29-E31</f>
        <v>422575.22559545003</v>
      </c>
    </row>
    <row r="33" spans="4:4" ht="13.8" thickTop="1"/>
    <row r="40" spans="4:4">
      <c r="D40" s="50"/>
    </row>
  </sheetData>
  <mergeCells count="1">
    <mergeCell ref="D10:E10"/>
  </mergeCells>
  <phoneticPr fontId="9" type="noConversion"/>
  <pageMargins left="0.75" right="0.75" top="1" bottom="1" header="0.5" footer="0.5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4"/>
  <sheetViews>
    <sheetView zoomScale="90" zoomScaleNormal="90" workbookViewId="0">
      <selection activeCell="N36" sqref="N36"/>
    </sheetView>
  </sheetViews>
  <sheetFormatPr defaultRowHeight="13.2"/>
  <cols>
    <col min="1" max="1" width="5.6640625" customWidth="1"/>
    <col min="2" max="2" width="67.44140625" bestFit="1" customWidth="1"/>
    <col min="3" max="3" width="5.109375" bestFit="1" customWidth="1"/>
    <col min="4" max="4" width="12" bestFit="1" customWidth="1"/>
    <col min="5" max="5" width="12.109375" customWidth="1"/>
    <col min="6" max="6" width="1.33203125" customWidth="1"/>
    <col min="7" max="7" width="11.33203125" customWidth="1"/>
    <col min="8" max="8" width="10.44140625" customWidth="1"/>
    <col min="9" max="9" width="1.33203125" customWidth="1"/>
    <col min="10" max="10" width="11.33203125" customWidth="1"/>
    <col min="11" max="11" width="10.44140625" customWidth="1"/>
    <col min="12" max="12" width="1.33203125" customWidth="1"/>
    <col min="13" max="13" width="11.33203125" bestFit="1" customWidth="1"/>
    <col min="14" max="14" width="10.44140625" bestFit="1" customWidth="1"/>
  </cols>
  <sheetData>
    <row r="1" spans="1:9">
      <c r="A1" s="10"/>
      <c r="E1" s="9"/>
    </row>
    <row r="2" spans="1:9">
      <c r="E2" s="9"/>
    </row>
    <row r="3" spans="1:9">
      <c r="A3" s="5"/>
      <c r="B3" s="11"/>
    </row>
    <row r="4" spans="1:9">
      <c r="A4" s="12"/>
      <c r="B4" s="1"/>
      <c r="C4" s="1"/>
      <c r="D4" s="1"/>
      <c r="E4" s="33"/>
    </row>
    <row r="5" spans="1:9">
      <c r="A5" s="43" t="s">
        <v>21</v>
      </c>
      <c r="B5" s="44"/>
      <c r="C5" s="44"/>
      <c r="D5" s="44"/>
      <c r="E5" s="45"/>
    </row>
    <row r="6" spans="1:9">
      <c r="A6" s="46" t="s">
        <v>0</v>
      </c>
      <c r="B6" s="44"/>
      <c r="C6" s="44"/>
      <c r="D6" s="44"/>
      <c r="E6" s="45"/>
    </row>
    <row r="7" spans="1:9">
      <c r="A7" s="47" t="str">
        <f>'Lead E'!A7</f>
        <v>FOR THE TWELVE MONTHS ENDED DECEMBER 31, 2019</v>
      </c>
      <c r="B7" s="44"/>
      <c r="C7" s="44"/>
      <c r="D7" s="44"/>
      <c r="E7" s="45"/>
    </row>
    <row r="8" spans="1:9">
      <c r="A8" s="47" t="str">
        <f>'Lead E'!A8</f>
        <v>COMMISSION BASIS REPORT</v>
      </c>
      <c r="B8" s="44"/>
      <c r="C8" s="44"/>
      <c r="D8" s="44"/>
      <c r="E8" s="45"/>
    </row>
    <row r="9" spans="1:9">
      <c r="A9" s="1"/>
      <c r="B9" s="1"/>
      <c r="C9" s="1"/>
      <c r="D9" s="1"/>
      <c r="E9" s="33"/>
    </row>
    <row r="10" spans="1:9">
      <c r="A10" s="8" t="s">
        <v>1</v>
      </c>
      <c r="B10" s="1"/>
      <c r="C10" s="1"/>
    </row>
    <row r="11" spans="1:9">
      <c r="A11" s="2" t="s">
        <v>2</v>
      </c>
      <c r="B11" s="3" t="s">
        <v>3</v>
      </c>
      <c r="C11" s="13"/>
      <c r="D11" s="4"/>
      <c r="E11" s="2" t="s">
        <v>4</v>
      </c>
    </row>
    <row r="12" spans="1:9">
      <c r="A12" s="5"/>
      <c r="B12" s="5"/>
      <c r="C12" s="5"/>
      <c r="D12" s="5"/>
      <c r="E12" s="33"/>
    </row>
    <row r="13" spans="1:9">
      <c r="A13" s="6">
        <v>1</v>
      </c>
      <c r="B13" s="22" t="s">
        <v>11</v>
      </c>
      <c r="C13" s="20"/>
      <c r="D13" s="17"/>
      <c r="E13" s="33"/>
    </row>
    <row r="14" spans="1:9">
      <c r="A14" s="6">
        <f t="shared" ref="A14:A25" si="0">+A13+1</f>
        <v>2</v>
      </c>
      <c r="B14" s="23"/>
      <c r="C14" s="20"/>
      <c r="D14" s="17"/>
      <c r="E14" s="33"/>
    </row>
    <row r="15" spans="1:9">
      <c r="A15" s="6">
        <f t="shared" si="0"/>
        <v>3</v>
      </c>
      <c r="B15" s="23" t="s">
        <v>64</v>
      </c>
      <c r="C15" s="20"/>
      <c r="D15" s="16">
        <f>+'Ave cost of case'!D13</f>
        <v>1097000</v>
      </c>
      <c r="E15" s="33"/>
      <c r="I15" s="123"/>
    </row>
    <row r="16" spans="1:9">
      <c r="A16" s="6">
        <f t="shared" si="0"/>
        <v>4</v>
      </c>
      <c r="B16" s="23"/>
      <c r="C16" s="20"/>
      <c r="D16" s="17"/>
      <c r="E16" s="33"/>
      <c r="I16" s="123"/>
    </row>
    <row r="17" spans="1:9">
      <c r="A17" s="6">
        <f t="shared" si="0"/>
        <v>5</v>
      </c>
      <c r="B17" s="27" t="s">
        <v>20</v>
      </c>
      <c r="C17" s="24"/>
      <c r="D17" s="28">
        <f>+D15/2</f>
        <v>548500</v>
      </c>
      <c r="E17" s="33"/>
      <c r="I17" s="124"/>
    </row>
    <row r="18" spans="1:9">
      <c r="A18" s="6">
        <f t="shared" si="0"/>
        <v>6</v>
      </c>
      <c r="B18" s="14" t="s">
        <v>17</v>
      </c>
      <c r="C18" s="15"/>
      <c r="D18" s="61">
        <f>TY!D17</f>
        <v>584072.38114499999</v>
      </c>
      <c r="E18" s="33"/>
      <c r="I18" s="125"/>
    </row>
    <row r="19" spans="1:9">
      <c r="A19" s="6">
        <f t="shared" si="0"/>
        <v>7</v>
      </c>
      <c r="B19" s="23" t="s">
        <v>5</v>
      </c>
      <c r="C19" s="25"/>
      <c r="D19" s="18">
        <f>+D17-D18</f>
        <v>-35572.381144999992</v>
      </c>
      <c r="E19" s="21">
        <f>+D19</f>
        <v>-35572.381144999992</v>
      </c>
      <c r="I19" s="126"/>
    </row>
    <row r="20" spans="1:9">
      <c r="A20" s="6">
        <f t="shared" si="0"/>
        <v>8</v>
      </c>
      <c r="B20" s="23"/>
      <c r="C20" s="25"/>
      <c r="D20" s="30"/>
      <c r="E20" s="48"/>
      <c r="I20" s="126"/>
    </row>
    <row r="21" spans="1:9">
      <c r="A21" s="6">
        <f t="shared" si="0"/>
        <v>9</v>
      </c>
      <c r="B21" s="23"/>
      <c r="C21" s="15"/>
      <c r="D21" s="29"/>
      <c r="E21" s="33"/>
      <c r="I21" s="125"/>
    </row>
    <row r="22" spans="1:9">
      <c r="A22" s="6">
        <f t="shared" si="0"/>
        <v>10</v>
      </c>
      <c r="B22" s="23" t="s">
        <v>12</v>
      </c>
      <c r="C22" s="15"/>
      <c r="D22" s="33"/>
      <c r="E22" s="16">
        <f>+E19</f>
        <v>-35572.381144999992</v>
      </c>
      <c r="I22" s="125"/>
    </row>
    <row r="23" spans="1:9">
      <c r="A23" s="6">
        <f t="shared" si="0"/>
        <v>11</v>
      </c>
      <c r="B23" s="19"/>
      <c r="C23" s="15"/>
      <c r="D23" s="33"/>
      <c r="E23" s="31"/>
      <c r="I23" s="125"/>
    </row>
    <row r="24" spans="1:9">
      <c r="A24" s="6">
        <f t="shared" si="0"/>
        <v>12</v>
      </c>
      <c r="B24" s="19" t="s">
        <v>6</v>
      </c>
      <c r="C24" s="26">
        <v>0.21</v>
      </c>
      <c r="D24" s="33"/>
      <c r="E24" s="32">
        <f>-E22*C24</f>
        <v>7470.2000404499977</v>
      </c>
      <c r="I24" s="127">
        <v>0.21</v>
      </c>
    </row>
    <row r="25" spans="1:9" ht="13.8" thickBot="1">
      <c r="A25" s="6">
        <f t="shared" si="0"/>
        <v>13</v>
      </c>
      <c r="B25" s="19" t="s">
        <v>7</v>
      </c>
      <c r="C25" s="15"/>
      <c r="D25" s="33"/>
      <c r="E25" s="49">
        <f>-E22-E24</f>
        <v>28102.181104549993</v>
      </c>
      <c r="I25" s="125"/>
    </row>
    <row r="26" spans="1:9" ht="13.8" thickTop="1">
      <c r="A26" s="33"/>
      <c r="B26" s="33"/>
      <c r="C26" s="33"/>
      <c r="D26" s="33"/>
      <c r="E26" s="33"/>
    </row>
    <row r="27" spans="1:9">
      <c r="A27" s="33"/>
      <c r="B27" s="33"/>
      <c r="C27" s="33"/>
      <c r="D27" s="33"/>
      <c r="E27" s="33"/>
    </row>
    <row r="28" spans="1:9">
      <c r="A28" s="33"/>
      <c r="B28" s="33"/>
      <c r="C28" s="33"/>
      <c r="D28" s="33"/>
      <c r="E28" s="33"/>
    </row>
    <row r="29" spans="1:9">
      <c r="A29" s="33"/>
      <c r="B29" s="33"/>
      <c r="C29" s="33"/>
      <c r="D29" s="33"/>
      <c r="E29" s="33"/>
    </row>
    <row r="30" spans="1:9">
      <c r="A30" s="33"/>
      <c r="B30" s="33"/>
      <c r="C30" s="33"/>
      <c r="D30" s="33"/>
      <c r="E30" s="33"/>
    </row>
    <row r="31" spans="1:9">
      <c r="A31" s="33"/>
      <c r="B31" s="33"/>
      <c r="C31" s="33"/>
      <c r="D31" s="33"/>
      <c r="E31" s="33"/>
    </row>
    <row r="32" spans="1:9">
      <c r="A32" s="33"/>
      <c r="B32" s="33"/>
      <c r="C32" s="33"/>
      <c r="D32" s="33"/>
      <c r="E32" s="33"/>
    </row>
    <row r="33" spans="1:5">
      <c r="A33" s="33"/>
      <c r="B33" s="33"/>
      <c r="C33" s="33"/>
      <c r="D33" s="33"/>
      <c r="E33" s="33"/>
    </row>
    <row r="34" spans="1:5">
      <c r="D34" s="33"/>
      <c r="E34" s="33"/>
    </row>
  </sheetData>
  <phoneticPr fontId="9" type="noConversion"/>
  <pageMargins left="0.75" right="0.75" top="1" bottom="1" header="0.5" footer="0.5"/>
  <pageSetup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49"/>
  <sheetViews>
    <sheetView zoomScale="90" zoomScaleNormal="90" workbookViewId="0">
      <selection activeCell="L21" sqref="L21"/>
    </sheetView>
  </sheetViews>
  <sheetFormatPr defaultColWidth="8.88671875" defaultRowHeight="13.2"/>
  <cols>
    <col min="1" max="2" width="12.6640625" style="75" customWidth="1"/>
    <col min="3" max="3" width="40.33203125" style="84" customWidth="1"/>
    <col min="4" max="4" width="10.88671875" style="85" bestFit="1" customWidth="1"/>
    <col min="5" max="5" width="19.33203125" style="41" customWidth="1"/>
    <col min="6" max="16384" width="8.88671875" style="75"/>
  </cols>
  <sheetData>
    <row r="1" spans="1:6" ht="15.6">
      <c r="A1" s="73"/>
      <c r="B1" s="74"/>
      <c r="C1" s="36" t="s">
        <v>9</v>
      </c>
      <c r="D1" s="36"/>
      <c r="E1" s="37"/>
    </row>
    <row r="2" spans="1:6">
      <c r="A2" s="76"/>
      <c r="B2" s="77"/>
      <c r="C2" s="34" t="s">
        <v>14</v>
      </c>
      <c r="D2" s="34"/>
      <c r="E2" s="38"/>
    </row>
    <row r="3" spans="1:6">
      <c r="A3" s="76"/>
      <c r="B3" s="77"/>
      <c r="C3" s="34"/>
      <c r="D3" s="34"/>
      <c r="E3" s="38"/>
      <c r="F3" s="84"/>
    </row>
    <row r="4" spans="1:6">
      <c r="A4" s="76"/>
      <c r="B4" s="77"/>
      <c r="C4" s="78" t="s">
        <v>28</v>
      </c>
      <c r="D4" s="147">
        <f>'Summary GRCs'!B9</f>
        <v>2136119.15</v>
      </c>
      <c r="E4" s="38"/>
      <c r="F4" s="84"/>
    </row>
    <row r="5" spans="1:6">
      <c r="A5" s="76"/>
      <c r="B5" s="77"/>
      <c r="C5" s="78"/>
      <c r="D5" s="148"/>
      <c r="E5" s="38"/>
      <c r="F5" s="84"/>
    </row>
    <row r="6" spans="1:6">
      <c r="A6" s="76"/>
      <c r="B6" s="77"/>
      <c r="C6" s="78" t="s">
        <v>62</v>
      </c>
      <c r="D6" s="148">
        <f>'Summary GRCs'!B18</f>
        <v>2251755.3600000003</v>
      </c>
      <c r="E6" s="38"/>
      <c r="F6" s="84"/>
    </row>
    <row r="7" spans="1:6">
      <c r="A7" s="76"/>
      <c r="B7" s="77"/>
      <c r="C7" s="78"/>
      <c r="D7" s="148"/>
      <c r="E7" s="38"/>
      <c r="F7" s="84"/>
    </row>
    <row r="8" spans="1:6">
      <c r="A8" s="76"/>
      <c r="B8" s="77"/>
      <c r="C8" s="78"/>
      <c r="D8" s="148"/>
      <c r="E8" s="38"/>
      <c r="F8" s="84"/>
    </row>
    <row r="9" spans="1:6">
      <c r="A9" s="76"/>
      <c r="B9" s="77"/>
      <c r="C9" s="78" t="s">
        <v>15</v>
      </c>
      <c r="D9" s="148">
        <f>(D4+D6)/2</f>
        <v>2193937.2549999999</v>
      </c>
      <c r="E9" s="38"/>
      <c r="F9" s="84"/>
    </row>
    <row r="10" spans="1:6">
      <c r="A10" s="76"/>
      <c r="B10" s="77"/>
      <c r="C10" s="78"/>
      <c r="D10" s="148"/>
      <c r="E10" s="38"/>
      <c r="F10" s="84"/>
    </row>
    <row r="11" spans="1:6">
      <c r="A11" s="76"/>
      <c r="B11" s="77"/>
      <c r="C11" s="78" t="s">
        <v>32</v>
      </c>
      <c r="D11" s="148">
        <f>+D9/2</f>
        <v>1096968.6274999999</v>
      </c>
      <c r="E11" s="38"/>
      <c r="F11" s="84"/>
    </row>
    <row r="12" spans="1:6">
      <c r="A12" s="76"/>
      <c r="B12" s="77"/>
      <c r="C12" s="78"/>
      <c r="D12" s="148"/>
      <c r="E12" s="38"/>
      <c r="F12" s="84"/>
    </row>
    <row r="13" spans="1:6">
      <c r="A13" s="76"/>
      <c r="B13" s="77"/>
      <c r="C13" s="78" t="s">
        <v>19</v>
      </c>
      <c r="D13" s="148">
        <f>ROUND(+D11,-3)</f>
        <v>1097000</v>
      </c>
      <c r="E13" s="38"/>
      <c r="F13" s="84"/>
    </row>
    <row r="14" spans="1:6">
      <c r="A14" s="79"/>
      <c r="B14" s="80"/>
      <c r="C14" s="81"/>
      <c r="D14" s="82"/>
      <c r="E14" s="39"/>
      <c r="F14" s="84"/>
    </row>
    <row r="15" spans="1:6">
      <c r="A15" s="77"/>
      <c r="B15" s="77"/>
      <c r="C15" s="78"/>
      <c r="D15" s="83"/>
      <c r="E15" s="40"/>
      <c r="F15" s="84"/>
    </row>
    <row r="16" spans="1:6" ht="15.6">
      <c r="A16" s="73"/>
      <c r="B16" s="74"/>
      <c r="C16" s="36" t="s">
        <v>9</v>
      </c>
      <c r="D16" s="36"/>
      <c r="E16" s="37"/>
      <c r="F16" s="84"/>
    </row>
    <row r="17" spans="1:7">
      <c r="A17" s="76"/>
      <c r="B17" s="77"/>
      <c r="C17" s="34" t="s">
        <v>13</v>
      </c>
      <c r="D17" s="34"/>
      <c r="E17" s="38"/>
      <c r="F17" s="84"/>
    </row>
    <row r="18" spans="1:7">
      <c r="A18" s="76"/>
      <c r="B18" s="77"/>
      <c r="C18" s="34"/>
      <c r="D18" s="34"/>
      <c r="E18" s="38"/>
      <c r="F18" s="84"/>
      <c r="G18" s="84"/>
    </row>
    <row r="19" spans="1:7">
      <c r="A19" s="76"/>
      <c r="B19" s="77"/>
      <c r="C19" s="78" t="s">
        <v>44</v>
      </c>
      <c r="D19" s="148">
        <f>'Summary PCORCs'!B10</f>
        <v>148465.66</v>
      </c>
      <c r="E19" s="38"/>
      <c r="F19" s="84"/>
      <c r="G19" s="84"/>
    </row>
    <row r="20" spans="1:7">
      <c r="A20" s="76"/>
      <c r="B20" s="77"/>
      <c r="C20" s="78"/>
      <c r="D20" s="148"/>
      <c r="E20" s="38"/>
      <c r="F20" s="84"/>
      <c r="G20" s="84"/>
    </row>
    <row r="21" spans="1:7">
      <c r="A21" s="76"/>
      <c r="B21" s="77"/>
      <c r="C21" s="78" t="s">
        <v>38</v>
      </c>
      <c r="D21" s="148">
        <f>'Summary PCORCs'!B6</f>
        <v>396820.91000000009</v>
      </c>
      <c r="E21" s="38"/>
      <c r="F21" s="84"/>
      <c r="G21" s="84"/>
    </row>
    <row r="22" spans="1:7">
      <c r="A22" s="76"/>
      <c r="B22" s="77"/>
      <c r="C22" s="78"/>
      <c r="D22" s="148"/>
      <c r="E22" s="38"/>
      <c r="F22" s="84"/>
      <c r="G22" s="84"/>
    </row>
    <row r="23" spans="1:7">
      <c r="A23" s="76"/>
      <c r="B23" s="77"/>
      <c r="C23" s="78" t="s">
        <v>33</v>
      </c>
      <c r="D23" s="148">
        <f>(+D19+D21)/2</f>
        <v>272643.28500000003</v>
      </c>
      <c r="E23" s="38"/>
      <c r="F23" s="84"/>
      <c r="G23" s="84"/>
    </row>
    <row r="24" spans="1:7">
      <c r="A24" s="76"/>
      <c r="B24" s="77"/>
      <c r="C24" s="78"/>
      <c r="D24" s="148"/>
      <c r="E24" s="38"/>
      <c r="F24" s="84"/>
      <c r="G24" s="84"/>
    </row>
    <row r="25" spans="1:7">
      <c r="A25" s="76"/>
      <c r="B25" s="77"/>
      <c r="C25" s="78" t="s">
        <v>34</v>
      </c>
      <c r="D25" s="148">
        <f>ROUND(+D23,-3)</f>
        <v>273000</v>
      </c>
      <c r="E25" s="38"/>
      <c r="F25" s="84"/>
      <c r="G25" s="84"/>
    </row>
    <row r="26" spans="1:7">
      <c r="A26" s="79"/>
      <c r="B26" s="80"/>
      <c r="C26" s="81"/>
      <c r="D26" s="82"/>
      <c r="E26" s="39"/>
      <c r="F26" s="84"/>
      <c r="G26" s="84"/>
    </row>
    <row r="27" spans="1:7">
      <c r="B27" s="77"/>
      <c r="C27" s="78"/>
      <c r="D27" s="83"/>
      <c r="E27" s="40"/>
      <c r="F27" s="84"/>
      <c r="G27" s="84"/>
    </row>
    <row r="28" spans="1:7">
      <c r="A28" s="77"/>
      <c r="B28" s="77"/>
      <c r="C28" s="78"/>
      <c r="D28" s="83"/>
      <c r="E28" s="40"/>
      <c r="F28" s="84"/>
      <c r="G28" s="84"/>
    </row>
    <row r="29" spans="1:7">
      <c r="A29" s="7"/>
      <c r="B29" s="7"/>
      <c r="E29" s="86"/>
      <c r="F29" s="84"/>
      <c r="G29" s="84"/>
    </row>
    <row r="30" spans="1:7">
      <c r="F30" s="84"/>
    </row>
    <row r="31" spans="1:7">
      <c r="F31" s="84"/>
    </row>
    <row r="32" spans="1:7">
      <c r="F32" s="84"/>
    </row>
    <row r="33" spans="6:6">
      <c r="F33" s="84"/>
    </row>
    <row r="34" spans="6:6">
      <c r="F34" s="84"/>
    </row>
    <row r="35" spans="6:6">
      <c r="F35" s="84"/>
    </row>
    <row r="36" spans="6:6">
      <c r="F36" s="84"/>
    </row>
    <row r="37" spans="6:6">
      <c r="F37" s="84"/>
    </row>
    <row r="38" spans="6:6">
      <c r="F38" s="84"/>
    </row>
    <row r="39" spans="6:6">
      <c r="F39" s="84"/>
    </row>
    <row r="40" spans="6:6">
      <c r="F40" s="84"/>
    </row>
    <row r="41" spans="6:6">
      <c r="F41" s="84"/>
    </row>
    <row r="42" spans="6:6">
      <c r="F42" s="84"/>
    </row>
    <row r="43" spans="6:6">
      <c r="F43" s="84"/>
    </row>
    <row r="44" spans="6:6">
      <c r="F44" s="84"/>
    </row>
    <row r="45" spans="6:6">
      <c r="F45" s="84"/>
    </row>
    <row r="46" spans="6:6">
      <c r="F46" s="84"/>
    </row>
    <row r="47" spans="6:6">
      <c r="F47" s="84"/>
    </row>
    <row r="48" spans="6:6">
      <c r="F48" s="84"/>
    </row>
    <row r="49" spans="6:6">
      <c r="F49" s="84"/>
    </row>
  </sheetData>
  <phoneticPr fontId="9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08"/>
  <sheetViews>
    <sheetView zoomScale="90" zoomScaleNormal="90" workbookViewId="0">
      <selection activeCell="O32" sqref="O32"/>
    </sheetView>
  </sheetViews>
  <sheetFormatPr defaultColWidth="8.88671875" defaultRowHeight="13.2"/>
  <cols>
    <col min="1" max="1" width="50.6640625" style="84" bestFit="1" customWidth="1"/>
    <col min="2" max="2" width="17" style="84" customWidth="1"/>
    <col min="3" max="4" width="13.44140625" style="84" bestFit="1" customWidth="1"/>
    <col min="5" max="16384" width="8.88671875" style="84"/>
  </cols>
  <sheetData>
    <row r="1" spans="1:4">
      <c r="A1" s="150" t="s">
        <v>9</v>
      </c>
      <c r="B1" s="150"/>
      <c r="C1" s="150"/>
      <c r="D1" s="150"/>
    </row>
    <row r="2" spans="1:4">
      <c r="A2" s="151" t="s">
        <v>90</v>
      </c>
      <c r="B2" s="151"/>
      <c r="C2" s="151"/>
      <c r="D2" s="151"/>
    </row>
    <row r="3" spans="1:4">
      <c r="A3" s="151" t="s">
        <v>35</v>
      </c>
      <c r="B3" s="151"/>
      <c r="C3" s="151"/>
      <c r="D3" s="151"/>
    </row>
    <row r="4" spans="1:4">
      <c r="A4" s="57"/>
      <c r="B4" s="58"/>
      <c r="C4" s="58"/>
      <c r="D4" s="58"/>
    </row>
    <row r="5" spans="1:4">
      <c r="A5" s="57"/>
      <c r="B5" s="58"/>
      <c r="C5" s="59" t="s">
        <v>30</v>
      </c>
      <c r="D5" s="60" t="s">
        <v>10</v>
      </c>
    </row>
    <row r="6" spans="1:4" ht="13.8">
      <c r="A6" s="55" t="s">
        <v>31</v>
      </c>
      <c r="B6" s="56" t="s">
        <v>22</v>
      </c>
      <c r="C6" s="138">
        <f>[1]Lead!E35</f>
        <v>0.66349999999999998</v>
      </c>
      <c r="D6" s="138">
        <f>[1]Lead!F35</f>
        <v>0.33650000000000002</v>
      </c>
    </row>
    <row r="7" spans="1:4" ht="13.8">
      <c r="A7" s="69"/>
      <c r="B7" s="70"/>
      <c r="C7" s="87"/>
      <c r="D7" s="87"/>
    </row>
    <row r="8" spans="1:4">
      <c r="A8" s="139" t="s">
        <v>29</v>
      </c>
      <c r="B8" s="143">
        <f>'Summary PCORCs'!L6</f>
        <v>0</v>
      </c>
      <c r="C8" s="143">
        <f>B8*$C$6</f>
        <v>0</v>
      </c>
      <c r="D8" s="144">
        <f>B8*$D$6</f>
        <v>0</v>
      </c>
    </row>
    <row r="9" spans="1:4">
      <c r="A9" s="139" t="s">
        <v>41</v>
      </c>
      <c r="B9" s="143">
        <f>'Summary PCORCs'!L10</f>
        <v>0</v>
      </c>
      <c r="C9" s="143">
        <f>B9*$C$6</f>
        <v>0</v>
      </c>
      <c r="D9" s="144">
        <f>B9*$D$6</f>
        <v>0</v>
      </c>
    </row>
    <row r="10" spans="1:4">
      <c r="A10" s="140" t="s">
        <v>43</v>
      </c>
      <c r="B10" s="143">
        <f>SUM(B8:B9)</f>
        <v>0</v>
      </c>
      <c r="C10" s="143">
        <f>SUM(C8:C9)</f>
        <v>0</v>
      </c>
      <c r="D10" s="144">
        <f>SUM(D8:D9)</f>
        <v>0</v>
      </c>
    </row>
    <row r="11" spans="1:4">
      <c r="A11" s="89"/>
      <c r="B11" s="88"/>
      <c r="C11" s="88"/>
      <c r="D11" s="78"/>
    </row>
    <row r="12" spans="1:4">
      <c r="A12" s="84" t="s">
        <v>53</v>
      </c>
      <c r="B12" s="143">
        <v>0</v>
      </c>
      <c r="C12" s="143">
        <f>+B12*$C$6</f>
        <v>0</v>
      </c>
      <c r="D12" s="144">
        <f>+B12*$D$6</f>
        <v>0</v>
      </c>
    </row>
    <row r="13" spans="1:4">
      <c r="A13" s="84" t="s">
        <v>54</v>
      </c>
      <c r="B13" s="141">
        <f>B44</f>
        <v>71.34</v>
      </c>
      <c r="C13" s="141">
        <f t="shared" ref="C13:C15" si="0">+B13*$C$6</f>
        <v>47.334090000000003</v>
      </c>
      <c r="D13" s="142">
        <f t="shared" ref="D13:D15" si="1">+B13*$D$6</f>
        <v>24.005910000000004</v>
      </c>
    </row>
    <row r="14" spans="1:4">
      <c r="A14" s="84" t="s">
        <v>55</v>
      </c>
      <c r="B14" s="143">
        <v>0</v>
      </c>
      <c r="C14" s="143">
        <f t="shared" si="0"/>
        <v>0</v>
      </c>
      <c r="D14" s="144">
        <f t="shared" si="1"/>
        <v>0</v>
      </c>
    </row>
    <row r="15" spans="1:4">
      <c r="A15" s="84" t="s">
        <v>56</v>
      </c>
      <c r="B15" s="143">
        <v>0</v>
      </c>
      <c r="C15" s="143">
        <f t="shared" si="0"/>
        <v>0</v>
      </c>
      <c r="D15" s="144">
        <f t="shared" si="1"/>
        <v>0</v>
      </c>
    </row>
    <row r="16" spans="1:4">
      <c r="A16" s="84" t="s">
        <v>95</v>
      </c>
      <c r="B16" s="143">
        <f>B42</f>
        <v>1735656.39</v>
      </c>
      <c r="C16" s="141">
        <f t="shared" ref="C16" si="2">+B16*$C$6</f>
        <v>1151608.014765</v>
      </c>
      <c r="D16" s="142">
        <f t="shared" ref="D16" si="3">+B16*$D$6</f>
        <v>584048.37523500004</v>
      </c>
    </row>
    <row r="17" spans="1:4">
      <c r="A17" s="145" t="s">
        <v>51</v>
      </c>
      <c r="B17" s="146">
        <f>SUM(B12:B16)</f>
        <v>1735727.73</v>
      </c>
      <c r="C17" s="146">
        <f t="shared" ref="C17:D17" si="4">SUM(C12:C16)</f>
        <v>1151655.348855</v>
      </c>
      <c r="D17" s="146">
        <f t="shared" si="4"/>
        <v>584072.38114499999</v>
      </c>
    </row>
    <row r="19" spans="1:4">
      <c r="A19" s="84" t="s">
        <v>66</v>
      </c>
    </row>
    <row r="20" spans="1:4">
      <c r="A20" s="84" t="s">
        <v>91</v>
      </c>
    </row>
    <row r="21" spans="1:4">
      <c r="A21" s="84" t="s">
        <v>67</v>
      </c>
    </row>
    <row r="23" spans="1:4">
      <c r="A23" s="84" t="s">
        <v>68</v>
      </c>
    </row>
    <row r="24" spans="1:4">
      <c r="A24" s="78"/>
      <c r="B24" s="83"/>
    </row>
    <row r="25" spans="1:4" ht="13.8">
      <c r="A25" s="55" t="s">
        <v>31</v>
      </c>
      <c r="B25" s="56" t="s">
        <v>22</v>
      </c>
    </row>
    <row r="26" spans="1:4">
      <c r="A26" s="130" t="s">
        <v>71</v>
      </c>
      <c r="B26" s="131">
        <v>205212.65</v>
      </c>
    </row>
    <row r="27" spans="1:4">
      <c r="A27" s="130" t="s">
        <v>72</v>
      </c>
      <c r="B27" s="131">
        <v>263848.33</v>
      </c>
    </row>
    <row r="28" spans="1:4">
      <c r="A28" s="130" t="s">
        <v>73</v>
      </c>
      <c r="B28" s="131">
        <v>77201.45</v>
      </c>
    </row>
    <row r="29" spans="1:4">
      <c r="A29" s="130" t="s">
        <v>74</v>
      </c>
      <c r="B29" s="131">
        <v>4394185.7699999996</v>
      </c>
    </row>
    <row r="30" spans="1:4">
      <c r="A30" s="130" t="s">
        <v>75</v>
      </c>
      <c r="B30" s="131">
        <v>1562938.96</v>
      </c>
    </row>
    <row r="31" spans="1:4">
      <c r="A31" s="130" t="s">
        <v>76</v>
      </c>
      <c r="B31" s="131">
        <v>58.5</v>
      </c>
    </row>
    <row r="32" spans="1:4">
      <c r="A32" s="130" t="s">
        <v>77</v>
      </c>
      <c r="B32" s="131">
        <v>200</v>
      </c>
    </row>
    <row r="33" spans="1:3">
      <c r="A33" s="130" t="s">
        <v>78</v>
      </c>
      <c r="B33" s="131">
        <v>876457.75</v>
      </c>
    </row>
    <row r="34" spans="1:3">
      <c r="A34" s="132" t="s">
        <v>79</v>
      </c>
      <c r="B34" s="133">
        <f>SUM(B26:B33)</f>
        <v>7380103.4099999992</v>
      </c>
    </row>
    <row r="35" spans="1:3">
      <c r="A35" s="130" t="s">
        <v>80</v>
      </c>
      <c r="B35" s="131">
        <v>156859.01999999999</v>
      </c>
      <c r="C35" s="90"/>
    </row>
    <row r="36" spans="1:3">
      <c r="A36" s="130" t="s">
        <v>81</v>
      </c>
      <c r="B36" s="131">
        <v>1753018.78</v>
      </c>
    </row>
    <row r="37" spans="1:3">
      <c r="A37" s="134" t="s">
        <v>92</v>
      </c>
      <c r="B37" s="131">
        <v>30863.67</v>
      </c>
    </row>
    <row r="38" spans="1:3">
      <c r="A38" s="132" t="s">
        <v>82</v>
      </c>
      <c r="B38" s="133">
        <f>SUM(B35:B37)</f>
        <v>1940741.47</v>
      </c>
    </row>
    <row r="39" spans="1:3">
      <c r="A39" s="130" t="s">
        <v>83</v>
      </c>
      <c r="B39" s="131">
        <v>117395.75</v>
      </c>
    </row>
    <row r="40" spans="1:3">
      <c r="A40" s="130" t="s">
        <v>84</v>
      </c>
      <c r="B40" s="131">
        <v>77611.460000000006</v>
      </c>
    </row>
    <row r="41" spans="1:3">
      <c r="A41" s="130" t="s">
        <v>85</v>
      </c>
      <c r="B41" s="135">
        <v>-125051.17</v>
      </c>
    </row>
    <row r="42" spans="1:3">
      <c r="A42" s="128" t="s">
        <v>93</v>
      </c>
      <c r="B42" s="129">
        <v>1735656.39</v>
      </c>
    </row>
    <row r="43" spans="1:3">
      <c r="A43" s="130" t="s">
        <v>86</v>
      </c>
      <c r="B43" s="131">
        <v>43133.53</v>
      </c>
    </row>
    <row r="44" spans="1:3">
      <c r="A44" s="128" t="s">
        <v>87</v>
      </c>
      <c r="B44" s="129">
        <v>71.34</v>
      </c>
    </row>
    <row r="45" spans="1:3">
      <c r="A45" s="132" t="s">
        <v>69</v>
      </c>
      <c r="B45" s="133">
        <f>SUM(B39:B44)</f>
        <v>1848817.3</v>
      </c>
    </row>
    <row r="46" spans="1:3">
      <c r="A46" s="136" t="s">
        <v>70</v>
      </c>
      <c r="B46" s="137">
        <f>B34+B38+B45</f>
        <v>11169662.18</v>
      </c>
    </row>
    <row r="47" spans="1:3">
      <c r="B47" s="122"/>
    </row>
    <row r="48" spans="1:3">
      <c r="B48" s="122"/>
    </row>
    <row r="49" spans="2:2">
      <c r="B49" s="122"/>
    </row>
    <row r="50" spans="2:2">
      <c r="B50" s="122"/>
    </row>
    <row r="51" spans="2:2">
      <c r="B51" s="122"/>
    </row>
    <row r="52" spans="2:2">
      <c r="B52" s="122"/>
    </row>
    <row r="53" spans="2:2">
      <c r="B53" s="122"/>
    </row>
    <row r="54" spans="2:2">
      <c r="B54" s="122"/>
    </row>
    <row r="55" spans="2:2">
      <c r="B55" s="122"/>
    </row>
    <row r="56" spans="2:2">
      <c r="B56" s="122"/>
    </row>
    <row r="57" spans="2:2">
      <c r="B57" s="122"/>
    </row>
    <row r="58" spans="2:2">
      <c r="B58" s="122"/>
    </row>
    <row r="59" spans="2:2">
      <c r="B59" s="122"/>
    </row>
    <row r="60" spans="2:2">
      <c r="B60" s="122"/>
    </row>
    <row r="61" spans="2:2">
      <c r="B61" s="122"/>
    </row>
    <row r="62" spans="2:2">
      <c r="B62" s="122"/>
    </row>
    <row r="63" spans="2:2">
      <c r="B63" s="122"/>
    </row>
    <row r="64" spans="2:2">
      <c r="B64" s="122"/>
    </row>
    <row r="65" spans="2:2">
      <c r="B65" s="122"/>
    </row>
    <row r="66" spans="2:2">
      <c r="B66" s="122"/>
    </row>
    <row r="67" spans="2:2">
      <c r="B67" s="122"/>
    </row>
    <row r="68" spans="2:2">
      <c r="B68" s="122"/>
    </row>
    <row r="69" spans="2:2">
      <c r="B69" s="122"/>
    </row>
    <row r="70" spans="2:2">
      <c r="B70" s="122"/>
    </row>
    <row r="71" spans="2:2">
      <c r="B71" s="122"/>
    </row>
    <row r="72" spans="2:2">
      <c r="B72" s="122"/>
    </row>
    <row r="73" spans="2:2">
      <c r="B73" s="122"/>
    </row>
    <row r="74" spans="2:2">
      <c r="B74" s="122"/>
    </row>
    <row r="75" spans="2:2">
      <c r="B75" s="122"/>
    </row>
    <row r="76" spans="2:2">
      <c r="B76" s="122"/>
    </row>
    <row r="77" spans="2:2">
      <c r="B77" s="122"/>
    </row>
    <row r="78" spans="2:2">
      <c r="B78" s="122"/>
    </row>
    <row r="79" spans="2:2">
      <c r="B79" s="122"/>
    </row>
    <row r="80" spans="2:2">
      <c r="B80" s="122"/>
    </row>
    <row r="81" spans="2:2">
      <c r="B81" s="122"/>
    </row>
    <row r="82" spans="2:2">
      <c r="B82" s="122"/>
    </row>
    <row r="83" spans="2:2">
      <c r="B83" s="122"/>
    </row>
    <row r="84" spans="2:2">
      <c r="B84" s="122"/>
    </row>
    <row r="85" spans="2:2">
      <c r="B85" s="122"/>
    </row>
    <row r="86" spans="2:2">
      <c r="B86" s="122"/>
    </row>
    <row r="87" spans="2:2">
      <c r="B87" s="122"/>
    </row>
    <row r="88" spans="2:2">
      <c r="B88" s="122"/>
    </row>
    <row r="89" spans="2:2">
      <c r="B89" s="122"/>
    </row>
    <row r="90" spans="2:2">
      <c r="B90" s="122"/>
    </row>
    <row r="91" spans="2:2">
      <c r="B91" s="122"/>
    </row>
    <row r="92" spans="2:2">
      <c r="B92" s="122"/>
    </row>
    <row r="93" spans="2:2">
      <c r="B93" s="122"/>
    </row>
    <row r="94" spans="2:2">
      <c r="B94" s="122"/>
    </row>
    <row r="95" spans="2:2">
      <c r="B95" s="122"/>
    </row>
    <row r="96" spans="2:2">
      <c r="B96" s="122"/>
    </row>
    <row r="97" spans="2:2">
      <c r="B97" s="122"/>
    </row>
    <row r="98" spans="2:2">
      <c r="B98" s="122"/>
    </row>
    <row r="99" spans="2:2">
      <c r="B99" s="122"/>
    </row>
    <row r="100" spans="2:2">
      <c r="B100" s="122"/>
    </row>
    <row r="101" spans="2:2">
      <c r="B101" s="122"/>
    </row>
    <row r="102" spans="2:2">
      <c r="B102" s="122"/>
    </row>
    <row r="103" spans="2:2">
      <c r="B103" s="122"/>
    </row>
    <row r="104" spans="2:2">
      <c r="B104" s="122"/>
    </row>
    <row r="105" spans="2:2">
      <c r="B105" s="122"/>
    </row>
    <row r="106" spans="2:2">
      <c r="B106" s="122"/>
    </row>
    <row r="107" spans="2:2">
      <c r="B107" s="122"/>
    </row>
    <row r="108" spans="2:2">
      <c r="B108" s="122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5"/>
  <sheetViews>
    <sheetView zoomScale="88" zoomScaleNormal="88" workbookViewId="0">
      <selection activeCell="J38" sqref="J38"/>
    </sheetView>
  </sheetViews>
  <sheetFormatPr defaultColWidth="8.88671875" defaultRowHeight="13.2"/>
  <cols>
    <col min="1" max="1" width="39.6640625" style="33" customWidth="1"/>
    <col min="2" max="2" width="18.88671875" style="52" customWidth="1"/>
    <col min="3" max="3" width="10.6640625" style="33" customWidth="1"/>
    <col min="4" max="4" width="11.33203125" style="33" bestFit="1" customWidth="1"/>
    <col min="5" max="9" width="10.6640625" style="33" customWidth="1"/>
    <col min="10" max="10" width="11.33203125" style="33" bestFit="1" customWidth="1"/>
    <col min="11" max="12" width="10.6640625" style="33" customWidth="1"/>
    <col min="13" max="16384" width="8.88671875" style="33"/>
  </cols>
  <sheetData>
    <row r="1" spans="1:17">
      <c r="A1" s="42"/>
      <c r="B1" s="51"/>
    </row>
    <row r="2" spans="1:17">
      <c r="A2" s="42" t="s">
        <v>89</v>
      </c>
      <c r="B2" s="51"/>
    </row>
    <row r="3" spans="1:17">
      <c r="I3" s="35"/>
    </row>
    <row r="4" spans="1:17">
      <c r="A4" s="68"/>
      <c r="B4" s="91" t="s">
        <v>16</v>
      </c>
      <c r="C4" s="67">
        <v>2010</v>
      </c>
      <c r="D4" s="67">
        <v>2011</v>
      </c>
      <c r="E4" s="67">
        <v>2012</v>
      </c>
      <c r="F4" s="67">
        <v>2013</v>
      </c>
      <c r="G4" s="67">
        <v>2014</v>
      </c>
      <c r="H4" s="67">
        <v>2015</v>
      </c>
      <c r="I4" s="67">
        <v>2016</v>
      </c>
      <c r="J4" s="67">
        <v>2017</v>
      </c>
      <c r="K4" s="67">
        <v>2018</v>
      </c>
      <c r="L4" s="67">
        <v>2019</v>
      </c>
    </row>
    <row r="5" spans="1:17" s="35" customFormat="1">
      <c r="A5" s="92" t="s">
        <v>23</v>
      </c>
      <c r="B5" s="52"/>
    </row>
    <row r="6" spans="1:17" s="35" customFormat="1">
      <c r="A6" s="63" t="s">
        <v>24</v>
      </c>
      <c r="B6" s="116">
        <f>SUM(C6:L6)</f>
        <v>70624.12</v>
      </c>
      <c r="C6" s="53">
        <v>36510</v>
      </c>
      <c r="D6" s="53">
        <v>34114.120000000003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</row>
    <row r="7" spans="1:17" s="35" customFormat="1">
      <c r="A7" s="63" t="s">
        <v>25</v>
      </c>
      <c r="B7" s="116">
        <f t="shared" ref="B7:B8" si="0">SUM(C7:L7)</f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</row>
    <row r="8" spans="1:17" s="35" customFormat="1">
      <c r="A8" s="63" t="s">
        <v>26</v>
      </c>
      <c r="B8" s="117">
        <f t="shared" si="0"/>
        <v>2065495.0299999998</v>
      </c>
      <c r="C8" s="109">
        <v>293003.14</v>
      </c>
      <c r="D8" s="109">
        <v>1014247.8</v>
      </c>
      <c r="E8" s="109">
        <v>758244.09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</row>
    <row r="9" spans="1:17" s="35" customFormat="1" ht="13.8" thickBot="1">
      <c r="A9" s="54" t="s">
        <v>27</v>
      </c>
      <c r="B9" s="108">
        <f>SUM(B6:B8)</f>
        <v>2136119.15</v>
      </c>
      <c r="C9" s="111">
        <f>SUM(C6:C8)</f>
        <v>329513.14</v>
      </c>
      <c r="D9" s="111">
        <f>SUM(D6:D8)</f>
        <v>1048361.92</v>
      </c>
      <c r="E9" s="111">
        <f>SUM(E6:E8)</f>
        <v>758244.09</v>
      </c>
      <c r="F9" s="111">
        <f t="shared" ref="F9:K9" si="1">SUM(F6:F8)</f>
        <v>0</v>
      </c>
      <c r="G9" s="111">
        <f t="shared" si="1"/>
        <v>0</v>
      </c>
      <c r="H9" s="111">
        <f t="shared" si="1"/>
        <v>0</v>
      </c>
      <c r="I9" s="111">
        <f t="shared" si="1"/>
        <v>0</v>
      </c>
      <c r="J9" s="111">
        <f t="shared" si="1"/>
        <v>0</v>
      </c>
      <c r="K9" s="111">
        <f t="shared" si="1"/>
        <v>0</v>
      </c>
      <c r="L9" s="111">
        <f t="shared" ref="L9" si="2">SUM(L6:L8)</f>
        <v>0</v>
      </c>
    </row>
    <row r="10" spans="1:17" s="35" customFormat="1" ht="13.8" thickTop="1">
      <c r="A10" s="54"/>
      <c r="B10" s="62"/>
      <c r="C10" s="64"/>
      <c r="D10" s="64"/>
      <c r="F10" s="53"/>
      <c r="G10" s="53"/>
      <c r="H10" s="53"/>
      <c r="I10" s="53"/>
    </row>
    <row r="11" spans="1:17" s="35" customFormat="1">
      <c r="A11" s="33"/>
      <c r="B11" s="71"/>
      <c r="C11" s="53"/>
      <c r="D11" s="53"/>
      <c r="E11" s="53"/>
      <c r="F11" s="53"/>
      <c r="G11" s="53"/>
      <c r="H11" s="53"/>
    </row>
    <row r="12" spans="1:17" s="35" customFormat="1">
      <c r="A12" s="33"/>
      <c r="B12" s="91" t="s">
        <v>16</v>
      </c>
      <c r="C12" s="67">
        <v>2010</v>
      </c>
      <c r="D12" s="67">
        <v>2011</v>
      </c>
      <c r="E12" s="67">
        <v>2012</v>
      </c>
      <c r="F12" s="67">
        <v>2013</v>
      </c>
      <c r="G12" s="67">
        <v>2014</v>
      </c>
      <c r="H12" s="67">
        <v>2015</v>
      </c>
      <c r="I12" s="67">
        <v>2016</v>
      </c>
      <c r="J12" s="67">
        <v>2017</v>
      </c>
      <c r="K12" s="67">
        <v>2018</v>
      </c>
      <c r="L12" s="67">
        <v>2019</v>
      </c>
      <c r="M12" s="33"/>
      <c r="N12" s="33"/>
      <c r="O12" s="33"/>
      <c r="P12" s="33"/>
      <c r="Q12" s="33"/>
    </row>
    <row r="13" spans="1:17" s="35" customFormat="1">
      <c r="A13" s="92" t="s">
        <v>57</v>
      </c>
      <c r="B13" s="52"/>
      <c r="G13" s="33"/>
      <c r="H13" s="52"/>
      <c r="K13" s="33"/>
      <c r="L13" s="33"/>
      <c r="M13" s="33"/>
      <c r="N13" s="33"/>
      <c r="O13" s="33"/>
      <c r="P13" s="33"/>
      <c r="Q13" s="33"/>
    </row>
    <row r="14" spans="1:17" s="35" customFormat="1">
      <c r="A14" s="95" t="s">
        <v>58</v>
      </c>
      <c r="B14" s="116">
        <f>SUM(C14:L14)</f>
        <v>5299.06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53">
        <v>0</v>
      </c>
      <c r="J14" s="53">
        <v>5299.06</v>
      </c>
      <c r="K14" s="107">
        <v>0</v>
      </c>
      <c r="L14" s="107">
        <v>0</v>
      </c>
      <c r="M14" s="33"/>
      <c r="N14" s="33"/>
      <c r="O14" s="33"/>
      <c r="P14" s="33"/>
      <c r="Q14" s="33"/>
    </row>
    <row r="15" spans="1:17" s="35" customFormat="1">
      <c r="A15" s="95" t="s">
        <v>59</v>
      </c>
      <c r="B15" s="116">
        <f>SUM(C15:L15)</f>
        <v>74033.15999999964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53">
        <v>0</v>
      </c>
      <c r="J15" s="53">
        <v>91960.189999999639</v>
      </c>
      <c r="K15" s="107">
        <v>-17998.37</v>
      </c>
      <c r="L15" s="107">
        <v>71.34</v>
      </c>
      <c r="M15" s="33"/>
      <c r="N15" s="33"/>
      <c r="O15" s="33"/>
      <c r="P15" s="33"/>
      <c r="Q15" s="33"/>
    </row>
    <row r="16" spans="1:17" s="35" customFormat="1">
      <c r="A16" s="95" t="s">
        <v>60</v>
      </c>
      <c r="B16" s="116">
        <f t="shared" ref="B16:B17" si="3">SUM(C16:L16)</f>
        <v>33340.639999999999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53">
        <v>0</v>
      </c>
      <c r="J16" s="53">
        <v>33340.639999999999</v>
      </c>
      <c r="K16" s="53">
        <v>0</v>
      </c>
      <c r="L16" s="53">
        <v>0</v>
      </c>
      <c r="M16" s="33"/>
      <c r="N16" s="33"/>
      <c r="O16" s="33"/>
      <c r="P16" s="33"/>
      <c r="Q16" s="33"/>
    </row>
    <row r="17" spans="1:17" s="35" customFormat="1">
      <c r="A17" s="95" t="s">
        <v>61</v>
      </c>
      <c r="B17" s="117">
        <f t="shared" si="3"/>
        <v>2139082.5000000005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118073.58</v>
      </c>
      <c r="I17" s="109">
        <v>275412.11</v>
      </c>
      <c r="J17" s="109">
        <v>1745431.8100000003</v>
      </c>
      <c r="K17" s="110">
        <v>165</v>
      </c>
      <c r="L17" s="109">
        <v>0</v>
      </c>
      <c r="M17" s="33"/>
      <c r="N17" s="33"/>
      <c r="O17" s="33"/>
      <c r="P17" s="33"/>
      <c r="Q17" s="33"/>
    </row>
    <row r="18" spans="1:17" s="35" customFormat="1" ht="13.8" thickBot="1">
      <c r="A18" s="54" t="s">
        <v>52</v>
      </c>
      <c r="B18" s="108">
        <f>SUM(B14:B17)</f>
        <v>2251755.3600000003</v>
      </c>
      <c r="C18" s="111">
        <f>SUM(C14:C17)</f>
        <v>0</v>
      </c>
      <c r="D18" s="111">
        <f t="shared" ref="D18:K18" si="4">SUM(D14:D17)</f>
        <v>0</v>
      </c>
      <c r="E18" s="111">
        <f t="shared" si="4"/>
        <v>0</v>
      </c>
      <c r="F18" s="111">
        <f t="shared" si="4"/>
        <v>0</v>
      </c>
      <c r="G18" s="111">
        <f t="shared" si="4"/>
        <v>0</v>
      </c>
      <c r="H18" s="111">
        <f t="shared" si="4"/>
        <v>118073.58</v>
      </c>
      <c r="I18" s="111">
        <f t="shared" si="4"/>
        <v>275412.11</v>
      </c>
      <c r="J18" s="111">
        <f>SUM(J14:J17)</f>
        <v>1876031.7</v>
      </c>
      <c r="K18" s="111">
        <f t="shared" si="4"/>
        <v>-17833.37</v>
      </c>
      <c r="L18" s="111">
        <f t="shared" ref="L18" si="5">SUM(L14:L17)</f>
        <v>71.34</v>
      </c>
    </row>
    <row r="19" spans="1:17" s="35" customFormat="1" ht="13.8" thickTop="1">
      <c r="A19" s="54"/>
      <c r="B19" s="62"/>
      <c r="C19" s="64"/>
      <c r="D19" s="65"/>
      <c r="E19" s="53"/>
      <c r="F19" s="53"/>
      <c r="G19" s="53"/>
      <c r="H19" s="53"/>
      <c r="I19" s="53"/>
      <c r="J19" s="53"/>
      <c r="K19" s="53"/>
      <c r="L19" s="53"/>
    </row>
    <row r="20" spans="1:17">
      <c r="B20" s="71"/>
      <c r="C20" s="53"/>
      <c r="D20" s="53"/>
      <c r="F20" s="72"/>
    </row>
    <row r="21" spans="1:17" ht="13.8" thickBot="1">
      <c r="A21" s="33" t="s">
        <v>65</v>
      </c>
      <c r="B21" s="115">
        <f>B18+B9</f>
        <v>4387874.51</v>
      </c>
    </row>
    <row r="22" spans="1:17" ht="13.8" thickTop="1"/>
    <row r="23" spans="1:17">
      <c r="A23" s="112"/>
      <c r="B23" s="114"/>
    </row>
    <row r="25" spans="1:17">
      <c r="A25" s="42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L18"/>
  <sheetViews>
    <sheetView zoomScale="90" zoomScaleNormal="90" workbookViewId="0">
      <selection activeCell="H25" sqref="H25"/>
    </sheetView>
  </sheetViews>
  <sheetFormatPr defaultColWidth="8.88671875" defaultRowHeight="13.2"/>
  <cols>
    <col min="1" max="1" width="30" style="84" bestFit="1" customWidth="1"/>
    <col min="2" max="2" width="11.44140625" style="85" bestFit="1" customWidth="1"/>
    <col min="3" max="4" width="8.88671875" style="85" bestFit="1" customWidth="1"/>
    <col min="5" max="5" width="7.33203125" style="84" bestFit="1" customWidth="1"/>
    <col min="6" max="7" width="9.5546875" style="84" bestFit="1" customWidth="1"/>
    <col min="8" max="8" width="5.5546875" style="75" bestFit="1" customWidth="1"/>
    <col min="9" max="16384" width="8.88671875" style="75"/>
  </cols>
  <sheetData>
    <row r="2" spans="1:12">
      <c r="A2" s="42" t="s">
        <v>88</v>
      </c>
    </row>
    <row r="3" spans="1:12">
      <c r="B3" s="90"/>
      <c r="C3" s="33"/>
      <c r="D3" s="33"/>
      <c r="E3" s="33"/>
      <c r="F3" s="33"/>
      <c r="G3" s="33"/>
      <c r="H3" s="33"/>
      <c r="I3" s="33"/>
      <c r="J3" s="33"/>
      <c r="K3" s="33"/>
    </row>
    <row r="4" spans="1:12">
      <c r="A4" s="96"/>
      <c r="B4" s="97" t="s">
        <v>16</v>
      </c>
      <c r="C4" s="67">
        <v>2010</v>
      </c>
      <c r="D4" s="67">
        <v>2011</v>
      </c>
      <c r="E4" s="67">
        <v>2012</v>
      </c>
      <c r="F4" s="67">
        <v>2013</v>
      </c>
      <c r="G4" s="67">
        <v>2014</v>
      </c>
      <c r="H4" s="67">
        <v>2015</v>
      </c>
      <c r="I4" s="67">
        <v>2016</v>
      </c>
      <c r="J4" s="67">
        <v>2017</v>
      </c>
      <c r="K4" s="67">
        <v>2018</v>
      </c>
      <c r="L4" s="67">
        <v>2019</v>
      </c>
    </row>
    <row r="5" spans="1:12">
      <c r="A5" s="98" t="s">
        <v>36</v>
      </c>
      <c r="B5" s="99"/>
      <c r="C5" s="90"/>
      <c r="D5" s="90"/>
      <c r="E5" s="90"/>
      <c r="F5" s="90"/>
      <c r="G5" s="33"/>
      <c r="H5" s="100"/>
      <c r="I5" s="100"/>
      <c r="J5" s="100"/>
      <c r="K5" s="33"/>
      <c r="L5" s="33"/>
    </row>
    <row r="6" spans="1:12">
      <c r="A6" s="95" t="s">
        <v>37</v>
      </c>
      <c r="B6" s="101">
        <f>SUM(C6:L6)</f>
        <v>396820.91000000009</v>
      </c>
      <c r="C6" s="102">
        <v>0</v>
      </c>
      <c r="D6" s="102">
        <v>0</v>
      </c>
      <c r="E6" s="102">
        <v>5377.76</v>
      </c>
      <c r="F6" s="102">
        <v>391443.15000000008</v>
      </c>
      <c r="G6" s="102">
        <v>0</v>
      </c>
      <c r="H6" s="102">
        <v>0</v>
      </c>
      <c r="I6" s="102">
        <v>0</v>
      </c>
      <c r="J6" s="102">
        <v>0</v>
      </c>
      <c r="K6" s="102">
        <v>0</v>
      </c>
      <c r="L6" s="102">
        <v>0</v>
      </c>
    </row>
    <row r="7" spans="1:12">
      <c r="A7" s="95"/>
      <c r="B7" s="103"/>
      <c r="C7" s="104"/>
      <c r="D7" s="104"/>
      <c r="E7" s="104"/>
      <c r="F7" s="104"/>
      <c r="G7" s="105"/>
      <c r="H7" s="105"/>
      <c r="I7" s="105"/>
      <c r="J7" s="105"/>
      <c r="K7" s="105"/>
    </row>
    <row r="8" spans="1:12">
      <c r="A8" s="95"/>
      <c r="B8" s="103"/>
      <c r="C8" s="104"/>
      <c r="D8" s="104"/>
      <c r="E8" s="104"/>
      <c r="F8" s="104"/>
      <c r="G8" s="105"/>
      <c r="H8" s="105"/>
      <c r="I8" s="105"/>
      <c r="J8" s="105"/>
      <c r="K8" s="105"/>
    </row>
    <row r="9" spans="1:12">
      <c r="A9" s="98" t="s">
        <v>39</v>
      </c>
      <c r="B9" s="97" t="s">
        <v>16</v>
      </c>
      <c r="C9" s="67">
        <v>2010</v>
      </c>
      <c r="D9" s="67">
        <v>2011</v>
      </c>
      <c r="E9" s="67">
        <v>2012</v>
      </c>
      <c r="F9" s="67">
        <v>2013</v>
      </c>
      <c r="G9" s="67">
        <v>2014</v>
      </c>
      <c r="H9" s="67">
        <v>2015</v>
      </c>
      <c r="I9" s="67">
        <v>2016</v>
      </c>
      <c r="J9" s="67">
        <v>2017</v>
      </c>
      <c r="K9" s="67">
        <v>2018</v>
      </c>
      <c r="L9" s="67">
        <v>2019</v>
      </c>
    </row>
    <row r="10" spans="1:12">
      <c r="A10" s="95" t="s">
        <v>40</v>
      </c>
      <c r="B10" s="101">
        <f>SUM(C10:L10)</f>
        <v>148465.66</v>
      </c>
      <c r="C10" s="102">
        <v>0</v>
      </c>
      <c r="D10" s="102">
        <v>0</v>
      </c>
      <c r="E10" s="102">
        <v>0</v>
      </c>
      <c r="F10" s="102">
        <v>0</v>
      </c>
      <c r="G10" s="102">
        <v>148465.66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</row>
    <row r="11" spans="1:12">
      <c r="A11" s="95"/>
      <c r="B11" s="103"/>
      <c r="C11" s="105"/>
      <c r="D11" s="105"/>
      <c r="E11" s="105"/>
      <c r="F11" s="105"/>
      <c r="G11" s="105"/>
      <c r="H11" s="105"/>
      <c r="I11" s="105"/>
      <c r="J11" s="33"/>
      <c r="K11" s="33"/>
    </row>
    <row r="12" spans="1:12">
      <c r="A12" s="95"/>
      <c r="B12" s="103"/>
      <c r="C12" s="105"/>
      <c r="D12" s="105"/>
      <c r="E12" s="105"/>
      <c r="F12" s="105"/>
      <c r="G12" s="105"/>
      <c r="H12" s="105"/>
      <c r="I12" s="105"/>
      <c r="J12" s="33"/>
      <c r="K12" s="33"/>
    </row>
    <row r="13" spans="1:12" ht="13.8" thickBot="1">
      <c r="A13" s="33" t="s">
        <v>42</v>
      </c>
      <c r="B13" s="106">
        <f>B6+B10</f>
        <v>545286.57000000007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2" ht="13.8" thickTop="1">
      <c r="A14" s="112"/>
      <c r="B14" s="113"/>
    </row>
    <row r="18" spans="1:11">
      <c r="A18" s="118"/>
      <c r="B18" s="119"/>
      <c r="C18" s="119"/>
      <c r="D18" s="119"/>
      <c r="E18" s="120"/>
      <c r="F18" s="120"/>
      <c r="G18" s="120"/>
      <c r="H18" s="121"/>
      <c r="I18" s="118"/>
      <c r="J18" s="121"/>
      <c r="K18" s="121"/>
    </row>
  </sheetData>
  <phoneticPr fontId="0" type="noConversion"/>
  <pageMargins left="0.75" right="0.75" top="1.08" bottom="0.75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BB1662-F1C0-47CE-9F36-D6B516AF8718}"/>
</file>

<file path=customXml/itemProps2.xml><?xml version="1.0" encoding="utf-8"?>
<ds:datastoreItem xmlns:ds="http://schemas.openxmlformats.org/officeDocument/2006/customXml" ds:itemID="{C969D213-0742-4405-B7DC-2EDD3C0E6E46}"/>
</file>

<file path=customXml/itemProps3.xml><?xml version="1.0" encoding="utf-8"?>
<ds:datastoreItem xmlns:ds="http://schemas.openxmlformats.org/officeDocument/2006/customXml" ds:itemID="{32E48680-95C9-4A3B-A466-9636374937D6}"/>
</file>

<file path=customXml/itemProps4.xml><?xml version="1.0" encoding="utf-8"?>
<ds:datastoreItem xmlns:ds="http://schemas.openxmlformats.org/officeDocument/2006/customXml" ds:itemID="{AAB29527-FAAE-45D1-AF10-F0B9E6A13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Ave cost of case</vt:lpstr>
      <vt:lpstr>TY</vt:lpstr>
      <vt:lpstr>Summary GRCs</vt:lpstr>
      <vt:lpstr>Summary PCORCs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 Marina</cp:lastModifiedBy>
  <cp:lastPrinted>2015-12-23T17:57:01Z</cp:lastPrinted>
  <dcterms:created xsi:type="dcterms:W3CDTF">2003-11-18T20:14:12Z</dcterms:created>
  <dcterms:modified xsi:type="dcterms:W3CDTF">2020-03-23T22:08:32Z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0x0101006E56B4D1795A2E4DB2F0B01679ED314A001B5C7E7D61FC92429EE0C796A4E4EC6C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