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12" yWindow="108" windowWidth="14520" windowHeight="1218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B17" i="44" l="1"/>
  <c r="B16" i="44"/>
  <c r="D6" i="44" l="1"/>
  <c r="D16" i="44" s="1"/>
  <c r="C6" i="44"/>
  <c r="C16" i="44" s="1"/>
  <c r="D18" i="19" l="1"/>
  <c r="D13" i="23"/>
  <c r="D11" i="23"/>
  <c r="D9" i="23"/>
  <c r="B10" i="26"/>
  <c r="B6" i="26"/>
  <c r="B15" i="38"/>
  <c r="B17" i="38"/>
  <c r="B16" i="38"/>
  <c r="B14" i="38"/>
  <c r="B9" i="38"/>
  <c r="B8" i="38"/>
  <c r="B7" i="38"/>
  <c r="B6" i="38"/>
  <c r="B45" i="44" l="1"/>
  <c r="B46" i="44" s="1"/>
  <c r="B38" i="44"/>
  <c r="B34" i="44"/>
  <c r="B9" i="44"/>
  <c r="B8" i="44"/>
  <c r="L18" i="38"/>
  <c r="L9" i="38"/>
  <c r="B13" i="44" l="1"/>
  <c r="C8" i="44" l="1"/>
  <c r="D8" i="44"/>
  <c r="D9" i="44"/>
  <c r="C9" i="44"/>
  <c r="D19" i="23"/>
  <c r="D21" i="23"/>
  <c r="D10" i="44" l="1"/>
  <c r="D18" i="38"/>
  <c r="E18" i="38"/>
  <c r="F18" i="38"/>
  <c r="G18" i="38"/>
  <c r="C18" i="38"/>
  <c r="F9" i="38"/>
  <c r="G9" i="38"/>
  <c r="H9" i="38"/>
  <c r="J9" i="38"/>
  <c r="K9" i="38"/>
  <c r="I18" i="38" l="1"/>
  <c r="I9" i="38"/>
  <c r="E9" i="38"/>
  <c r="B13" i="26"/>
  <c r="H18" i="38" l="1"/>
  <c r="J18" i="38"/>
  <c r="B18" i="38"/>
  <c r="C9" i="38"/>
  <c r="D9" i="38"/>
  <c r="K18" i="38"/>
  <c r="B21" i="38" l="1"/>
  <c r="D15" i="44"/>
  <c r="C13" i="44"/>
  <c r="C14" i="44"/>
  <c r="C12" i="44"/>
  <c r="C15" i="44"/>
  <c r="C17" i="44" l="1"/>
  <c r="D12" i="44"/>
  <c r="D14" i="44"/>
  <c r="D13" i="44"/>
  <c r="D17" i="44" l="1"/>
  <c r="D23" i="23"/>
  <c r="D25" i="23" s="1"/>
  <c r="D18" i="20" l="1"/>
  <c r="D19" i="19"/>
  <c r="A8" i="20" l="1"/>
  <c r="A7" i="20"/>
  <c r="B10" i="44" l="1"/>
  <c r="D26" i="19" s="1"/>
  <c r="C10" i="44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D23" i="19" l="1"/>
  <c r="D6" i="23"/>
  <c r="D4" i="23"/>
  <c r="D25" i="19" l="1"/>
  <c r="D27" i="19" s="1"/>
  <c r="E27" i="19" s="1"/>
  <c r="D15" i="20" l="1"/>
  <c r="D17" i="20" s="1"/>
  <c r="D16" i="19"/>
  <c r="D20" i="19" l="1"/>
  <c r="E20" i="19" s="1"/>
  <c r="E29" i="19" s="1"/>
  <c r="D19" i="20" l="1"/>
  <c r="E31" i="19" l="1"/>
  <c r="E19" i="20"/>
  <c r="E22" i="20" l="1"/>
  <c r="E24" i="20" l="1"/>
  <c r="E25" i="20" s="1"/>
  <c r="E32" i="19" l="1"/>
</calcChain>
</file>

<file path=xl/sharedStrings.xml><?xml version="1.0" encoding="utf-8"?>
<sst xmlns="http://schemas.openxmlformats.org/spreadsheetml/2006/main" count="115" uniqueCount="96">
  <si>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</si>
  <si>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</si>
  <si>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</si>
  <si>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</si>
  <si>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</si>
  <si>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</si>
  <si>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</si>
  <si>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</si>
  <si>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</si>
  <si>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</si>
  <si>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</si>
  <si>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</si>
  <si>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</si>
  <si>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</si>
  <si>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</si>
  <si>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</si>
  <si>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</si>
  <si>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</si>
  <si>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</si>
  <si>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</si>
  <si>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</si>
  <si>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</si>
  <si>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</si>
  <si>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</si>
  <si>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</si>
  <si>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</si>
  <si>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</si>
  <si>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</si>
  <si>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</si>
  <si>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</si>
  <si>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</si>
  <si>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</si>
  <si>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</si>
  <si>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</si>
  <si>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</si>
  <si>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</si>
  <si>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</si>
  <si>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</si>
  <si>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</si>
  <si>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</si>
  <si>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</si>
  <si>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</si>
  <si>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</si>
  <si>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</si>
  <si>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</si>
  <si>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</si>
  <si>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</si>
  <si>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</si>
  <si>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</si>
  <si>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</si>
  <si>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COMMISSION BASIS REPORT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</si>
  <si>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</si>
  <si>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</si>
  <si>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</si>
  <si>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</si>
  <si>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</si>
  <si>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</si>
  <si>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</si>
  <si>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</si>
  <si>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</si>
  <si>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</si>
  <si>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</si>
  <si>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</si>
  <si>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</si>
  <si>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</si>
  <si>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Total GRC direct charges</t>
  </si>
  <si>
    <t xml:space="preserve">  ZO12                      Orders: Actual 12 Month Ended</t>
  </si>
  <si>
    <t xml:space="preserve">  Pages:                      0</t>
  </si>
  <si>
    <r>
      <t xml:space="preserve">Run </t>
    </r>
    <r>
      <rPr>
        <b/>
        <sz val="9"/>
        <rFont val="Arial"/>
        <family val="2"/>
      </rPr>
      <t>Order Group 928 by order</t>
    </r>
    <r>
      <rPr>
        <sz val="10"/>
        <rFont val="Arial"/>
        <family val="2"/>
      </rPr>
      <t xml:space="preserve"> to check for new rate case orders.</t>
    </r>
  </si>
  <si>
    <t>*   Common Regulatory Comm Exp</t>
  </si>
  <si>
    <t>**  Debit</t>
  </si>
  <si>
    <t xml:space="preserve">    92800006  1900 - FERC Regulatory Comm Ex</t>
  </si>
  <si>
    <t xml:space="preserve">    92800007  1900 - State Regulatory Comm E</t>
  </si>
  <si>
    <t xml:space="preserve">    92800008  1900 - FERC Transmission Rate</t>
  </si>
  <si>
    <t xml:space="preserve">    92800010  1180 - WUTC Filing Fees - Electric</t>
  </si>
  <si>
    <t xml:space="preserve">    92800015  5010 - Hydro Licensing Fees -</t>
  </si>
  <si>
    <t xml:space="preserve">    92800028  4310 - FERC Regulatory Comm Tr</t>
  </si>
  <si>
    <t xml:space="preserve">    92800040  5020 - Hydro Licensing Fees -</t>
  </si>
  <si>
    <t xml:space="preserve">    92800045  4310 - FERC Regulatory Comm Tr</t>
  </si>
  <si>
    <t>*   Electric Regulatory Comm Exp</t>
  </si>
  <si>
    <t xml:space="preserve">    92800306  1900 - FERC Regulatory Comm Ex</t>
  </si>
  <si>
    <t xml:space="preserve">    92800310  1180 - WUTC Filing Fees - Gas</t>
  </si>
  <si>
    <t>*   Gas Regulatory Commission Exp</t>
  </si>
  <si>
    <t xml:space="preserve">    92800608  1900 - State Regulatory Comm E</t>
  </si>
  <si>
    <t xml:space="preserve">    92800611  1900-Perkins Coie-Expedited Ra</t>
  </si>
  <si>
    <t xml:space="preserve">    92800612  9804– Credit order for Corpora</t>
  </si>
  <si>
    <t xml:space="preserve">    92800824  1321 Manage Adjudicatory admin</t>
  </si>
  <si>
    <t xml:space="preserve">    92800826  1351 General Rate Case 2016</t>
  </si>
  <si>
    <t>SUMMARY PCORC:  Cumulative Expenditures through 12/31/2019</t>
  </si>
  <si>
    <t>SUMMARY GRC:  Cumulative Expenditures through 12/31/2019</t>
  </si>
  <si>
    <t>12ME Dec 31, 2019</t>
  </si>
  <si>
    <t xml:space="preserve"> Run Date:                     01/21/2020</t>
  </si>
  <si>
    <t xml:space="preserve">    92800526  1900 - State Regulatory Comm Exp - Gas</t>
  </si>
  <si>
    <t xml:space="preserve">    92800613  1900– 2019 General Rate Case - Common</t>
  </si>
  <si>
    <t>FOR THE TWELVE MONTHS ENDED DECEMBER 31, 2019</t>
  </si>
  <si>
    <t>92800613  1900– 2019 General Rate Case - 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</si>
</sst>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  <numFmt numFmtId="183" formatCode="#,##0_-;#,##0\-;&quot; &quot;"/>
  </numFmts>
  <fonts count="77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81" fontId="38" fillId="0" borderId="0">
      <alignment horizontal="left"/>
    </xf>
    <xf numFmtId="182" fontId="39" fillId="0" borderId="0">
      <alignment horizontal="left"/>
    </xf>
    <xf numFmtId="0" fontId="49" fillId="3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49" fillId="3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9" fillId="3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3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9" fillId="4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9" fillId="4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4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1" fillId="60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12" fillId="0" borderId="0" applyFill="0" applyBorder="0" applyAlignment="0"/>
    <xf numFmtId="0" fontId="52" fillId="61" borderId="25" applyNumberFormat="0" applyAlignment="0" applyProtection="0"/>
    <xf numFmtId="0" fontId="53" fillId="62" borderId="26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28" fillId="0" borderId="0"/>
    <xf numFmtId="178" fontId="29" fillId="0" borderId="0">
      <protection locked="0"/>
    </xf>
    <xf numFmtId="0" fontId="28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4" fillId="0" borderId="0"/>
    <xf numFmtId="0" fontId="28" fillId="0" borderId="0"/>
    <xf numFmtId="0" fontId="14" fillId="0" borderId="0"/>
    <xf numFmtId="0" fontId="2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8" fillId="0" borderId="0"/>
    <xf numFmtId="0" fontId="5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55" fillId="63" borderId="0" applyNumberFormat="0" applyBorder="0" applyAlignment="0" applyProtection="0"/>
    <xf numFmtId="38" fontId="6" fillId="16" borderId="0" applyNumberFormat="0" applyBorder="0" applyAlignment="0" applyProtection="0"/>
    <xf numFmtId="167" fontId="37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0" applyNumberFormat="0" applyFill="0" applyBorder="0" applyAlignment="0" applyProtection="0"/>
    <xf numFmtId="38" fontId="17" fillId="0" borderId="0"/>
    <xf numFmtId="40" fontId="17" fillId="0" borderId="0"/>
    <xf numFmtId="0" fontId="59" fillId="64" borderId="25" applyNumberFormat="0" applyAlignment="0" applyProtection="0"/>
    <xf numFmtId="10" fontId="6" fillId="18" borderId="4" applyNumberFormat="0" applyBorder="0" applyAlignment="0" applyProtection="0"/>
    <xf numFmtId="41" fontId="18" fillId="19" borderId="5">
      <alignment horizontal="left"/>
      <protection locked="0"/>
    </xf>
    <xf numFmtId="10" fontId="18" fillId="19" borderId="5">
      <alignment horizontal="right"/>
      <protection locked="0"/>
    </xf>
    <xf numFmtId="41" fontId="18" fillId="19" borderId="5">
      <alignment horizontal="left"/>
      <protection locked="0"/>
    </xf>
    <xf numFmtId="0" fontId="6" fillId="16" borderId="0"/>
    <xf numFmtId="3" fontId="30" fillId="0" borderId="0" applyFill="0" applyBorder="0" applyAlignment="0" applyProtection="0"/>
    <xf numFmtId="0" fontId="60" fillId="0" borderId="30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1" fillId="65" borderId="0" applyNumberFormat="0" applyBorder="0" applyAlignment="0" applyProtection="0"/>
    <xf numFmtId="37" fontId="19" fillId="0" borderId="0"/>
    <xf numFmtId="174" fontId="20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7" fillId="0" borderId="0"/>
    <xf numFmtId="177" fontId="8" fillId="0" borderId="0">
      <alignment horizontal="left" wrapText="1"/>
    </xf>
    <xf numFmtId="0" fontId="26" fillId="0" borderId="0"/>
    <xf numFmtId="0" fontId="26" fillId="0" borderId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49" fillId="66" borderId="31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62" fillId="61" borderId="32" applyNumberFormat="0" applyAlignment="0" applyProtection="0"/>
    <xf numFmtId="0" fontId="14" fillId="0" borderId="0"/>
    <xf numFmtId="0" fontId="14" fillId="0" borderId="0"/>
    <xf numFmtId="0" fontId="28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8" fillId="22" borderId="5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21" fillId="0" borderId="3">
      <alignment horizontal="center"/>
    </xf>
    <xf numFmtId="3" fontId="10" fillId="0" borderId="0" applyFont="0" applyFill="0" applyBorder="0" applyAlignment="0" applyProtection="0"/>
    <xf numFmtId="0" fontId="10" fillId="23" borderId="0" applyNumberFormat="0" applyFont="0" applyBorder="0" applyAlignment="0" applyProtection="0"/>
    <xf numFmtId="0" fontId="28" fillId="0" borderId="0"/>
    <xf numFmtId="3" fontId="31" fillId="0" borderId="0" applyFill="0" applyBorder="0" applyAlignment="0" applyProtection="0"/>
    <xf numFmtId="0" fontId="32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7" fillId="0" borderId="0" applyBorder="0" applyAlignment="0"/>
    <xf numFmtId="42" fontId="8" fillId="18" borderId="11">
      <alignment horizontal="left"/>
    </xf>
    <xf numFmtId="179" fontId="33" fillId="18" borderId="11">
      <alignment horizontal="left"/>
    </xf>
    <xf numFmtId="14" fontId="22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1" fillId="20" borderId="12" applyNumberFormat="0" applyProtection="0">
      <alignment vertical="center"/>
    </xf>
    <xf numFmtId="4" fontId="42" fillId="19" borderId="12" applyNumberFormat="0" applyProtection="0">
      <alignment vertical="center"/>
    </xf>
    <xf numFmtId="4" fontId="41" fillId="19" borderId="12" applyNumberFormat="0" applyProtection="0">
      <alignment horizontal="left" vertical="center" indent="1"/>
    </xf>
    <xf numFmtId="0" fontId="41" fillId="19" borderId="12" applyNumberFormat="0" applyProtection="0">
      <alignment horizontal="left" vertical="top" indent="1"/>
    </xf>
    <xf numFmtId="4" fontId="41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0" fillId="3" borderId="12" applyNumberFormat="0" applyProtection="0">
      <alignment horizontal="right" vertical="center"/>
    </xf>
    <xf numFmtId="4" fontId="40" fillId="9" borderId="12" applyNumberFormat="0" applyProtection="0">
      <alignment horizontal="right" vertical="center"/>
    </xf>
    <xf numFmtId="4" fontId="40" fillId="13" borderId="12" applyNumberFormat="0" applyProtection="0">
      <alignment horizontal="right" vertical="center"/>
    </xf>
    <xf numFmtId="4" fontId="40" fillId="11" borderId="12" applyNumberFormat="0" applyProtection="0">
      <alignment horizontal="right" vertical="center"/>
    </xf>
    <xf numFmtId="4" fontId="40" fillId="12" borderId="12" applyNumberFormat="0" applyProtection="0">
      <alignment horizontal="right" vertical="center"/>
    </xf>
    <xf numFmtId="4" fontId="40" fillId="15" borderId="12" applyNumberFormat="0" applyProtection="0">
      <alignment horizontal="right" vertical="center"/>
    </xf>
    <xf numFmtId="4" fontId="40" fillId="14" borderId="12" applyNumberFormat="0" applyProtection="0">
      <alignment horizontal="right" vertical="center"/>
    </xf>
    <xf numFmtId="4" fontId="40" fillId="26" borderId="12" applyNumberFormat="0" applyProtection="0">
      <alignment horizontal="right" vertical="center"/>
    </xf>
    <xf numFmtId="4" fontId="40" fillId="10" borderId="12" applyNumberFormat="0" applyProtection="0">
      <alignment horizontal="right" vertical="center"/>
    </xf>
    <xf numFmtId="4" fontId="41" fillId="27" borderId="13" applyNumberFormat="0" applyProtection="0">
      <alignment horizontal="left" vertical="center" indent="1"/>
    </xf>
    <xf numFmtId="4" fontId="40" fillId="28" borderId="0" applyNumberFormat="0" applyProtection="0">
      <alignment horizontal="left" vertical="center" indent="1"/>
    </xf>
    <xf numFmtId="4" fontId="43" fillId="29" borderId="0" applyNumberFormat="0" applyProtection="0">
      <alignment horizontal="left" vertical="center" indent="1"/>
    </xf>
    <xf numFmtId="4" fontId="40" fillId="30" borderId="12" applyNumberFormat="0" applyProtection="0">
      <alignment horizontal="right" vertical="center"/>
    </xf>
    <xf numFmtId="4" fontId="40" fillId="28" borderId="0" applyNumberFormat="0" applyProtection="0">
      <alignment horizontal="left" vertical="center" indent="1"/>
    </xf>
    <xf numFmtId="4" fontId="40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0" fillId="32" borderId="12" applyNumberFormat="0" applyProtection="0">
      <alignment vertical="center"/>
    </xf>
    <xf numFmtId="4" fontId="44" fillId="32" borderId="12" applyNumberFormat="0" applyProtection="0">
      <alignment vertical="center"/>
    </xf>
    <xf numFmtId="4" fontId="40" fillId="32" borderId="12" applyNumberFormat="0" applyProtection="0">
      <alignment horizontal="left" vertical="center" indent="1"/>
    </xf>
    <xf numFmtId="0" fontId="40" fillId="32" borderId="12" applyNumberFormat="0" applyProtection="0">
      <alignment horizontal="left" vertical="top" indent="1"/>
    </xf>
    <xf numFmtId="4" fontId="40" fillId="28" borderId="12" applyNumberFormat="0" applyProtection="0">
      <alignment horizontal="right" vertical="center"/>
    </xf>
    <xf numFmtId="4" fontId="44" fillId="28" borderId="12" applyNumberFormat="0" applyProtection="0">
      <alignment horizontal="right" vertical="center"/>
    </xf>
    <xf numFmtId="4" fontId="40" fillId="30" borderId="12" applyNumberFormat="0" applyProtection="0">
      <alignment horizontal="left" vertical="center" indent="1"/>
    </xf>
    <xf numFmtId="0" fontId="40" fillId="24" borderId="12" applyNumberFormat="0" applyProtection="0">
      <alignment horizontal="left" vertical="top" indent="1"/>
    </xf>
    <xf numFmtId="4" fontId="45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7" fillId="0" borderId="11"/>
    <xf numFmtId="39" fontId="22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3" fillId="0" borderId="0" applyBorder="0">
      <alignment horizontal="right"/>
    </xf>
    <xf numFmtId="41" fontId="34" fillId="18" borderId="0">
      <alignment horizontal="left"/>
    </xf>
    <xf numFmtId="0" fontId="46" fillId="0" borderId="0"/>
    <xf numFmtId="0" fontId="47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164" fontId="35" fillId="18" borderId="0">
      <alignment horizontal="left" vertical="center"/>
    </xf>
    <xf numFmtId="0" fontId="5" fillId="18" borderId="0">
      <alignment horizontal="left" wrapText="1"/>
    </xf>
    <xf numFmtId="0" fontId="24" fillId="0" borderId="0">
      <alignment horizontal="left" vertical="center"/>
    </xf>
    <xf numFmtId="0" fontId="64" fillId="0" borderId="33" applyNumberFormat="0" applyFill="0" applyAlignment="0" applyProtection="0"/>
    <xf numFmtId="0" fontId="28" fillId="0" borderId="15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6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66" fillId="75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66" fillId="75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8" borderId="0" applyNumberFormat="0" applyBorder="0" applyAlignment="0" applyProtection="0"/>
    <xf numFmtId="0" fontId="26" fillId="76" borderId="0" applyNumberFormat="0" applyBorder="0" applyAlignment="0" applyProtection="0"/>
    <xf numFmtId="0" fontId="26" fillId="71" borderId="0" applyNumberFormat="0" applyBorder="0" applyAlignment="0" applyProtection="0"/>
    <xf numFmtId="0" fontId="66" fillId="77" borderId="0" applyNumberFormat="0" applyBorder="0" applyAlignment="0" applyProtection="0"/>
    <xf numFmtId="44" fontId="8" fillId="0" borderId="0" applyFont="0" applyFill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8" fillId="81" borderId="4" applyNumberFormat="0">
      <protection locked="0"/>
    </xf>
    <xf numFmtId="0" fontId="68" fillId="0" borderId="0" applyNumberFormat="0" applyFill="0" applyBorder="0" applyAlignment="0" applyProtection="0"/>
    <xf numFmtId="0" fontId="1" fillId="0" borderId="0"/>
  </cellStyleXfs>
  <cellXfs count="152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1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165" fontId="3" fillId="0" borderId="9" xfId="108" applyNumberFormat="1" applyFont="1" applyFill="1" applyBorder="1" applyProtection="1">
      <protection locked="0"/>
    </xf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6" fillId="0" borderId="0" xfId="90" applyFill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49" fontId="37" fillId="0" borderId="4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5" fillId="0" borderId="24" xfId="0" applyNumberFormat="1" applyFont="1" applyFill="1" applyBorder="1" applyAlignment="1">
      <alignment horizontal="center"/>
    </xf>
    <xf numFmtId="180" fontId="5" fillId="0" borderId="4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Protection="1">
      <protection locked="0"/>
    </xf>
    <xf numFmtId="166" fontId="5" fillId="0" borderId="0" xfId="90" applyNumberFormat="1" applyFont="1" applyFill="1" applyBorder="1"/>
    <xf numFmtId="168" fontId="8" fillId="0" borderId="0" xfId="0" applyNumberFormat="1" applyFont="1" applyFill="1" applyAlignment="1">
      <alignment horizontal="left" indent="2"/>
    </xf>
    <xf numFmtId="0" fontId="69" fillId="0" borderId="0" xfId="0" applyFont="1" applyFill="1" applyBorder="1"/>
    <xf numFmtId="166" fontId="69" fillId="0" borderId="0" xfId="83" applyNumberFormat="1" applyFont="1" applyFill="1" applyBorder="1"/>
    <xf numFmtId="0" fontId="70" fillId="0" borderId="0" xfId="0" applyNumberFormat="1" applyFont="1" applyFill="1" applyAlignment="1">
      <alignment horizontal="left"/>
    </xf>
    <xf numFmtId="0" fontId="0" fillId="0" borderId="10" xfId="0" applyFill="1" applyBorder="1"/>
    <xf numFmtId="168" fontId="8" fillId="0" borderId="0" xfId="0" applyNumberFormat="1" applyFont="1" applyFill="1"/>
    <xf numFmtId="49" fontId="37" fillId="0" borderId="2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center"/>
    </xf>
    <xf numFmtId="43" fontId="36" fillId="0" borderId="0" xfId="90" applyFill="1" applyBorder="1"/>
    <xf numFmtId="166" fontId="0" fillId="0" borderId="0" xfId="0" applyNumberFormat="1" applyFill="1"/>
    <xf numFmtId="0" fontId="1" fillId="0" borderId="20" xfId="0" applyFont="1" applyBorder="1"/>
    <xf numFmtId="0" fontId="1" fillId="0" borderId="11" xfId="0" applyFont="1" applyBorder="1"/>
    <xf numFmtId="0" fontId="1" fillId="0" borderId="0" xfId="0" applyFont="1"/>
    <xf numFmtId="0" fontId="1" fillId="0" borderId="1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10" xfId="0" applyFont="1" applyBorder="1"/>
    <xf numFmtId="0" fontId="1" fillId="0" borderId="10" xfId="0" applyFont="1" applyFill="1" applyBorder="1"/>
    <xf numFmtId="43" fontId="1" fillId="0" borderId="10" xfId="83" applyFont="1" applyFill="1" applyBorder="1"/>
    <xf numFmtId="43" fontId="1" fillId="0" borderId="0" xfId="83" applyFont="1" applyFill="1" applyBorder="1"/>
    <xf numFmtId="0" fontId="1" fillId="0" borderId="0" xfId="0" applyFont="1" applyFill="1"/>
    <xf numFmtId="43" fontId="1" fillId="0" borderId="0" xfId="83" applyFont="1" applyFill="1"/>
    <xf numFmtId="0" fontId="6" fillId="0" borderId="0" xfId="0" applyFont="1" applyFill="1"/>
    <xf numFmtId="10" fontId="37" fillId="0" borderId="2" xfId="201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2" xfId="0" applyFont="1" applyFill="1" applyBorder="1"/>
    <xf numFmtId="43" fontId="1" fillId="0" borderId="0" xfId="0" applyNumberFormat="1" applyFont="1" applyFill="1"/>
    <xf numFmtId="43" fontId="5" fillId="0" borderId="10" xfId="90" applyFont="1" applyFill="1" applyBorder="1" applyAlignment="1">
      <alignment horizontal="center"/>
    </xf>
    <xf numFmtId="168" fontId="5" fillId="0" borderId="0" xfId="0" applyNumberFormat="1" applyFont="1" applyFill="1"/>
    <xf numFmtId="166" fontId="36" fillId="0" borderId="0" xfId="90" applyNumberFormat="1" applyFill="1"/>
    <xf numFmtId="166" fontId="36" fillId="0" borderId="10" xfId="90" applyNumberFormat="1" applyFill="1" applyBorder="1"/>
    <xf numFmtId="168" fontId="1" fillId="0" borderId="0" xfId="0" applyNumberFormat="1" applyFont="1" applyFill="1" applyAlignment="1">
      <alignment horizontal="left" indent="2"/>
    </xf>
    <xf numFmtId="168" fontId="1" fillId="0" borderId="0" xfId="0" applyNumberFormat="1" applyFont="1" applyFill="1"/>
    <xf numFmtId="0" fontId="5" fillId="0" borderId="10" xfId="0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/>
    <xf numFmtId="166" fontId="1" fillId="0" borderId="11" xfId="0" applyNumberFormat="1" applyFont="1" applyFill="1" applyBorder="1"/>
    <xf numFmtId="166" fontId="5" fillId="0" borderId="0" xfId="0" applyNumberFormat="1" applyFont="1" applyFill="1" applyBorder="1"/>
    <xf numFmtId="166" fontId="1" fillId="0" borderId="0" xfId="0" applyNumberFormat="1" applyFont="1" applyFill="1"/>
    <xf numFmtId="41" fontId="0" fillId="0" borderId="0" xfId="0" applyNumberFormat="1" applyFill="1"/>
    <xf numFmtId="166" fontId="5" fillId="0" borderId="9" xfId="0" applyNumberFormat="1" applyFont="1" applyFill="1" applyBorder="1"/>
    <xf numFmtId="166" fontId="0" fillId="0" borderId="0" xfId="83" applyNumberFormat="1" applyFont="1" applyFill="1"/>
    <xf numFmtId="166" fontId="5" fillId="0" borderId="34" xfId="90" applyNumberFormat="1" applyFont="1" applyFill="1" applyBorder="1"/>
    <xf numFmtId="166" fontId="0" fillId="0" borderId="10" xfId="83" applyNumberFormat="1" applyFont="1" applyFill="1" applyBorder="1"/>
    <xf numFmtId="4" fontId="0" fillId="0" borderId="10" xfId="0" applyNumberFormat="1" applyFill="1" applyBorder="1"/>
    <xf numFmtId="166" fontId="0" fillId="0" borderId="0" xfId="0" applyNumberFormat="1" applyFill="1" applyBorder="1"/>
    <xf numFmtId="168" fontId="72" fillId="0" borderId="0" xfId="0" applyNumberFormat="1" applyFont="1" applyFill="1" applyAlignment="1">
      <alignment horizontal="right" indent="2"/>
    </xf>
    <xf numFmtId="43" fontId="72" fillId="0" borderId="0" xfId="83" applyFont="1" applyFill="1"/>
    <xf numFmtId="43" fontId="71" fillId="0" borderId="0" xfId="90" applyFont="1" applyFill="1"/>
    <xf numFmtId="166" fontId="5" fillId="0" borderId="9" xfId="83" applyNumberFormat="1" applyFont="1" applyFill="1" applyBorder="1"/>
    <xf numFmtId="166" fontId="1" fillId="0" borderId="0" xfId="90" applyNumberFormat="1" applyFont="1" applyFill="1"/>
    <xf numFmtId="166" fontId="1" fillId="0" borderId="10" xfId="90" applyNumberFormat="1" applyFont="1" applyFill="1" applyBorder="1"/>
    <xf numFmtId="0" fontId="74" fillId="0" borderId="0" xfId="0" applyFont="1" applyFill="1"/>
    <xf numFmtId="43" fontId="75" fillId="0" borderId="0" xfId="83" applyFont="1" applyFill="1"/>
    <xf numFmtId="0" fontId="75" fillId="0" borderId="0" xfId="0" applyFont="1" applyFill="1"/>
    <xf numFmtId="0" fontId="75" fillId="0" borderId="0" xfId="0" applyFont="1"/>
    <xf numFmtId="183" fontId="1" fillId="0" borderId="0" xfId="0" applyNumberFormat="1" applyFont="1" applyFill="1"/>
    <xf numFmtId="0" fontId="76" fillId="0" borderId="0" xfId="0" applyFont="1" applyFill="1" applyBorder="1" applyAlignment="1">
      <alignment horizontal="right"/>
    </xf>
    <xf numFmtId="0" fontId="76" fillId="0" borderId="0" xfId="0" applyFont="1" applyFill="1" applyAlignment="1">
      <alignment vertical="center"/>
    </xf>
    <xf numFmtId="0" fontId="76" fillId="0" borderId="0" xfId="0" applyFont="1" applyFill="1" applyBorder="1"/>
    <xf numFmtId="0" fontId="76" fillId="0" borderId="0" xfId="0" applyFont="1" applyFill="1" applyAlignment="1">
      <alignment vertical="top"/>
    </xf>
    <xf numFmtId="9" fontId="76" fillId="0" borderId="0" xfId="0" applyNumberFormat="1" applyFont="1" applyFill="1" applyBorder="1"/>
    <xf numFmtId="49" fontId="1" fillId="82" borderId="22" xfId="0" applyNumberFormat="1" applyFont="1" applyFill="1" applyBorder="1" applyAlignment="1">
      <alignment horizontal="left"/>
    </xf>
    <xf numFmtId="183" fontId="1" fillId="82" borderId="22" xfId="83" applyNumberFormat="1" applyFont="1" applyFill="1" applyBorder="1"/>
    <xf numFmtId="49" fontId="1" fillId="0" borderId="22" xfId="0" applyNumberFormat="1" applyFont="1" applyFill="1" applyBorder="1" applyAlignment="1">
      <alignment horizontal="left"/>
    </xf>
    <xf numFmtId="183" fontId="1" fillId="0" borderId="22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83" fontId="5" fillId="0" borderId="4" xfId="0" applyNumberFormat="1" applyFont="1" applyFill="1" applyBorder="1"/>
    <xf numFmtId="49" fontId="1" fillId="0" borderId="23" xfId="0" applyNumberFormat="1" applyFont="1" applyFill="1" applyBorder="1" applyAlignment="1">
      <alignment horizontal="left"/>
    </xf>
    <xf numFmtId="183" fontId="1" fillId="0" borderId="22" xfId="83" applyNumberFormat="1" applyFont="1" applyFill="1" applyBorder="1"/>
    <xf numFmtId="49" fontId="5" fillId="0" borderId="23" xfId="0" applyNumberFormat="1" applyFont="1" applyFill="1" applyBorder="1" applyAlignment="1">
      <alignment horizontal="left"/>
    </xf>
    <xf numFmtId="183" fontId="5" fillId="0" borderId="23" xfId="0" applyNumberFormat="1" applyFont="1" applyFill="1" applyBorder="1"/>
    <xf numFmtId="10" fontId="37" fillId="0" borderId="4" xfId="201" applyNumberFormat="1" applyFont="1" applyFill="1" applyBorder="1" applyAlignment="1">
      <alignment horizontal="center" wrapText="1"/>
    </xf>
    <xf numFmtId="0" fontId="1" fillId="0" borderId="24" xfId="0" applyFont="1" applyFill="1" applyBorder="1"/>
    <xf numFmtId="0" fontId="5" fillId="0" borderId="4" xfId="0" applyFont="1" applyFill="1" applyBorder="1"/>
    <xf numFmtId="166" fontId="1" fillId="0" borderId="4" xfId="83" applyNumberFormat="1" applyFont="1" applyFill="1" applyBorder="1"/>
    <xf numFmtId="166" fontId="1" fillId="0" borderId="4" xfId="83" quotePrefix="1" applyNumberFormat="1" applyFont="1" applyFill="1" applyBorder="1" applyAlignment="1">
      <alignment horizontal="right"/>
    </xf>
    <xf numFmtId="166" fontId="1" fillId="0" borderId="4" xfId="0" applyNumberFormat="1" applyFont="1" applyFill="1" applyBorder="1"/>
    <xf numFmtId="166" fontId="1" fillId="0" borderId="4" xfId="0" quotePrefix="1" applyNumberFormat="1" applyFont="1" applyFill="1" applyBorder="1" applyAlignment="1">
      <alignment horizontal="right"/>
    </xf>
    <xf numFmtId="0" fontId="5" fillId="0" borderId="24" xfId="0" applyFont="1" applyFill="1" applyBorder="1"/>
    <xf numFmtId="166" fontId="5" fillId="0" borderId="4" xfId="83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1" fillId="0" borderId="0" xfId="83" applyNumberFormat="1" applyFont="1" applyFill="1" applyBorder="1"/>
    <xf numFmtId="0" fontId="1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15" xfId="305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0000FF"/>
      <color rgb="FFFFC5B3"/>
      <color rgb="FFFFCCFF"/>
      <color rgb="FFCCB3FF"/>
      <color rgb="FFB4CDE6"/>
      <color rgb="FF97FFFF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</xdr:colOff>
      <xdr:row>20</xdr:row>
      <xdr:rowOff>95250</xdr:rowOff>
    </xdr:from>
    <xdr:to>
      <xdr:col>11</xdr:col>
      <xdr:colOff>357059</xdr:colOff>
      <xdr:row>50</xdr:row>
      <xdr:rowOff>53381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833" y="3333750"/>
          <a:ext cx="5257143" cy="4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129887</xdr:colOff>
      <xdr:row>4</xdr:row>
      <xdr:rowOff>64943</xdr:rowOff>
    </xdr:from>
    <xdr:to>
      <xdr:col>19</xdr:col>
      <xdr:colOff>223115</xdr:colOff>
      <xdr:row>17</xdr:row>
      <xdr:rowOff>139537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7643" y="714375"/>
          <a:ext cx="4260415" cy="2206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35">
          <cell r="E35">
            <v>0.66349999999999998</v>
          </cell>
          <cell r="F35">
            <v>0.33650000000000002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B45" sqref="B45"/>
    </sheetView>
  </sheetViews>
  <sheetFormatPr defaultRowHeight="13.2"/>
  <cols>
    <col min="1" max="1" width="5.6640625" style="33" customWidth="1"/>
    <col min="2" max="2" width="80.5546875" style="33" customWidth="1"/>
    <col min="3" max="3" width="4.5546875" style="33" customWidth="1"/>
    <col min="4" max="4" width="13.109375" style="33" customWidth="1"/>
    <col min="5" max="5" width="13.33203125" style="33" customWidth="1"/>
    <col min="6" max="6" width="1.6640625" customWidth="1"/>
    <col min="7" max="7" width="10.44140625" customWidth="1"/>
    <col min="8" max="8" width="16.6640625" customWidth="1"/>
    <col min="9" max="9" width="4.33203125" customWidth="1"/>
    <col min="10" max="10" width="12.33203125" customWidth="1"/>
    <col min="11" max="11" width="11.33203125" customWidth="1"/>
    <col min="12" max="12" width="2.33203125" customWidth="1"/>
    <col min="13" max="13" width="12" customWidth="1"/>
    <col min="14" max="14" width="11.44140625" customWidth="1"/>
    <col min="15" max="15" width="1.6640625" customWidth="1"/>
    <col min="16" max="16" width="11.33203125" bestFit="1" customWidth="1"/>
    <col min="17" max="17" width="10.44140625" bestFit="1" customWidth="1"/>
  </cols>
  <sheetData>
    <row r="1" spans="1:5">
      <c r="A1" s="42"/>
      <c r="E1" s="9"/>
    </row>
    <row r="2" spans="1:5">
      <c r="E2" s="9"/>
    </row>
    <row r="3" spans="1:5">
      <c r="A3" s="5"/>
      <c r="B3" s="11"/>
      <c r="E3"/>
    </row>
    <row r="4" spans="1:5">
      <c r="A4" s="12"/>
      <c r="B4" s="1"/>
      <c r="C4" s="1"/>
      <c r="D4" s="1"/>
    </row>
    <row r="5" spans="1:5">
      <c r="A5" s="43" t="s">
        <v>8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">
        <v>94</v>
      </c>
      <c r="B7" s="44"/>
      <c r="C7" s="44"/>
      <c r="D7" s="44"/>
      <c r="E7" s="45"/>
    </row>
    <row r="8" spans="1:5">
      <c r="A8" s="47" t="s">
        <v>50</v>
      </c>
      <c r="B8" s="44"/>
      <c r="C8" s="44"/>
      <c r="D8" s="44"/>
      <c r="E8" s="45"/>
    </row>
    <row r="9" spans="1:5">
      <c r="A9" s="1"/>
      <c r="B9" s="1"/>
      <c r="C9" s="1"/>
      <c r="D9" s="1"/>
    </row>
    <row r="10" spans="1:5">
      <c r="A10" s="8" t="s">
        <v>1</v>
      </c>
      <c r="B10" s="1"/>
      <c r="C10" s="1"/>
      <c r="D10" s="149"/>
      <c r="E10" s="149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2" t="s">
        <v>11</v>
      </c>
      <c r="C13" s="20"/>
      <c r="D13" s="17"/>
    </row>
    <row r="14" spans="1:5">
      <c r="A14" s="6">
        <f t="shared" ref="A14:A32" si="0">+A13+1</f>
        <v>2</v>
      </c>
      <c r="B14" s="23"/>
      <c r="C14" s="20"/>
      <c r="D14" s="17"/>
    </row>
    <row r="15" spans="1:5">
      <c r="A15" s="6">
        <f t="shared" si="0"/>
        <v>3</v>
      </c>
      <c r="B15" s="66" t="s">
        <v>45</v>
      </c>
      <c r="C15" s="20"/>
    </row>
    <row r="16" spans="1:5">
      <c r="A16" s="6">
        <f t="shared" si="0"/>
        <v>4</v>
      </c>
      <c r="B16" s="23" t="s">
        <v>63</v>
      </c>
      <c r="C16" s="20"/>
      <c r="D16" s="16">
        <f>+'Ave cost of case'!D13</f>
        <v>1097000</v>
      </c>
    </row>
    <row r="17" spans="1:5">
      <c r="A17" s="6">
        <f t="shared" si="0"/>
        <v>5</v>
      </c>
      <c r="B17" s="23"/>
      <c r="C17" s="20"/>
      <c r="D17" s="17"/>
    </row>
    <row r="18" spans="1:5">
      <c r="A18" s="6">
        <f t="shared" si="0"/>
        <v>6</v>
      </c>
      <c r="B18" s="27" t="s">
        <v>49</v>
      </c>
      <c r="C18" s="24"/>
      <c r="D18" s="28">
        <f>+D16/2</f>
        <v>548500</v>
      </c>
    </row>
    <row r="19" spans="1:5">
      <c r="A19" s="6">
        <f t="shared" si="0"/>
        <v>7</v>
      </c>
      <c r="B19" s="14" t="s">
        <v>17</v>
      </c>
      <c r="C19" s="15"/>
      <c r="D19" s="61">
        <f>TY!C17</f>
        <v>1151655.348855</v>
      </c>
    </row>
    <row r="20" spans="1:5">
      <c r="A20" s="6">
        <f t="shared" si="0"/>
        <v>8</v>
      </c>
      <c r="B20" s="23" t="s">
        <v>5</v>
      </c>
      <c r="C20" s="25"/>
      <c r="D20" s="18">
        <f>+D18-D19</f>
        <v>-603155.34885499999</v>
      </c>
      <c r="E20" s="21">
        <f>+D20</f>
        <v>-603155.34885499999</v>
      </c>
    </row>
    <row r="21" spans="1:5">
      <c r="A21" s="6">
        <f t="shared" si="0"/>
        <v>9</v>
      </c>
      <c r="B21" s="23"/>
      <c r="C21" s="15"/>
      <c r="D21" s="29"/>
    </row>
    <row r="22" spans="1:5">
      <c r="A22" s="6">
        <f t="shared" si="0"/>
        <v>10</v>
      </c>
      <c r="B22" s="66" t="s">
        <v>46</v>
      </c>
      <c r="C22" s="20"/>
    </row>
    <row r="23" spans="1:5">
      <c r="A23" s="6">
        <f t="shared" si="0"/>
        <v>11</v>
      </c>
      <c r="B23" s="23" t="s">
        <v>47</v>
      </c>
      <c r="C23" s="20"/>
      <c r="D23" s="16">
        <f>+'Ave cost of case'!D25</f>
        <v>273000</v>
      </c>
    </row>
    <row r="24" spans="1:5">
      <c r="A24" s="6">
        <f t="shared" si="0"/>
        <v>12</v>
      </c>
      <c r="B24" s="23"/>
      <c r="C24" s="20"/>
      <c r="D24" s="16"/>
    </row>
    <row r="25" spans="1:5">
      <c r="A25" s="6">
        <f t="shared" si="0"/>
        <v>13</v>
      </c>
      <c r="B25" s="27" t="s">
        <v>48</v>
      </c>
      <c r="C25" s="24"/>
      <c r="D25" s="28">
        <f>+D23/4</f>
        <v>68250</v>
      </c>
    </row>
    <row r="26" spans="1:5">
      <c r="A26" s="6">
        <f t="shared" si="0"/>
        <v>14</v>
      </c>
      <c r="B26" s="14" t="s">
        <v>18</v>
      </c>
      <c r="C26" s="15"/>
      <c r="D26" s="61">
        <f>TY!B10</f>
        <v>0</v>
      </c>
    </row>
    <row r="27" spans="1:5">
      <c r="A27" s="6">
        <f t="shared" si="0"/>
        <v>15</v>
      </c>
      <c r="B27" s="23" t="s">
        <v>5</v>
      </c>
      <c r="C27" s="25"/>
      <c r="D27" s="18">
        <f>+D25-D26</f>
        <v>68250</v>
      </c>
      <c r="E27" s="21">
        <f>+D27</f>
        <v>68250</v>
      </c>
    </row>
    <row r="28" spans="1:5">
      <c r="A28" s="6">
        <f t="shared" si="0"/>
        <v>16</v>
      </c>
      <c r="B28" s="23"/>
      <c r="C28" s="25"/>
      <c r="D28" s="21"/>
      <c r="E28" s="48"/>
    </row>
    <row r="29" spans="1:5">
      <c r="A29" s="6">
        <f t="shared" si="0"/>
        <v>17</v>
      </c>
      <c r="B29" s="23" t="s">
        <v>12</v>
      </c>
      <c r="C29" s="15"/>
      <c r="E29" s="16">
        <f>+E20+E27</f>
        <v>-534905.34885499999</v>
      </c>
    </row>
    <row r="30" spans="1:5">
      <c r="A30" s="6">
        <f t="shared" si="0"/>
        <v>18</v>
      </c>
      <c r="B30" s="19"/>
      <c r="C30" s="15"/>
      <c r="E30" s="31"/>
    </row>
    <row r="31" spans="1:5">
      <c r="A31" s="6">
        <f t="shared" si="0"/>
        <v>19</v>
      </c>
      <c r="B31" s="19" t="s">
        <v>6</v>
      </c>
      <c r="C31" s="26">
        <v>0.21</v>
      </c>
      <c r="E31" s="32">
        <f>-E29*C31</f>
        <v>112330.12325954999</v>
      </c>
    </row>
    <row r="32" spans="1:5" ht="13.8" thickBot="1">
      <c r="A32" s="6">
        <f t="shared" si="0"/>
        <v>20</v>
      </c>
      <c r="B32" s="19" t="s">
        <v>7</v>
      </c>
      <c r="C32" s="15"/>
      <c r="E32" s="49">
        <f>-E29-E31</f>
        <v>422575.22559545003</v>
      </c>
    </row>
    <row r="33" spans="4:4" ht="13.8" thickTop="1"/>
    <row r="40" spans="4:4">
      <c r="D40" s="50"/>
    </row>
  </sheetData>
  <mergeCells count="1">
    <mergeCell ref="D10:E10"/>
  </mergeCells>
  <phoneticPr fontId="9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4"/>
  <sheetViews>
    <sheetView zoomScale="90" zoomScaleNormal="90" workbookViewId="0">
      <selection activeCell="N36" sqref="N36"/>
    </sheetView>
  </sheetViews>
  <sheetFormatPr defaultRowHeight="13.2"/>
  <cols>
    <col min="1" max="1" width="5.6640625" customWidth="1"/>
    <col min="2" max="2" width="67.44140625" bestFit="1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customWidth="1"/>
    <col min="8" max="8" width="10.44140625" customWidth="1"/>
    <col min="9" max="9" width="1.33203125" customWidth="1"/>
    <col min="10" max="10" width="11.33203125" customWidth="1"/>
    <col min="11" max="11" width="10.44140625" customWidth="1"/>
    <col min="12" max="12" width="1.33203125" customWidth="1"/>
    <col min="13" max="13" width="11.33203125" bestFit="1" customWidth="1"/>
    <col min="14" max="14" width="10.44140625" bestFit="1" customWidth="1"/>
  </cols>
  <sheetData>
    <row r="1" spans="1:9">
      <c r="A1" s="10"/>
      <c r="E1" s="9"/>
    </row>
    <row r="2" spans="1:9">
      <c r="E2" s="9"/>
    </row>
    <row r="3" spans="1:9">
      <c r="A3" s="5"/>
      <c r="B3" s="11"/>
    </row>
    <row r="4" spans="1:9">
      <c r="A4" s="12"/>
      <c r="B4" s="1"/>
      <c r="C4" s="1"/>
      <c r="D4" s="1"/>
      <c r="E4" s="33"/>
    </row>
    <row r="5" spans="1:9">
      <c r="A5" s="43" t="s">
        <v>21</v>
      </c>
      <c r="B5" s="44"/>
      <c r="C5" s="44"/>
      <c r="D5" s="44"/>
      <c r="E5" s="45"/>
    </row>
    <row r="6" spans="1:9">
      <c r="A6" s="46" t="s">
        <v>0</v>
      </c>
      <c r="B6" s="44"/>
      <c r="C6" s="44"/>
      <c r="D6" s="44"/>
      <c r="E6" s="45"/>
    </row>
    <row r="7" spans="1:9">
      <c r="A7" s="47" t="str">
        <f>'Lead E'!A7</f>
        <v>FOR THE TWELVE MONTHS ENDED DECEMBER 31, 2019</v>
      </c>
      <c r="B7" s="44"/>
      <c r="C7" s="44"/>
      <c r="D7" s="44"/>
      <c r="E7" s="45"/>
    </row>
    <row r="8" spans="1:9">
      <c r="A8" s="47" t="str">
        <f>'Lead E'!A8</f>
        <v>COMMISSION BASIS REPORT</v>
      </c>
      <c r="B8" s="44"/>
      <c r="C8" s="44"/>
      <c r="D8" s="44"/>
      <c r="E8" s="45"/>
    </row>
    <row r="9" spans="1:9">
      <c r="A9" s="1"/>
      <c r="B9" s="1"/>
      <c r="C9" s="1"/>
      <c r="D9" s="1"/>
      <c r="E9" s="33"/>
    </row>
    <row r="10" spans="1:9">
      <c r="A10" s="8" t="s">
        <v>1</v>
      </c>
      <c r="B10" s="1"/>
      <c r="C10" s="1"/>
    </row>
    <row r="11" spans="1:9">
      <c r="A11" s="2" t="s">
        <v>2</v>
      </c>
      <c r="B11" s="3" t="s">
        <v>3</v>
      </c>
      <c r="C11" s="13"/>
      <c r="D11" s="4"/>
      <c r="E11" s="2" t="s">
        <v>4</v>
      </c>
    </row>
    <row r="12" spans="1:9">
      <c r="A12" s="5"/>
      <c r="B12" s="5"/>
      <c r="C12" s="5"/>
      <c r="D12" s="5"/>
      <c r="E12" s="33"/>
    </row>
    <row r="13" spans="1:9">
      <c r="A13" s="6">
        <v>1</v>
      </c>
      <c r="B13" s="22" t="s">
        <v>11</v>
      </c>
      <c r="C13" s="20"/>
      <c r="D13" s="17"/>
      <c r="E13" s="33"/>
    </row>
    <row r="14" spans="1:9">
      <c r="A14" s="6">
        <f t="shared" ref="A14:A25" si="0">+A13+1</f>
        <v>2</v>
      </c>
      <c r="B14" s="23"/>
      <c r="C14" s="20"/>
      <c r="D14" s="17"/>
      <c r="E14" s="33"/>
    </row>
    <row r="15" spans="1:9">
      <c r="A15" s="6">
        <f t="shared" si="0"/>
        <v>3</v>
      </c>
      <c r="B15" s="23" t="s">
        <v>64</v>
      </c>
      <c r="C15" s="20"/>
      <c r="D15" s="16">
        <f>+'Ave cost of case'!D13</f>
        <v>1097000</v>
      </c>
      <c r="E15" s="33"/>
      <c r="I15" s="123"/>
    </row>
    <row r="16" spans="1:9">
      <c r="A16" s="6">
        <f t="shared" si="0"/>
        <v>4</v>
      </c>
      <c r="B16" s="23"/>
      <c r="C16" s="20"/>
      <c r="D16" s="17"/>
      <c r="E16" s="33"/>
      <c r="I16" s="123"/>
    </row>
    <row r="17" spans="1:9">
      <c r="A17" s="6">
        <f t="shared" si="0"/>
        <v>5</v>
      </c>
      <c r="B17" s="27" t="s">
        <v>20</v>
      </c>
      <c r="C17" s="24"/>
      <c r="D17" s="28">
        <f>+D15/2</f>
        <v>548500</v>
      </c>
      <c r="E17" s="33"/>
      <c r="I17" s="124"/>
    </row>
    <row r="18" spans="1:9">
      <c r="A18" s="6">
        <f t="shared" si="0"/>
        <v>6</v>
      </c>
      <c r="B18" s="14" t="s">
        <v>17</v>
      </c>
      <c r="C18" s="15"/>
      <c r="D18" s="61">
        <f>TY!D17</f>
        <v>584072.38114499999</v>
      </c>
      <c r="E18" s="33"/>
      <c r="I18" s="125"/>
    </row>
    <row r="19" spans="1:9">
      <c r="A19" s="6">
        <f t="shared" si="0"/>
        <v>7</v>
      </c>
      <c r="B19" s="23" t="s">
        <v>5</v>
      </c>
      <c r="C19" s="25"/>
      <c r="D19" s="18">
        <f>+D17-D18</f>
        <v>-35572.381144999992</v>
      </c>
      <c r="E19" s="21">
        <f>+D19</f>
        <v>-35572.381144999992</v>
      </c>
      <c r="I19" s="126"/>
    </row>
    <row r="20" spans="1:9">
      <c r="A20" s="6">
        <f t="shared" si="0"/>
        <v>8</v>
      </c>
      <c r="B20" s="23"/>
      <c r="C20" s="25"/>
      <c r="D20" s="30"/>
      <c r="E20" s="48"/>
      <c r="I20" s="126"/>
    </row>
    <row r="21" spans="1:9">
      <c r="A21" s="6">
        <f t="shared" si="0"/>
        <v>9</v>
      </c>
      <c r="B21" s="23"/>
      <c r="C21" s="15"/>
      <c r="D21" s="29"/>
      <c r="E21" s="33"/>
      <c r="I21" s="125"/>
    </row>
    <row r="22" spans="1:9">
      <c r="A22" s="6">
        <f t="shared" si="0"/>
        <v>10</v>
      </c>
      <c r="B22" s="23" t="s">
        <v>12</v>
      </c>
      <c r="C22" s="15"/>
      <c r="D22" s="33"/>
      <c r="E22" s="16">
        <f>+E19</f>
        <v>-35572.381144999992</v>
      </c>
      <c r="I22" s="125"/>
    </row>
    <row r="23" spans="1:9">
      <c r="A23" s="6">
        <f t="shared" si="0"/>
        <v>11</v>
      </c>
      <c r="B23" s="19"/>
      <c r="C23" s="15"/>
      <c r="D23" s="33"/>
      <c r="E23" s="31"/>
      <c r="I23" s="125"/>
    </row>
    <row r="24" spans="1:9">
      <c r="A24" s="6">
        <f t="shared" si="0"/>
        <v>12</v>
      </c>
      <c r="B24" s="19" t="s">
        <v>6</v>
      </c>
      <c r="C24" s="26">
        <v>0.21</v>
      </c>
      <c r="D24" s="33"/>
      <c r="E24" s="32">
        <f>-E22*C24</f>
        <v>7470.2000404499977</v>
      </c>
      <c r="I24" s="127">
        <v>0.21</v>
      </c>
    </row>
    <row r="25" spans="1:9" ht="13.8" thickBot="1">
      <c r="A25" s="6">
        <f t="shared" si="0"/>
        <v>13</v>
      </c>
      <c r="B25" s="19" t="s">
        <v>7</v>
      </c>
      <c r="C25" s="15"/>
      <c r="D25" s="33"/>
      <c r="E25" s="49">
        <f>-E22-E24</f>
        <v>28102.181104549993</v>
      </c>
      <c r="I25" s="125"/>
    </row>
    <row r="26" spans="1:9" ht="13.8" thickTop="1">
      <c r="A26" s="33"/>
      <c r="B26" s="33"/>
      <c r="C26" s="33"/>
      <c r="D26" s="33"/>
      <c r="E26" s="33"/>
    </row>
    <row r="27" spans="1:9">
      <c r="A27" s="33"/>
      <c r="B27" s="33"/>
      <c r="C27" s="33"/>
      <c r="D27" s="33"/>
      <c r="E27" s="33"/>
    </row>
    <row r="28" spans="1:9">
      <c r="A28" s="33"/>
      <c r="B28" s="33"/>
      <c r="C28" s="33"/>
      <c r="D28" s="33"/>
      <c r="E28" s="33"/>
    </row>
    <row r="29" spans="1:9">
      <c r="A29" s="33"/>
      <c r="B29" s="33"/>
      <c r="C29" s="33"/>
      <c r="D29" s="33"/>
      <c r="E29" s="33"/>
    </row>
    <row r="30" spans="1:9">
      <c r="A30" s="33"/>
      <c r="B30" s="33"/>
      <c r="C30" s="33"/>
      <c r="D30" s="33"/>
      <c r="E30" s="33"/>
    </row>
    <row r="31" spans="1:9">
      <c r="A31" s="33"/>
      <c r="B31" s="33"/>
      <c r="C31" s="33"/>
      <c r="D31" s="33"/>
      <c r="E31" s="33"/>
    </row>
    <row r="32" spans="1:9">
      <c r="A32" s="33"/>
      <c r="B32" s="33"/>
      <c r="C32" s="33"/>
      <c r="D32" s="33"/>
      <c r="E32" s="33"/>
    </row>
    <row r="33" spans="1:5">
      <c r="A33" s="33"/>
      <c r="B33" s="33"/>
      <c r="C33" s="33"/>
      <c r="D33" s="33"/>
      <c r="E33" s="33"/>
    </row>
    <row r="34" spans="1:5">
      <c r="D34" s="33"/>
      <c r="E34" s="33"/>
    </row>
  </sheetData>
  <phoneticPr fontId="9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9"/>
  <sheetViews>
    <sheetView zoomScale="90" zoomScaleNormal="90" workbookViewId="0">
      <selection activeCell="L21" sqref="L21"/>
    </sheetView>
  </sheetViews>
  <sheetFormatPr defaultColWidth="8.88671875" defaultRowHeight="13.2"/>
  <cols>
    <col min="1" max="2" width="12.6640625" style="75" customWidth="1"/>
    <col min="3" max="3" width="40.33203125" style="84" customWidth="1"/>
    <col min="4" max="4" width="10.88671875" style="85" bestFit="1" customWidth="1"/>
    <col min="5" max="5" width="19.33203125" style="41" customWidth="1"/>
    <col min="6" max="16384" width="8.88671875" style="75"/>
  </cols>
  <sheetData>
    <row r="1" spans="1:6" ht="15.6">
      <c r="A1" s="73"/>
      <c r="B1" s="74"/>
      <c r="C1" s="36" t="s">
        <v>9</v>
      </c>
      <c r="D1" s="36"/>
      <c r="E1" s="37"/>
    </row>
    <row r="2" spans="1:6">
      <c r="A2" s="76"/>
      <c r="B2" s="77"/>
      <c r="C2" s="34" t="s">
        <v>14</v>
      </c>
      <c r="D2" s="34"/>
      <c r="E2" s="38"/>
    </row>
    <row r="3" spans="1:6">
      <c r="A3" s="76"/>
      <c r="B3" s="77"/>
      <c r="C3" s="34"/>
      <c r="D3" s="34"/>
      <c r="E3" s="38"/>
      <c r="F3" s="84"/>
    </row>
    <row r="4" spans="1:6">
      <c r="A4" s="76"/>
      <c r="B4" s="77"/>
      <c r="C4" s="78" t="s">
        <v>28</v>
      </c>
      <c r="D4" s="147">
        <f>'Summary GRCs'!B9</f>
        <v>2136119.15</v>
      </c>
      <c r="E4" s="38"/>
      <c r="F4" s="84"/>
    </row>
    <row r="5" spans="1:6">
      <c r="A5" s="76"/>
      <c r="B5" s="77"/>
      <c r="C5" s="78"/>
      <c r="D5" s="148"/>
      <c r="E5" s="38"/>
      <c r="F5" s="84"/>
    </row>
    <row r="6" spans="1:6">
      <c r="A6" s="76"/>
      <c r="B6" s="77"/>
      <c r="C6" s="78" t="s">
        <v>62</v>
      </c>
      <c r="D6" s="148">
        <f>'Summary GRCs'!B18</f>
        <v>2251755.3600000003</v>
      </c>
      <c r="E6" s="38"/>
      <c r="F6" s="84"/>
    </row>
    <row r="7" spans="1:6">
      <c r="A7" s="76"/>
      <c r="B7" s="77"/>
      <c r="C7" s="78"/>
      <c r="D7" s="148"/>
      <c r="E7" s="38"/>
      <c r="F7" s="84"/>
    </row>
    <row r="8" spans="1:6">
      <c r="A8" s="76"/>
      <c r="B8" s="77"/>
      <c r="C8" s="78"/>
      <c r="D8" s="148"/>
      <c r="E8" s="38"/>
      <c r="F8" s="84"/>
    </row>
    <row r="9" spans="1:6">
      <c r="A9" s="76"/>
      <c r="B9" s="77"/>
      <c r="C9" s="78" t="s">
        <v>15</v>
      </c>
      <c r="D9" s="148">
        <f>(D4+D6)/2</f>
        <v>2193937.2549999999</v>
      </c>
      <c r="E9" s="38"/>
      <c r="F9" s="84"/>
    </row>
    <row r="10" spans="1:6">
      <c r="A10" s="76"/>
      <c r="B10" s="77"/>
      <c r="C10" s="78"/>
      <c r="D10" s="148"/>
      <c r="E10" s="38"/>
      <c r="F10" s="84"/>
    </row>
    <row r="11" spans="1:6">
      <c r="A11" s="76"/>
      <c r="B11" s="77"/>
      <c r="C11" s="78" t="s">
        <v>32</v>
      </c>
      <c r="D11" s="148">
        <f>+D9/2</f>
        <v>1096968.6274999999</v>
      </c>
      <c r="E11" s="38"/>
      <c r="F11" s="84"/>
    </row>
    <row r="12" spans="1:6">
      <c r="A12" s="76"/>
      <c r="B12" s="77"/>
      <c r="C12" s="78"/>
      <c r="D12" s="148"/>
      <c r="E12" s="38"/>
      <c r="F12" s="84"/>
    </row>
    <row r="13" spans="1:6">
      <c r="A13" s="76"/>
      <c r="B13" s="77"/>
      <c r="C13" s="78" t="s">
        <v>19</v>
      </c>
      <c r="D13" s="148">
        <f>ROUND(+D11,-3)</f>
        <v>1097000</v>
      </c>
      <c r="E13" s="38"/>
      <c r="F13" s="84"/>
    </row>
    <row r="14" spans="1:6">
      <c r="A14" s="79"/>
      <c r="B14" s="80"/>
      <c r="C14" s="81"/>
      <c r="D14" s="82"/>
      <c r="E14" s="39"/>
      <c r="F14" s="84"/>
    </row>
    <row r="15" spans="1:6">
      <c r="A15" s="77"/>
      <c r="B15" s="77"/>
      <c r="C15" s="78"/>
      <c r="D15" s="83"/>
      <c r="E15" s="40"/>
      <c r="F15" s="84"/>
    </row>
    <row r="16" spans="1:6" ht="15.6">
      <c r="A16" s="73"/>
      <c r="B16" s="74"/>
      <c r="C16" s="36" t="s">
        <v>9</v>
      </c>
      <c r="D16" s="36"/>
      <c r="E16" s="37"/>
      <c r="F16" s="84"/>
    </row>
    <row r="17" spans="1:7">
      <c r="A17" s="76"/>
      <c r="B17" s="77"/>
      <c r="C17" s="34" t="s">
        <v>13</v>
      </c>
      <c r="D17" s="34"/>
      <c r="E17" s="38"/>
      <c r="F17" s="84"/>
    </row>
    <row r="18" spans="1:7">
      <c r="A18" s="76"/>
      <c r="B18" s="77"/>
      <c r="C18" s="34"/>
      <c r="D18" s="34"/>
      <c r="E18" s="38"/>
      <c r="F18" s="84"/>
      <c r="G18" s="84"/>
    </row>
    <row r="19" spans="1:7">
      <c r="A19" s="76"/>
      <c r="B19" s="77"/>
      <c r="C19" s="78" t="s">
        <v>44</v>
      </c>
      <c r="D19" s="148">
        <f>'Summary PCORCs'!B10</f>
        <v>148465.66</v>
      </c>
      <c r="E19" s="38"/>
      <c r="F19" s="84"/>
      <c r="G19" s="84"/>
    </row>
    <row r="20" spans="1:7">
      <c r="A20" s="76"/>
      <c r="B20" s="77"/>
      <c r="C20" s="78"/>
      <c r="D20" s="148"/>
      <c r="E20" s="38"/>
      <c r="F20" s="84"/>
      <c r="G20" s="84"/>
    </row>
    <row r="21" spans="1:7">
      <c r="A21" s="76"/>
      <c r="B21" s="77"/>
      <c r="C21" s="78" t="s">
        <v>38</v>
      </c>
      <c r="D21" s="148">
        <f>'Summary PCORCs'!B6</f>
        <v>396820.91000000009</v>
      </c>
      <c r="E21" s="38"/>
      <c r="F21" s="84"/>
      <c r="G21" s="84"/>
    </row>
    <row r="22" spans="1:7">
      <c r="A22" s="76"/>
      <c r="B22" s="77"/>
      <c r="C22" s="78"/>
      <c r="D22" s="148"/>
      <c r="E22" s="38"/>
      <c r="F22" s="84"/>
      <c r="G22" s="84"/>
    </row>
    <row r="23" spans="1:7">
      <c r="A23" s="76"/>
      <c r="B23" s="77"/>
      <c r="C23" s="78" t="s">
        <v>33</v>
      </c>
      <c r="D23" s="148">
        <f>(+D19+D21)/2</f>
        <v>272643.28500000003</v>
      </c>
      <c r="E23" s="38"/>
      <c r="F23" s="84"/>
      <c r="G23" s="84"/>
    </row>
    <row r="24" spans="1:7">
      <c r="A24" s="76"/>
      <c r="B24" s="77"/>
      <c r="C24" s="78"/>
      <c r="D24" s="148"/>
      <c r="E24" s="38"/>
      <c r="F24" s="84"/>
      <c r="G24" s="84"/>
    </row>
    <row r="25" spans="1:7">
      <c r="A25" s="76"/>
      <c r="B25" s="77"/>
      <c r="C25" s="78" t="s">
        <v>34</v>
      </c>
      <c r="D25" s="148">
        <f>ROUND(+D23,-3)</f>
        <v>273000</v>
      </c>
      <c r="E25" s="38"/>
      <c r="F25" s="84"/>
      <c r="G25" s="84"/>
    </row>
    <row r="26" spans="1:7">
      <c r="A26" s="79"/>
      <c r="B26" s="80"/>
      <c r="C26" s="81"/>
      <c r="D26" s="82"/>
      <c r="E26" s="39"/>
      <c r="F26" s="84"/>
      <c r="G26" s="84"/>
    </row>
    <row r="27" spans="1:7">
      <c r="B27" s="77"/>
      <c r="C27" s="78"/>
      <c r="D27" s="83"/>
      <c r="E27" s="40"/>
      <c r="F27" s="84"/>
      <c r="G27" s="84"/>
    </row>
    <row r="28" spans="1:7">
      <c r="A28" s="77"/>
      <c r="B28" s="77"/>
      <c r="C28" s="78"/>
      <c r="D28" s="83"/>
      <c r="E28" s="40"/>
      <c r="F28" s="84"/>
      <c r="G28" s="84"/>
    </row>
    <row r="29" spans="1:7">
      <c r="A29" s="7"/>
      <c r="B29" s="7"/>
      <c r="E29" s="86"/>
      <c r="F29" s="84"/>
      <c r="G29" s="84"/>
    </row>
    <row r="30" spans="1:7">
      <c r="F30" s="84"/>
    </row>
    <row r="31" spans="1:7">
      <c r="F31" s="84"/>
    </row>
    <row r="32" spans="1:7">
      <c r="F32" s="84"/>
    </row>
    <row r="33" spans="6:6">
      <c r="F33" s="84"/>
    </row>
    <row r="34" spans="6:6">
      <c r="F34" s="84"/>
    </row>
    <row r="35" spans="6:6">
      <c r="F35" s="84"/>
    </row>
    <row r="36" spans="6:6">
      <c r="F36" s="84"/>
    </row>
    <row r="37" spans="6:6">
      <c r="F37" s="84"/>
    </row>
    <row r="38" spans="6:6">
      <c r="F38" s="84"/>
    </row>
    <row r="39" spans="6:6">
      <c r="F39" s="84"/>
    </row>
    <row r="40" spans="6:6">
      <c r="F40" s="84"/>
    </row>
    <row r="41" spans="6:6">
      <c r="F41" s="84"/>
    </row>
    <row r="42" spans="6:6">
      <c r="F42" s="84"/>
    </row>
    <row r="43" spans="6:6">
      <c r="F43" s="84"/>
    </row>
    <row r="44" spans="6:6">
      <c r="F44" s="84"/>
    </row>
    <row r="45" spans="6:6">
      <c r="F45" s="84"/>
    </row>
    <row r="46" spans="6:6">
      <c r="F46" s="84"/>
    </row>
    <row r="47" spans="6:6">
      <c r="F47" s="84"/>
    </row>
    <row r="48" spans="6:6">
      <c r="F48" s="84"/>
    </row>
    <row r="49" spans="6:6">
      <c r="F49" s="84"/>
    </row>
  </sheetData>
  <phoneticPr fontId="9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08"/>
  <sheetViews>
    <sheetView zoomScale="90" zoomScaleNormal="90" workbookViewId="0">
      <selection activeCell="O32" sqref="O32"/>
    </sheetView>
  </sheetViews>
  <sheetFormatPr defaultColWidth="8.88671875" defaultRowHeight="13.2"/>
  <cols>
    <col min="1" max="1" width="50.6640625" style="84" bestFit="1" customWidth="1"/>
    <col min="2" max="2" width="17" style="84" customWidth="1"/>
    <col min="3" max="4" width="13.44140625" style="84" bestFit="1" customWidth="1"/>
    <col min="5" max="16384" width="8.88671875" style="84"/>
  </cols>
  <sheetData>
    <row r="1" spans="1:4">
      <c r="A1" s="150" t="s">
        <v>9</v>
      </c>
      <c r="B1" s="150"/>
      <c r="C1" s="150"/>
      <c r="D1" s="150"/>
    </row>
    <row r="2" spans="1:4">
      <c r="A2" s="151" t="s">
        <v>90</v>
      </c>
      <c r="B2" s="151"/>
      <c r="C2" s="151"/>
      <c r="D2" s="151"/>
    </row>
    <row r="3" spans="1:4">
      <c r="A3" s="151" t="s">
        <v>35</v>
      </c>
      <c r="B3" s="151"/>
      <c r="C3" s="151"/>
      <c r="D3" s="151"/>
    </row>
    <row r="4" spans="1:4">
      <c r="A4" s="57"/>
      <c r="B4" s="58"/>
      <c r="C4" s="58"/>
      <c r="D4" s="58"/>
    </row>
    <row r="5" spans="1:4">
      <c r="A5" s="57"/>
      <c r="B5" s="58"/>
      <c r="C5" s="59" t="s">
        <v>30</v>
      </c>
      <c r="D5" s="60" t="s">
        <v>10</v>
      </c>
    </row>
    <row r="6" spans="1:4" ht="13.8">
      <c r="A6" s="55" t="s">
        <v>31</v>
      </c>
      <c r="B6" s="56" t="s">
        <v>22</v>
      </c>
      <c r="C6" s="138">
        <f>[1]Lead!E35</f>
        <v>0.66349999999999998</v>
      </c>
      <c r="D6" s="138">
        <f>[1]Lead!F35</f>
        <v>0.33650000000000002</v>
      </c>
    </row>
    <row r="7" spans="1:4" ht="13.8">
      <c r="A7" s="69"/>
      <c r="B7" s="70"/>
      <c r="C7" s="87"/>
      <c r="D7" s="87"/>
    </row>
    <row r="8" spans="1:4">
      <c r="A8" s="139" t="s">
        <v>29</v>
      </c>
      <c r="B8" s="143">
        <f>'Summary PCORCs'!L6</f>
        <v>0</v>
      </c>
      <c r="C8" s="143">
        <f>B8*$C$6</f>
        <v>0</v>
      </c>
      <c r="D8" s="144">
        <f>B8*$D$6</f>
        <v>0</v>
      </c>
    </row>
    <row r="9" spans="1:4">
      <c r="A9" s="139" t="s">
        <v>41</v>
      </c>
      <c r="B9" s="143">
        <f>'Summary PCORCs'!L10</f>
        <v>0</v>
      </c>
      <c r="C9" s="143">
        <f>B9*$C$6</f>
        <v>0</v>
      </c>
      <c r="D9" s="144">
        <f>B9*$D$6</f>
        <v>0</v>
      </c>
    </row>
    <row r="10" spans="1:4">
      <c r="A10" s="140" t="s">
        <v>43</v>
      </c>
      <c r="B10" s="143">
        <f>SUM(B8:B9)</f>
        <v>0</v>
      </c>
      <c r="C10" s="143">
        <f>SUM(C8:C9)</f>
        <v>0</v>
      </c>
      <c r="D10" s="144">
        <f>SUM(D8:D9)</f>
        <v>0</v>
      </c>
    </row>
    <row r="11" spans="1:4">
      <c r="A11" s="89"/>
      <c r="B11" s="88"/>
      <c r="C11" s="88"/>
      <c r="D11" s="78"/>
    </row>
    <row r="12" spans="1:4">
      <c r="A12" s="84" t="s">
        <v>53</v>
      </c>
      <c r="B12" s="143">
        <v>0</v>
      </c>
      <c r="C12" s="143">
        <f>+B12*$C$6</f>
        <v>0</v>
      </c>
      <c r="D12" s="144">
        <f>+B12*$D$6</f>
        <v>0</v>
      </c>
    </row>
    <row r="13" spans="1:4">
      <c r="A13" s="84" t="s">
        <v>54</v>
      </c>
      <c r="B13" s="141">
        <f>B44</f>
        <v>71.34</v>
      </c>
      <c r="C13" s="141">
        <f t="shared" ref="C13:C15" si="0">+B13*$C$6</f>
        <v>47.334090000000003</v>
      </c>
      <c r="D13" s="142">
        <f t="shared" ref="D13:D15" si="1">+B13*$D$6</f>
        <v>24.005910000000004</v>
      </c>
    </row>
    <row r="14" spans="1:4">
      <c r="A14" s="84" t="s">
        <v>55</v>
      </c>
      <c r="B14" s="143">
        <v>0</v>
      </c>
      <c r="C14" s="143">
        <f t="shared" si="0"/>
        <v>0</v>
      </c>
      <c r="D14" s="144">
        <f t="shared" si="1"/>
        <v>0</v>
      </c>
    </row>
    <row r="15" spans="1:4">
      <c r="A15" s="84" t="s">
        <v>56</v>
      </c>
      <c r="B15" s="143">
        <v>0</v>
      </c>
      <c r="C15" s="143">
        <f t="shared" si="0"/>
        <v>0</v>
      </c>
      <c r="D15" s="144">
        <f t="shared" si="1"/>
        <v>0</v>
      </c>
    </row>
    <row r="16" spans="1:4">
      <c r="A16" s="84" t="s">
        <v>95</v>
      </c>
      <c r="B16" s="143">
        <f>B42</f>
        <v>1735656.39</v>
      </c>
      <c r="C16" s="141">
        <f t="shared" ref="C16" si="2">+B16*$C$6</f>
        <v>1151608.014765</v>
      </c>
      <c r="D16" s="142">
        <f t="shared" ref="D16" si="3">+B16*$D$6</f>
        <v>584048.37523500004</v>
      </c>
    </row>
    <row r="17" spans="1:4">
      <c r="A17" s="145" t="s">
        <v>51</v>
      </c>
      <c r="B17" s="146">
        <f>SUM(B12:B16)</f>
        <v>1735727.73</v>
      </c>
      <c r="C17" s="146">
        <f t="shared" ref="C17:D17" si="4">SUM(C12:C16)</f>
        <v>1151655.348855</v>
      </c>
      <c r="D17" s="146">
        <f t="shared" si="4"/>
        <v>584072.38114499999</v>
      </c>
    </row>
    <row r="19" spans="1:4">
      <c r="A19" s="84" t="s">
        <v>66</v>
      </c>
    </row>
    <row r="20" spans="1:4">
      <c r="A20" s="84" t="s">
        <v>91</v>
      </c>
    </row>
    <row r="21" spans="1:4">
      <c r="A21" s="84" t="s">
        <v>67</v>
      </c>
    </row>
    <row r="23" spans="1:4">
      <c r="A23" s="84" t="s">
        <v>68</v>
      </c>
    </row>
    <row r="24" spans="1:4">
      <c r="A24" s="78"/>
      <c r="B24" s="83"/>
    </row>
    <row r="25" spans="1:4" ht="13.8">
      <c r="A25" s="55" t="s">
        <v>31</v>
      </c>
      <c r="B25" s="56" t="s">
        <v>22</v>
      </c>
    </row>
    <row r="26" spans="1:4">
      <c r="A26" s="130" t="s">
        <v>71</v>
      </c>
      <c r="B26" s="131">
        <v>205212.65</v>
      </c>
    </row>
    <row r="27" spans="1:4">
      <c r="A27" s="130" t="s">
        <v>72</v>
      </c>
      <c r="B27" s="131">
        <v>263848.33</v>
      </c>
    </row>
    <row r="28" spans="1:4">
      <c r="A28" s="130" t="s">
        <v>73</v>
      </c>
      <c r="B28" s="131">
        <v>77201.45</v>
      </c>
    </row>
    <row r="29" spans="1:4">
      <c r="A29" s="130" t="s">
        <v>74</v>
      </c>
      <c r="B29" s="131">
        <v>4394185.7699999996</v>
      </c>
    </row>
    <row r="30" spans="1:4">
      <c r="A30" s="130" t="s">
        <v>75</v>
      </c>
      <c r="B30" s="131">
        <v>1562938.96</v>
      </c>
    </row>
    <row r="31" spans="1:4">
      <c r="A31" s="130" t="s">
        <v>76</v>
      </c>
      <c r="B31" s="131">
        <v>58.5</v>
      </c>
    </row>
    <row r="32" spans="1:4">
      <c r="A32" s="130" t="s">
        <v>77</v>
      </c>
      <c r="B32" s="131">
        <v>200</v>
      </c>
    </row>
    <row r="33" spans="1:3">
      <c r="A33" s="130" t="s">
        <v>78</v>
      </c>
      <c r="B33" s="131">
        <v>876457.75</v>
      </c>
    </row>
    <row r="34" spans="1:3">
      <c r="A34" s="132" t="s">
        <v>79</v>
      </c>
      <c r="B34" s="133">
        <f>SUM(B26:B33)</f>
        <v>7380103.4099999992</v>
      </c>
    </row>
    <row r="35" spans="1:3">
      <c r="A35" s="130" t="s">
        <v>80</v>
      </c>
      <c r="B35" s="131">
        <v>156859.01999999999</v>
      </c>
      <c r="C35" s="90"/>
    </row>
    <row r="36" spans="1:3">
      <c r="A36" s="130" t="s">
        <v>81</v>
      </c>
      <c r="B36" s="131">
        <v>1753018.78</v>
      </c>
    </row>
    <row r="37" spans="1:3">
      <c r="A37" s="134" t="s">
        <v>92</v>
      </c>
      <c r="B37" s="131">
        <v>30863.67</v>
      </c>
    </row>
    <row r="38" spans="1:3">
      <c r="A38" s="132" t="s">
        <v>82</v>
      </c>
      <c r="B38" s="133">
        <f>SUM(B35:B37)</f>
        <v>1940741.47</v>
      </c>
    </row>
    <row r="39" spans="1:3">
      <c r="A39" s="130" t="s">
        <v>83</v>
      </c>
      <c r="B39" s="131">
        <v>117395.75</v>
      </c>
    </row>
    <row r="40" spans="1:3">
      <c r="A40" s="130" t="s">
        <v>84</v>
      </c>
      <c r="B40" s="131">
        <v>77611.460000000006</v>
      </c>
    </row>
    <row r="41" spans="1:3">
      <c r="A41" s="130" t="s">
        <v>85</v>
      </c>
      <c r="B41" s="135">
        <v>-125051.17</v>
      </c>
    </row>
    <row r="42" spans="1:3">
      <c r="A42" s="128" t="s">
        <v>93</v>
      </c>
      <c r="B42" s="129">
        <v>1735656.39</v>
      </c>
    </row>
    <row r="43" spans="1:3">
      <c r="A43" s="130" t="s">
        <v>86</v>
      </c>
      <c r="B43" s="131">
        <v>43133.53</v>
      </c>
    </row>
    <row r="44" spans="1:3">
      <c r="A44" s="128" t="s">
        <v>87</v>
      </c>
      <c r="B44" s="129">
        <v>71.34</v>
      </c>
    </row>
    <row r="45" spans="1:3">
      <c r="A45" s="132" t="s">
        <v>69</v>
      </c>
      <c r="B45" s="133">
        <f>SUM(B39:B44)</f>
        <v>1848817.3</v>
      </c>
    </row>
    <row r="46" spans="1:3">
      <c r="A46" s="136" t="s">
        <v>70</v>
      </c>
      <c r="B46" s="137">
        <f>B34+B38+B45</f>
        <v>11169662.18</v>
      </c>
    </row>
    <row r="47" spans="1:3">
      <c r="B47" s="122"/>
    </row>
    <row r="48" spans="1:3">
      <c r="B48" s="122"/>
    </row>
    <row r="49" spans="2:2">
      <c r="B49" s="122"/>
    </row>
    <row r="50" spans="2:2">
      <c r="B50" s="122"/>
    </row>
    <row r="51" spans="2:2">
      <c r="B51" s="122"/>
    </row>
    <row r="52" spans="2:2">
      <c r="B52" s="122"/>
    </row>
    <row r="53" spans="2:2">
      <c r="B53" s="122"/>
    </row>
    <row r="54" spans="2:2">
      <c r="B54" s="122"/>
    </row>
    <row r="55" spans="2:2">
      <c r="B55" s="122"/>
    </row>
    <row r="56" spans="2:2">
      <c r="B56" s="122"/>
    </row>
    <row r="57" spans="2:2">
      <c r="B57" s="122"/>
    </row>
    <row r="58" spans="2:2">
      <c r="B58" s="122"/>
    </row>
    <row r="59" spans="2:2">
      <c r="B59" s="122"/>
    </row>
    <row r="60" spans="2:2">
      <c r="B60" s="122"/>
    </row>
    <row r="61" spans="2:2">
      <c r="B61" s="122"/>
    </row>
    <row r="62" spans="2:2">
      <c r="B62" s="122"/>
    </row>
    <row r="63" spans="2:2">
      <c r="B63" s="122"/>
    </row>
    <row r="64" spans="2:2">
      <c r="B64" s="122"/>
    </row>
    <row r="65" spans="2:2">
      <c r="B65" s="122"/>
    </row>
    <row r="66" spans="2:2">
      <c r="B66" s="122"/>
    </row>
    <row r="67" spans="2:2">
      <c r="B67" s="122"/>
    </row>
    <row r="68" spans="2:2">
      <c r="B68" s="122"/>
    </row>
    <row r="69" spans="2:2">
      <c r="B69" s="122"/>
    </row>
    <row r="70" spans="2:2">
      <c r="B70" s="122"/>
    </row>
    <row r="71" spans="2:2">
      <c r="B71" s="122"/>
    </row>
    <row r="72" spans="2:2">
      <c r="B72" s="122"/>
    </row>
    <row r="73" spans="2:2">
      <c r="B73" s="122"/>
    </row>
    <row r="74" spans="2:2">
      <c r="B74" s="122"/>
    </row>
    <row r="75" spans="2:2">
      <c r="B75" s="122"/>
    </row>
    <row r="76" spans="2:2">
      <c r="B76" s="122"/>
    </row>
    <row r="77" spans="2:2">
      <c r="B77" s="122"/>
    </row>
    <row r="78" spans="2:2">
      <c r="B78" s="122"/>
    </row>
    <row r="79" spans="2:2">
      <c r="B79" s="122"/>
    </row>
    <row r="80" spans="2:2">
      <c r="B80" s="122"/>
    </row>
    <row r="81" spans="2:2">
      <c r="B81" s="122"/>
    </row>
    <row r="82" spans="2:2">
      <c r="B82" s="122"/>
    </row>
    <row r="83" spans="2:2">
      <c r="B83" s="122"/>
    </row>
    <row r="84" spans="2:2">
      <c r="B84" s="122"/>
    </row>
    <row r="85" spans="2:2">
      <c r="B85" s="122"/>
    </row>
    <row r="86" spans="2:2">
      <c r="B86" s="122"/>
    </row>
    <row r="87" spans="2:2">
      <c r="B87" s="122"/>
    </row>
    <row r="88" spans="2:2">
      <c r="B88" s="122"/>
    </row>
    <row r="89" spans="2:2">
      <c r="B89" s="122"/>
    </row>
    <row r="90" spans="2:2">
      <c r="B90" s="122"/>
    </row>
    <row r="91" spans="2:2">
      <c r="B91" s="122"/>
    </row>
    <row r="92" spans="2:2">
      <c r="B92" s="122"/>
    </row>
    <row r="93" spans="2:2">
      <c r="B93" s="122"/>
    </row>
    <row r="94" spans="2:2">
      <c r="B94" s="122"/>
    </row>
    <row r="95" spans="2:2">
      <c r="B95" s="122"/>
    </row>
    <row r="96" spans="2:2">
      <c r="B96" s="122"/>
    </row>
    <row r="97" spans="2:2">
      <c r="B97" s="122"/>
    </row>
    <row r="98" spans="2:2">
      <c r="B98" s="122"/>
    </row>
    <row r="99" spans="2:2">
      <c r="B99" s="122"/>
    </row>
    <row r="100" spans="2:2">
      <c r="B100" s="122"/>
    </row>
    <row r="101" spans="2:2">
      <c r="B101" s="122"/>
    </row>
    <row r="102" spans="2:2">
      <c r="B102" s="122"/>
    </row>
    <row r="103" spans="2:2">
      <c r="B103" s="122"/>
    </row>
    <row r="104" spans="2:2">
      <c r="B104" s="122"/>
    </row>
    <row r="105" spans="2:2">
      <c r="B105" s="122"/>
    </row>
    <row r="106" spans="2:2">
      <c r="B106" s="122"/>
    </row>
    <row r="107" spans="2:2">
      <c r="B107" s="122"/>
    </row>
    <row r="108" spans="2:2">
      <c r="B108" s="122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88" zoomScaleNormal="88" workbookViewId="0">
      <selection activeCell="J38" sqref="J38"/>
    </sheetView>
  </sheetViews>
  <sheetFormatPr defaultColWidth="8.88671875" defaultRowHeight="13.2"/>
  <cols>
    <col min="1" max="1" width="39.6640625" style="33" customWidth="1"/>
    <col min="2" max="2" width="18.88671875" style="52" customWidth="1"/>
    <col min="3" max="3" width="10.6640625" style="33" customWidth="1"/>
    <col min="4" max="4" width="11.33203125" style="33" bestFit="1" customWidth="1"/>
    <col min="5" max="9" width="10.6640625" style="33" customWidth="1"/>
    <col min="10" max="10" width="11.33203125" style="33" bestFit="1" customWidth="1"/>
    <col min="11" max="12" width="10.6640625" style="33" customWidth="1"/>
    <col min="13" max="16384" width="8.88671875" style="33"/>
  </cols>
  <sheetData>
    <row r="1" spans="1:17">
      <c r="A1" s="42"/>
      <c r="B1" s="51"/>
    </row>
    <row r="2" spans="1:17">
      <c r="A2" s="42" t="s">
        <v>89</v>
      </c>
      <c r="B2" s="51"/>
    </row>
    <row r="3" spans="1:17">
      <c r="I3" s="35"/>
    </row>
    <row r="4" spans="1:17">
      <c r="A4" s="68"/>
      <c r="B4" s="91" t="s">
        <v>16</v>
      </c>
      <c r="C4" s="67">
        <v>2010</v>
      </c>
      <c r="D4" s="67">
        <v>2011</v>
      </c>
      <c r="E4" s="67">
        <v>2012</v>
      </c>
      <c r="F4" s="67">
        <v>2013</v>
      </c>
      <c r="G4" s="67">
        <v>2014</v>
      </c>
      <c r="H4" s="67">
        <v>2015</v>
      </c>
      <c r="I4" s="67">
        <v>2016</v>
      </c>
      <c r="J4" s="67">
        <v>2017</v>
      </c>
      <c r="K4" s="67">
        <v>2018</v>
      </c>
      <c r="L4" s="67">
        <v>2019</v>
      </c>
    </row>
    <row r="5" spans="1:17" s="35" customFormat="1">
      <c r="A5" s="92" t="s">
        <v>23</v>
      </c>
      <c r="B5" s="52"/>
    </row>
    <row r="6" spans="1:17" s="35" customFormat="1">
      <c r="A6" s="63" t="s">
        <v>24</v>
      </c>
      <c r="B6" s="116">
        <f>SUM(C6:L6)</f>
        <v>70624.12</v>
      </c>
      <c r="C6" s="53">
        <v>36510</v>
      </c>
      <c r="D6" s="53">
        <v>34114.120000000003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</row>
    <row r="7" spans="1:17" s="35" customFormat="1">
      <c r="A7" s="63" t="s">
        <v>25</v>
      </c>
      <c r="B7" s="116">
        <f t="shared" ref="B7:B8" si="0">SUM(C7:L7)</f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</row>
    <row r="8" spans="1:17" s="35" customFormat="1">
      <c r="A8" s="63" t="s">
        <v>26</v>
      </c>
      <c r="B8" s="117">
        <f t="shared" si="0"/>
        <v>2065495.0299999998</v>
      </c>
      <c r="C8" s="109">
        <v>293003.14</v>
      </c>
      <c r="D8" s="109">
        <v>1014247.8</v>
      </c>
      <c r="E8" s="109">
        <v>758244.09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</row>
    <row r="9" spans="1:17" s="35" customFormat="1" ht="13.8" thickBot="1">
      <c r="A9" s="54" t="s">
        <v>27</v>
      </c>
      <c r="B9" s="108">
        <f>SUM(B6:B8)</f>
        <v>2136119.15</v>
      </c>
      <c r="C9" s="111">
        <f>SUM(C6:C8)</f>
        <v>329513.14</v>
      </c>
      <c r="D9" s="111">
        <f>SUM(D6:D8)</f>
        <v>1048361.92</v>
      </c>
      <c r="E9" s="111">
        <f>SUM(E6:E8)</f>
        <v>758244.09</v>
      </c>
      <c r="F9" s="111">
        <f t="shared" ref="F9:K9" si="1">SUM(F6:F8)</f>
        <v>0</v>
      </c>
      <c r="G9" s="111">
        <f t="shared" si="1"/>
        <v>0</v>
      </c>
      <c r="H9" s="111">
        <f t="shared" si="1"/>
        <v>0</v>
      </c>
      <c r="I9" s="111">
        <f t="shared" si="1"/>
        <v>0</v>
      </c>
      <c r="J9" s="111">
        <f t="shared" si="1"/>
        <v>0</v>
      </c>
      <c r="K9" s="111">
        <f t="shared" si="1"/>
        <v>0</v>
      </c>
      <c r="L9" s="111">
        <f t="shared" ref="L9" si="2">SUM(L6:L8)</f>
        <v>0</v>
      </c>
    </row>
    <row r="10" spans="1:17" s="35" customFormat="1" ht="13.8" thickTop="1">
      <c r="A10" s="54"/>
      <c r="B10" s="62"/>
      <c r="C10" s="64"/>
      <c r="D10" s="64"/>
      <c r="F10" s="53"/>
      <c r="G10" s="53"/>
      <c r="H10" s="53"/>
      <c r="I10" s="53"/>
    </row>
    <row r="11" spans="1:17" s="35" customFormat="1">
      <c r="A11" s="33"/>
      <c r="B11" s="71"/>
      <c r="C11" s="53"/>
      <c r="D11" s="53"/>
      <c r="E11" s="53"/>
      <c r="F11" s="53"/>
      <c r="G11" s="53"/>
      <c r="H11" s="53"/>
    </row>
    <row r="12" spans="1:17" s="35" customFormat="1">
      <c r="A12" s="33"/>
      <c r="B12" s="91" t="s">
        <v>16</v>
      </c>
      <c r="C12" s="67">
        <v>2010</v>
      </c>
      <c r="D12" s="67">
        <v>2011</v>
      </c>
      <c r="E12" s="67">
        <v>2012</v>
      </c>
      <c r="F12" s="67">
        <v>2013</v>
      </c>
      <c r="G12" s="67">
        <v>2014</v>
      </c>
      <c r="H12" s="67">
        <v>2015</v>
      </c>
      <c r="I12" s="67">
        <v>2016</v>
      </c>
      <c r="J12" s="67">
        <v>2017</v>
      </c>
      <c r="K12" s="67">
        <v>2018</v>
      </c>
      <c r="L12" s="67">
        <v>2019</v>
      </c>
      <c r="M12" s="33"/>
      <c r="N12" s="33"/>
      <c r="O12" s="33"/>
      <c r="P12" s="33"/>
      <c r="Q12" s="33"/>
    </row>
    <row r="13" spans="1:17" s="35" customFormat="1">
      <c r="A13" s="92" t="s">
        <v>57</v>
      </c>
      <c r="B13" s="52"/>
      <c r="G13" s="33"/>
      <c r="H13" s="52"/>
      <c r="K13" s="33"/>
      <c r="L13" s="33"/>
      <c r="M13" s="33"/>
      <c r="N13" s="33"/>
      <c r="O13" s="33"/>
      <c r="P13" s="33"/>
      <c r="Q13" s="33"/>
    </row>
    <row r="14" spans="1:17" s="35" customFormat="1">
      <c r="A14" s="95" t="s">
        <v>58</v>
      </c>
      <c r="B14" s="116">
        <f>SUM(C14:L14)</f>
        <v>5299.06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53">
        <v>0</v>
      </c>
      <c r="J14" s="53">
        <v>5299.06</v>
      </c>
      <c r="K14" s="107">
        <v>0</v>
      </c>
      <c r="L14" s="107">
        <v>0</v>
      </c>
      <c r="M14" s="33"/>
      <c r="N14" s="33"/>
      <c r="O14" s="33"/>
      <c r="P14" s="33"/>
      <c r="Q14" s="33"/>
    </row>
    <row r="15" spans="1:17" s="35" customFormat="1">
      <c r="A15" s="95" t="s">
        <v>59</v>
      </c>
      <c r="B15" s="116">
        <f>SUM(C15:L15)</f>
        <v>74033.15999999964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53">
        <v>0</v>
      </c>
      <c r="J15" s="53">
        <v>91960.189999999639</v>
      </c>
      <c r="K15" s="107">
        <v>-17998.37</v>
      </c>
      <c r="L15" s="107">
        <v>71.34</v>
      </c>
      <c r="M15" s="33"/>
      <c r="N15" s="33"/>
      <c r="O15" s="33"/>
      <c r="P15" s="33"/>
      <c r="Q15" s="33"/>
    </row>
    <row r="16" spans="1:17" s="35" customFormat="1">
      <c r="A16" s="95" t="s">
        <v>60</v>
      </c>
      <c r="B16" s="116">
        <f t="shared" ref="B16:B17" si="3">SUM(C16:L16)</f>
        <v>33340.639999999999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53">
        <v>0</v>
      </c>
      <c r="J16" s="53">
        <v>33340.639999999999</v>
      </c>
      <c r="K16" s="53">
        <v>0</v>
      </c>
      <c r="L16" s="53">
        <v>0</v>
      </c>
      <c r="M16" s="33"/>
      <c r="N16" s="33"/>
      <c r="O16" s="33"/>
      <c r="P16" s="33"/>
      <c r="Q16" s="33"/>
    </row>
    <row r="17" spans="1:17" s="35" customFormat="1">
      <c r="A17" s="95" t="s">
        <v>61</v>
      </c>
      <c r="B17" s="117">
        <f t="shared" si="3"/>
        <v>2139082.5000000005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118073.58</v>
      </c>
      <c r="I17" s="109">
        <v>275412.11</v>
      </c>
      <c r="J17" s="109">
        <v>1745431.8100000003</v>
      </c>
      <c r="K17" s="110">
        <v>165</v>
      </c>
      <c r="L17" s="109">
        <v>0</v>
      </c>
      <c r="M17" s="33"/>
      <c r="N17" s="33"/>
      <c r="O17" s="33"/>
      <c r="P17" s="33"/>
      <c r="Q17" s="33"/>
    </row>
    <row r="18" spans="1:17" s="35" customFormat="1" ht="13.8" thickBot="1">
      <c r="A18" s="54" t="s">
        <v>52</v>
      </c>
      <c r="B18" s="108">
        <f>SUM(B14:B17)</f>
        <v>2251755.3600000003</v>
      </c>
      <c r="C18" s="111">
        <f>SUM(C14:C17)</f>
        <v>0</v>
      </c>
      <c r="D18" s="111">
        <f t="shared" ref="D18:K18" si="4">SUM(D14:D17)</f>
        <v>0</v>
      </c>
      <c r="E18" s="111">
        <f t="shared" si="4"/>
        <v>0</v>
      </c>
      <c r="F18" s="111">
        <f t="shared" si="4"/>
        <v>0</v>
      </c>
      <c r="G18" s="111">
        <f t="shared" si="4"/>
        <v>0</v>
      </c>
      <c r="H18" s="111">
        <f t="shared" si="4"/>
        <v>118073.58</v>
      </c>
      <c r="I18" s="111">
        <f t="shared" si="4"/>
        <v>275412.11</v>
      </c>
      <c r="J18" s="111">
        <f>SUM(J14:J17)</f>
        <v>1876031.7</v>
      </c>
      <c r="K18" s="111">
        <f t="shared" si="4"/>
        <v>-17833.37</v>
      </c>
      <c r="L18" s="111">
        <f t="shared" ref="L18" si="5">SUM(L14:L17)</f>
        <v>71.34</v>
      </c>
    </row>
    <row r="19" spans="1:17" s="35" customFormat="1" ht="13.8" thickTop="1">
      <c r="A19" s="54"/>
      <c r="B19" s="62"/>
      <c r="C19" s="64"/>
      <c r="D19" s="65"/>
      <c r="E19" s="53"/>
      <c r="F19" s="53"/>
      <c r="G19" s="53"/>
      <c r="H19" s="53"/>
      <c r="I19" s="53"/>
      <c r="J19" s="53"/>
      <c r="K19" s="53"/>
      <c r="L19" s="53"/>
    </row>
    <row r="20" spans="1:17">
      <c r="B20" s="71"/>
      <c r="C20" s="53"/>
      <c r="D20" s="53"/>
      <c r="F20" s="72"/>
    </row>
    <row r="21" spans="1:17" ht="13.8" thickBot="1">
      <c r="A21" s="33" t="s">
        <v>65</v>
      </c>
      <c r="B21" s="115">
        <f>B18+B9</f>
        <v>4387874.51</v>
      </c>
    </row>
    <row r="22" spans="1:17" ht="13.8" thickTop="1"/>
    <row r="23" spans="1:17">
      <c r="A23" s="112"/>
      <c r="B23" s="114"/>
    </row>
    <row r="25" spans="1:17">
      <c r="A25" s="42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L18"/>
  <sheetViews>
    <sheetView zoomScale="90" zoomScaleNormal="90" workbookViewId="0">
      <selection activeCell="H25" sqref="H25"/>
    </sheetView>
  </sheetViews>
  <sheetFormatPr defaultColWidth="8.88671875" defaultRowHeight="13.2"/>
  <cols>
    <col min="1" max="1" width="30" style="84" bestFit="1" customWidth="1"/>
    <col min="2" max="2" width="11.44140625" style="85" bestFit="1" customWidth="1"/>
    <col min="3" max="4" width="8.88671875" style="85" bestFit="1" customWidth="1"/>
    <col min="5" max="5" width="7.33203125" style="84" bestFit="1" customWidth="1"/>
    <col min="6" max="7" width="9.5546875" style="84" bestFit="1" customWidth="1"/>
    <col min="8" max="8" width="5.5546875" style="75" bestFit="1" customWidth="1"/>
    <col min="9" max="16384" width="8.88671875" style="75"/>
  </cols>
  <sheetData>
    <row r="2" spans="1:12">
      <c r="A2" s="42" t="s">
        <v>88</v>
      </c>
    </row>
    <row r="3" spans="1:12">
      <c r="B3" s="90"/>
      <c r="C3" s="33"/>
      <c r="D3" s="33"/>
      <c r="E3" s="33"/>
      <c r="F3" s="33"/>
      <c r="G3" s="33"/>
      <c r="H3" s="33"/>
      <c r="I3" s="33"/>
      <c r="J3" s="33"/>
      <c r="K3" s="33"/>
    </row>
    <row r="4" spans="1:12">
      <c r="A4" s="96"/>
      <c r="B4" s="97" t="s">
        <v>16</v>
      </c>
      <c r="C4" s="67">
        <v>2010</v>
      </c>
      <c r="D4" s="67">
        <v>2011</v>
      </c>
      <c r="E4" s="67">
        <v>2012</v>
      </c>
      <c r="F4" s="67">
        <v>2013</v>
      </c>
      <c r="G4" s="67">
        <v>2014</v>
      </c>
      <c r="H4" s="67">
        <v>2015</v>
      </c>
      <c r="I4" s="67">
        <v>2016</v>
      </c>
      <c r="J4" s="67">
        <v>2017</v>
      </c>
      <c r="K4" s="67">
        <v>2018</v>
      </c>
      <c r="L4" s="67">
        <v>2019</v>
      </c>
    </row>
    <row r="5" spans="1:12">
      <c r="A5" s="98" t="s">
        <v>36</v>
      </c>
      <c r="B5" s="99"/>
      <c r="C5" s="90"/>
      <c r="D5" s="90"/>
      <c r="E5" s="90"/>
      <c r="F5" s="90"/>
      <c r="G5" s="33"/>
      <c r="H5" s="100"/>
      <c r="I5" s="100"/>
      <c r="J5" s="100"/>
      <c r="K5" s="33"/>
      <c r="L5" s="33"/>
    </row>
    <row r="6" spans="1:12">
      <c r="A6" s="95" t="s">
        <v>37</v>
      </c>
      <c r="B6" s="101">
        <f>SUM(C6:L6)</f>
        <v>396820.91000000009</v>
      </c>
      <c r="C6" s="102">
        <v>0</v>
      </c>
      <c r="D6" s="102">
        <v>0</v>
      </c>
      <c r="E6" s="102">
        <v>5377.76</v>
      </c>
      <c r="F6" s="102">
        <v>391443.15000000008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</row>
    <row r="7" spans="1:12">
      <c r="A7" s="95"/>
      <c r="B7" s="103"/>
      <c r="C7" s="104"/>
      <c r="D7" s="104"/>
      <c r="E7" s="104"/>
      <c r="F7" s="104"/>
      <c r="G7" s="105"/>
      <c r="H7" s="105"/>
      <c r="I7" s="105"/>
      <c r="J7" s="105"/>
      <c r="K7" s="105"/>
    </row>
    <row r="8" spans="1:12">
      <c r="A8" s="95"/>
      <c r="B8" s="103"/>
      <c r="C8" s="104"/>
      <c r="D8" s="104"/>
      <c r="E8" s="104"/>
      <c r="F8" s="104"/>
      <c r="G8" s="105"/>
      <c r="H8" s="105"/>
      <c r="I8" s="105"/>
      <c r="J8" s="105"/>
      <c r="K8" s="105"/>
    </row>
    <row r="9" spans="1:12">
      <c r="A9" s="98" t="s">
        <v>39</v>
      </c>
      <c r="B9" s="97" t="s">
        <v>16</v>
      </c>
      <c r="C9" s="67">
        <v>2010</v>
      </c>
      <c r="D9" s="67">
        <v>2011</v>
      </c>
      <c r="E9" s="67">
        <v>2012</v>
      </c>
      <c r="F9" s="67">
        <v>2013</v>
      </c>
      <c r="G9" s="67">
        <v>2014</v>
      </c>
      <c r="H9" s="67">
        <v>2015</v>
      </c>
      <c r="I9" s="67">
        <v>2016</v>
      </c>
      <c r="J9" s="67">
        <v>2017</v>
      </c>
      <c r="K9" s="67">
        <v>2018</v>
      </c>
      <c r="L9" s="67">
        <v>2019</v>
      </c>
    </row>
    <row r="10" spans="1:12">
      <c r="A10" s="95" t="s">
        <v>40</v>
      </c>
      <c r="B10" s="101">
        <f>SUM(C10:L10)</f>
        <v>148465.66</v>
      </c>
      <c r="C10" s="102">
        <v>0</v>
      </c>
      <c r="D10" s="102">
        <v>0</v>
      </c>
      <c r="E10" s="102">
        <v>0</v>
      </c>
      <c r="F10" s="102">
        <v>0</v>
      </c>
      <c r="G10" s="102">
        <v>148465.66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</row>
    <row r="11" spans="1:12">
      <c r="A11" s="95"/>
      <c r="B11" s="103"/>
      <c r="C11" s="105"/>
      <c r="D11" s="105"/>
      <c r="E11" s="105"/>
      <c r="F11" s="105"/>
      <c r="G11" s="105"/>
      <c r="H11" s="105"/>
      <c r="I11" s="105"/>
      <c r="J11" s="33"/>
      <c r="K11" s="33"/>
    </row>
    <row r="12" spans="1:12">
      <c r="A12" s="95"/>
      <c r="B12" s="103"/>
      <c r="C12" s="105"/>
      <c r="D12" s="105"/>
      <c r="E12" s="105"/>
      <c r="F12" s="105"/>
      <c r="G12" s="105"/>
      <c r="H12" s="105"/>
      <c r="I12" s="105"/>
      <c r="J12" s="33"/>
      <c r="K12" s="33"/>
    </row>
    <row r="13" spans="1:12" ht="13.8" thickBot="1">
      <c r="A13" s="33" t="s">
        <v>42</v>
      </c>
      <c r="B13" s="106">
        <f>B6+B10</f>
        <v>545286.57000000007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2" ht="13.8" thickTop="1">
      <c r="A14" s="112"/>
      <c r="B14" s="113"/>
    </row>
    <row r="18" spans="1:11">
      <c r="A18" s="118"/>
      <c r="B18" s="119"/>
      <c r="C18" s="119"/>
      <c r="D18" s="119"/>
      <c r="E18" s="120"/>
      <c r="F18" s="120"/>
      <c r="G18" s="120"/>
      <c r="H18" s="121"/>
      <c r="I18" s="118"/>
      <c r="J18" s="121"/>
      <c r="K18" s="121"/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BB1662-F1C0-47CE-9F36-D6B516AF8718}"/>
</file>

<file path=customXml/itemProps2.xml><?xml version="1.0" encoding="utf-8"?>
<ds:datastoreItem xmlns:ds="http://schemas.openxmlformats.org/officeDocument/2006/customXml" ds:itemID="{C969D213-0742-4405-B7DC-2EDD3C0E6E46}"/>
</file>

<file path=customXml/itemProps3.xml><?xml version="1.0" encoding="utf-8"?>
<ds:datastoreItem xmlns:ds="http://schemas.openxmlformats.org/officeDocument/2006/customXml" ds:itemID="{32E48680-95C9-4A3B-A466-9636374937D6}"/>
</file>

<file path=customXml/itemProps4.xml><?xml version="1.0" encoding="utf-8"?>
<ds:datastoreItem xmlns:ds="http://schemas.openxmlformats.org/officeDocument/2006/customXml" ds:itemID="{AAB29527-FAAE-45D1-AF10-F0B9E6A13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Ave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2015-12-23T17:57:01Z</cp:lastPrinted>
  <dcterms:created xsi:type="dcterms:W3CDTF">2003-11-18T20:14:12Z</dcterms:created>
  <dcterms:modified xsi:type="dcterms:W3CDTF">2020-03-23T22:08:32Z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